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990" windowHeight="7740"/>
  </bookViews>
  <sheets>
    <sheet name="Overall" sheetId="2" r:id="rId1"/>
    <sheet name="Location" sheetId="4" r:id="rId2"/>
    <sheet name="Attitudinal" sheetId="5" r:id="rId3"/>
    <sheet name="Demographic" sheetId="6" r:id="rId4"/>
  </sheets>
  <calcPr calcId="145621" iterate="1" concurrentCalc="0"/>
</workbook>
</file>

<file path=xl/calcChain.xml><?xml version="1.0" encoding="utf-8"?>
<calcChain xmlns="http://schemas.openxmlformats.org/spreadsheetml/2006/main">
  <c r="C11" i="6" l="1"/>
  <c r="E8" i="2"/>
  <c r="F8" i="2"/>
  <c r="G8" i="2"/>
  <c r="H8" i="2"/>
  <c r="D8" i="2"/>
  <c r="AC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D25" i="5"/>
  <c r="D16" i="2"/>
  <c r="E16" i="2"/>
  <c r="F16" i="2"/>
  <c r="G16" i="2"/>
  <c r="H16" i="2"/>
  <c r="I16" i="2"/>
  <c r="J16" i="2"/>
  <c r="K16" i="2"/>
  <c r="L16" i="2"/>
  <c r="C16" i="2"/>
  <c r="D17" i="6"/>
  <c r="C15" i="2"/>
  <c r="C19" i="2"/>
  <c r="D11" i="6"/>
  <c r="E11" i="6"/>
  <c r="F11" i="6"/>
  <c r="G11" i="6"/>
  <c r="H11" i="6"/>
  <c r="I11" i="6"/>
  <c r="J11" i="6"/>
  <c r="K11" i="6"/>
  <c r="L11" i="6"/>
  <c r="I7" i="6"/>
  <c r="J7" i="6"/>
  <c r="K7" i="6"/>
  <c r="L7" i="6"/>
  <c r="I8" i="6"/>
  <c r="J8" i="6"/>
  <c r="K8" i="6"/>
  <c r="L8" i="6"/>
  <c r="H7" i="6"/>
  <c r="H8" i="6"/>
  <c r="D10" i="6"/>
  <c r="E10" i="6"/>
  <c r="F10" i="6"/>
  <c r="G10" i="6"/>
  <c r="H10" i="6"/>
  <c r="I10" i="6"/>
  <c r="J10" i="6"/>
  <c r="K10" i="6"/>
  <c r="L10" i="6"/>
  <c r="C10" i="6"/>
  <c r="I9" i="6"/>
  <c r="J9" i="6"/>
  <c r="H9" i="6"/>
  <c r="D9" i="6"/>
  <c r="E9" i="6"/>
  <c r="F9" i="6"/>
  <c r="G9" i="6"/>
  <c r="C9" i="6"/>
  <c r="D7" i="6"/>
  <c r="E7" i="6"/>
  <c r="F7" i="6"/>
  <c r="G7" i="6"/>
  <c r="C7" i="6"/>
  <c r="D6" i="6"/>
  <c r="E6" i="6"/>
  <c r="F6" i="6"/>
  <c r="G6" i="6"/>
  <c r="D5" i="6"/>
  <c r="E5" i="6"/>
  <c r="F5" i="6"/>
  <c r="G5" i="6"/>
  <c r="P8" i="6"/>
  <c r="Q8" i="6"/>
  <c r="R8" i="6"/>
  <c r="S8" i="6"/>
  <c r="O8" i="6"/>
  <c r="D11" i="2"/>
  <c r="E11" i="2"/>
  <c r="F11" i="2"/>
  <c r="G11" i="2"/>
  <c r="H11" i="2"/>
  <c r="I11" i="2"/>
  <c r="J11" i="2"/>
  <c r="K11" i="2"/>
  <c r="L11" i="2"/>
  <c r="C11" i="2"/>
  <c r="D10" i="2"/>
  <c r="E10" i="2"/>
  <c r="F10" i="2"/>
  <c r="G10" i="2"/>
  <c r="H10" i="2"/>
  <c r="I10" i="2"/>
  <c r="J10" i="2"/>
  <c r="K10" i="2"/>
  <c r="L10" i="2"/>
  <c r="C10" i="2"/>
  <c r="D13" i="2"/>
  <c r="C13" i="2"/>
  <c r="J24" i="5"/>
  <c r="K24" i="5"/>
  <c r="E4" i="5"/>
  <c r="F4" i="5"/>
  <c r="G4" i="5"/>
  <c r="H4" i="5"/>
  <c r="E23" i="5"/>
  <c r="D23" i="5"/>
  <c r="D7" i="4"/>
  <c r="E7" i="4"/>
  <c r="F7" i="4"/>
  <c r="G7" i="4"/>
  <c r="H7" i="4"/>
  <c r="I7" i="4"/>
  <c r="J7" i="4"/>
  <c r="K7" i="4"/>
  <c r="L7" i="4"/>
  <c r="C7" i="4"/>
  <c r="D24" i="4"/>
  <c r="E24" i="4"/>
  <c r="F24" i="4"/>
  <c r="G24" i="4"/>
  <c r="C24" i="4"/>
  <c r="F5" i="4"/>
  <c r="D5" i="4"/>
  <c r="D6" i="4"/>
  <c r="E5" i="4"/>
  <c r="E6" i="4"/>
  <c r="G5" i="4"/>
  <c r="G6" i="4"/>
  <c r="C5" i="4"/>
  <c r="H4" i="4"/>
  <c r="H5" i="4"/>
  <c r="H6" i="4"/>
  <c r="K9" i="6"/>
  <c r="L9" i="6"/>
  <c r="L24" i="5"/>
  <c r="E16" i="4"/>
  <c r="E27" i="4"/>
  <c r="F6" i="4"/>
  <c r="F16" i="4"/>
  <c r="G11" i="4"/>
  <c r="F11" i="4"/>
  <c r="E11" i="4"/>
  <c r="G16" i="4"/>
  <c r="D11" i="4"/>
  <c r="D16" i="4"/>
  <c r="H11" i="4"/>
  <c r="H16" i="4"/>
  <c r="H27" i="4"/>
  <c r="C6" i="4"/>
  <c r="C16" i="4"/>
  <c r="I4" i="4"/>
  <c r="J16" i="5"/>
  <c r="J7" i="5"/>
  <c r="M24" i="5"/>
  <c r="K7" i="5"/>
  <c r="F28" i="4"/>
  <c r="F27" i="4"/>
  <c r="E28" i="4"/>
  <c r="G27" i="4"/>
  <c r="G28" i="4"/>
  <c r="D27" i="4"/>
  <c r="D28" i="4"/>
  <c r="D29" i="4"/>
  <c r="D30" i="4"/>
  <c r="D6" i="2"/>
  <c r="E29" i="4"/>
  <c r="E30" i="4"/>
  <c r="E6" i="2"/>
  <c r="G29" i="4"/>
  <c r="F29" i="4"/>
  <c r="F30" i="4"/>
  <c r="F6" i="2"/>
  <c r="G30" i="4"/>
  <c r="G6" i="2"/>
  <c r="J30" i="4"/>
  <c r="J6" i="2"/>
  <c r="K30" i="4"/>
  <c r="K6" i="2"/>
  <c r="C29" i="4"/>
  <c r="H30" i="4"/>
  <c r="H6" i="2"/>
  <c r="L30" i="4"/>
  <c r="I30" i="4"/>
  <c r="I6" i="2"/>
  <c r="C30" i="4"/>
  <c r="C6" i="2"/>
  <c r="C11" i="4"/>
  <c r="C28" i="4"/>
  <c r="C27" i="4"/>
  <c r="J4" i="4"/>
  <c r="I5" i="4"/>
  <c r="F23" i="5"/>
  <c r="D8" i="5"/>
  <c r="D3" i="5"/>
  <c r="D17" i="2"/>
  <c r="E17" i="2"/>
  <c r="F17" i="2"/>
  <c r="G17" i="2"/>
  <c r="H17" i="2"/>
  <c r="I17" i="2"/>
  <c r="J17" i="2"/>
  <c r="K17" i="2"/>
  <c r="L17" i="2"/>
  <c r="C17" i="2"/>
  <c r="L56" i="6"/>
  <c r="G57" i="6"/>
  <c r="K57" i="6"/>
  <c r="F58" i="6"/>
  <c r="E47" i="6"/>
  <c r="E57" i="6"/>
  <c r="F47" i="6"/>
  <c r="F57" i="6"/>
  <c r="G47" i="6"/>
  <c r="H47" i="6"/>
  <c r="H57" i="6"/>
  <c r="I47" i="6"/>
  <c r="I57" i="6"/>
  <c r="J47" i="6"/>
  <c r="K47" i="6"/>
  <c r="J57" i="6"/>
  <c r="L47" i="6"/>
  <c r="M47" i="6"/>
  <c r="L57" i="6"/>
  <c r="N47" i="6"/>
  <c r="M57" i="6"/>
  <c r="D47" i="6"/>
  <c r="D57" i="6"/>
  <c r="E40" i="6"/>
  <c r="E58" i="6"/>
  <c r="F40" i="6"/>
  <c r="G40" i="6"/>
  <c r="G58" i="6"/>
  <c r="H40" i="6"/>
  <c r="H58" i="6"/>
  <c r="I40" i="6"/>
  <c r="I58" i="6"/>
  <c r="J40" i="6"/>
  <c r="K40" i="6"/>
  <c r="J58" i="6"/>
  <c r="L40" i="6"/>
  <c r="K58" i="6"/>
  <c r="M40" i="6"/>
  <c r="L58" i="6"/>
  <c r="N40" i="6"/>
  <c r="M58" i="6"/>
  <c r="D40" i="6"/>
  <c r="D58" i="6"/>
  <c r="E33" i="6"/>
  <c r="E56" i="6"/>
  <c r="F33" i="6"/>
  <c r="F56" i="6"/>
  <c r="G33" i="6"/>
  <c r="G56" i="6"/>
  <c r="H33" i="6"/>
  <c r="H56" i="6"/>
  <c r="I33" i="6"/>
  <c r="I56" i="6"/>
  <c r="J33" i="6"/>
  <c r="K33" i="6"/>
  <c r="J56" i="6"/>
  <c r="L33" i="6"/>
  <c r="K56" i="6"/>
  <c r="M33" i="6"/>
  <c r="N33" i="6"/>
  <c r="M56" i="6"/>
  <c r="D33" i="6"/>
  <c r="D56" i="6"/>
  <c r="E2" i="5"/>
  <c r="F2" i="5"/>
  <c r="G2" i="5"/>
  <c r="H2" i="5"/>
  <c r="H3" i="5"/>
  <c r="D16" i="5"/>
  <c r="C12" i="2"/>
  <c r="E16" i="5"/>
  <c r="D12" i="2"/>
  <c r="F16" i="5"/>
  <c r="E12" i="2"/>
  <c r="G16" i="5"/>
  <c r="F12" i="2"/>
  <c r="H16" i="5"/>
  <c r="G12" i="2"/>
  <c r="I16" i="5"/>
  <c r="H12" i="2"/>
  <c r="I12" i="2"/>
  <c r="K16" i="5"/>
  <c r="J12" i="2"/>
  <c r="L16" i="5"/>
  <c r="K12" i="2"/>
  <c r="M16" i="5"/>
  <c r="L12" i="2"/>
  <c r="D5" i="2"/>
  <c r="E5" i="2"/>
  <c r="F5" i="2"/>
  <c r="G5" i="2"/>
  <c r="C24" i="6"/>
  <c r="D25" i="6"/>
  <c r="D16" i="6"/>
  <c r="H24" i="4"/>
  <c r="H10" i="4"/>
  <c r="I21" i="4"/>
  <c r="I20" i="4"/>
  <c r="M30" i="4"/>
  <c r="L6" i="2"/>
  <c r="G4" i="2"/>
  <c r="G23" i="5"/>
  <c r="G8" i="5"/>
  <c r="D9" i="5"/>
  <c r="N24" i="5"/>
  <c r="L7" i="5"/>
  <c r="G3" i="5"/>
  <c r="F3" i="5"/>
  <c r="E3" i="5"/>
  <c r="H29" i="4"/>
  <c r="H28" i="4"/>
  <c r="I6" i="4"/>
  <c r="I16" i="4"/>
  <c r="I27" i="4"/>
  <c r="K4" i="4"/>
  <c r="J5" i="4"/>
  <c r="C4" i="2"/>
  <c r="E4" i="2"/>
  <c r="D4" i="2"/>
  <c r="E8" i="5"/>
  <c r="F8" i="5"/>
  <c r="I6" i="6"/>
  <c r="C6" i="6"/>
  <c r="J6" i="6"/>
  <c r="H6" i="6"/>
  <c r="L6" i="6"/>
  <c r="K6" i="6"/>
  <c r="G15" i="2"/>
  <c r="K15" i="2"/>
  <c r="H5" i="6"/>
  <c r="L5" i="6"/>
  <c r="D15" i="2"/>
  <c r="H15" i="2"/>
  <c r="L15" i="2"/>
  <c r="I5" i="6"/>
  <c r="C5" i="6"/>
  <c r="I15" i="2"/>
  <c r="J5" i="6"/>
  <c r="F15" i="2"/>
  <c r="J15" i="2"/>
  <c r="K5" i="6"/>
  <c r="E15" i="2"/>
  <c r="F4" i="2"/>
  <c r="J21" i="4"/>
  <c r="I24" i="4"/>
  <c r="I10" i="4"/>
  <c r="D19" i="2"/>
  <c r="D20" i="2"/>
  <c r="E9" i="5"/>
  <c r="E13" i="2"/>
  <c r="F9" i="5"/>
  <c r="F13" i="2"/>
  <c r="F19" i="2"/>
  <c r="F20" i="2"/>
  <c r="G9" i="5"/>
  <c r="O24" i="5"/>
  <c r="H23" i="5"/>
  <c r="M7" i="5"/>
  <c r="I11" i="4"/>
  <c r="I29" i="4"/>
  <c r="I28" i="4"/>
  <c r="J6" i="4"/>
  <c r="J16" i="4"/>
  <c r="J27" i="4"/>
  <c r="L4" i="4"/>
  <c r="L5" i="4"/>
  <c r="K5" i="4"/>
  <c r="C20" i="2"/>
  <c r="E19" i="2"/>
  <c r="E20" i="2"/>
  <c r="K21" i="4"/>
  <c r="J20" i="4"/>
  <c r="J24" i="4"/>
  <c r="J10" i="4"/>
  <c r="P24" i="5"/>
  <c r="I23" i="5"/>
  <c r="H8" i="5"/>
  <c r="J29" i="4"/>
  <c r="J28" i="4"/>
  <c r="J11" i="4"/>
  <c r="K6" i="4"/>
  <c r="K16" i="4"/>
  <c r="K27" i="4"/>
  <c r="L6" i="4"/>
  <c r="L16" i="4"/>
  <c r="L27" i="4"/>
  <c r="M27" i="4"/>
  <c r="L21" i="4"/>
  <c r="L20" i="4"/>
  <c r="K20" i="4"/>
  <c r="K24" i="4"/>
  <c r="K10" i="4"/>
  <c r="J23" i="5"/>
  <c r="I8" i="5"/>
  <c r="G13" i="2"/>
  <c r="G19" i="2"/>
  <c r="G20" i="2"/>
  <c r="H9" i="5"/>
  <c r="Q24" i="5"/>
  <c r="L11" i="4"/>
  <c r="K28" i="4"/>
  <c r="K29" i="4"/>
  <c r="K11" i="4"/>
  <c r="L24" i="4"/>
  <c r="L10" i="4"/>
  <c r="H13" i="2"/>
  <c r="H19" i="2"/>
  <c r="H20" i="2"/>
  <c r="I9" i="5"/>
  <c r="R24" i="5"/>
  <c r="K23" i="5"/>
  <c r="L29" i="4"/>
  <c r="M29" i="4"/>
  <c r="L28" i="4"/>
  <c r="M28" i="4"/>
  <c r="S24" i="5"/>
  <c r="L23" i="5"/>
  <c r="T24" i="5"/>
  <c r="M23" i="5"/>
  <c r="N23" i="5"/>
  <c r="U24" i="5"/>
  <c r="V24" i="5"/>
  <c r="O23" i="5"/>
  <c r="J8" i="5"/>
  <c r="P23" i="5"/>
  <c r="I13" i="2"/>
  <c r="I19" i="2"/>
  <c r="I20" i="2"/>
  <c r="J9" i="5"/>
  <c r="W24" i="5"/>
  <c r="X24" i="5"/>
  <c r="Q23" i="5"/>
  <c r="R23" i="5"/>
  <c r="Y24" i="5"/>
  <c r="Z24" i="5"/>
  <c r="S23" i="5"/>
  <c r="T23" i="5"/>
  <c r="K8" i="5"/>
  <c r="AA24" i="5"/>
  <c r="AB24" i="5"/>
  <c r="J13" i="2"/>
  <c r="J19" i="2"/>
  <c r="J20" i="2"/>
  <c r="K9" i="5"/>
  <c r="U23" i="5"/>
  <c r="V23" i="5"/>
  <c r="AC24" i="5"/>
  <c r="W23" i="5"/>
  <c r="X23" i="5"/>
  <c r="Y23" i="5"/>
  <c r="L8" i="5"/>
  <c r="K13" i="2"/>
  <c r="K19" i="2"/>
  <c r="K20" i="2"/>
  <c r="L9" i="5"/>
  <c r="Z23" i="5"/>
  <c r="AA23" i="5"/>
  <c r="AB23" i="5"/>
  <c r="AC23" i="5"/>
  <c r="M8" i="5"/>
  <c r="L13" i="2"/>
  <c r="L19" i="2"/>
  <c r="L20" i="2"/>
  <c r="M9" i="5"/>
</calcChain>
</file>

<file path=xl/sharedStrings.xml><?xml version="1.0" encoding="utf-8"?>
<sst xmlns="http://schemas.openxmlformats.org/spreadsheetml/2006/main" count="115" uniqueCount="87">
  <si>
    <t>Households</t>
  </si>
  <si>
    <t>Proportion</t>
  </si>
  <si>
    <t>Single Family Dwellings</t>
  </si>
  <si>
    <t>Financial</t>
  </si>
  <si>
    <t>Attitudes</t>
  </si>
  <si>
    <t>Awareness</t>
  </si>
  <si>
    <t>Knowledge/Understanding</t>
  </si>
  <si>
    <t>Social effect of adoption</t>
  </si>
  <si>
    <t>Demographic factors</t>
  </si>
  <si>
    <t>Increasing</t>
  </si>
  <si>
    <t>Age effect</t>
  </si>
  <si>
    <t>Zoning issues</t>
  </si>
  <si>
    <t>Urban</t>
  </si>
  <si>
    <t>Rural proportion declining by approx 3% per 5 years</t>
  </si>
  <si>
    <t>Proportion affected by zoning issues</t>
  </si>
  <si>
    <t>Zoning issue effect</t>
  </si>
  <si>
    <t>Zoning effect</t>
  </si>
  <si>
    <t>Scenario A: No zoning issues; Change in direction-appropriateness</t>
  </si>
  <si>
    <t>Scenario B: Zoning issues; change in direction-appropriateness</t>
  </si>
  <si>
    <t>Scenario C: Zoning issues; No change in direction appropriateness</t>
  </si>
  <si>
    <t>Scenario D: No zoning issues; No change in direction appropriateness</t>
  </si>
  <si>
    <t>Total SFD</t>
  </si>
  <si>
    <t>Age Factor</t>
  </si>
  <si>
    <t>Homeownership factor</t>
  </si>
  <si>
    <t>Homeowners</t>
  </si>
  <si>
    <t>Renters</t>
  </si>
  <si>
    <t>Major repairs needed</t>
  </si>
  <si>
    <t>Minor repairs needed</t>
  </si>
  <si>
    <t>No repairs needed</t>
  </si>
  <si>
    <t>Proportion of households</t>
  </si>
  <si>
    <t>Wanting to renovate</t>
  </si>
  <si>
    <t>Forecast for homeownership uncertain</t>
  </si>
  <si>
    <t>No likely change in renovation habits</t>
  </si>
  <si>
    <t>&lt;25</t>
  </si>
  <si>
    <t>25 to 49</t>
  </si>
  <si>
    <t>Likelihood</t>
  </si>
  <si>
    <t>Early adopter effect</t>
  </si>
  <si>
    <t>Early adopter Effect</t>
  </si>
  <si>
    <t>Sideline supporters</t>
  </si>
  <si>
    <t>Proportion of population</t>
  </si>
  <si>
    <t>Likelihood of adopting</t>
  </si>
  <si>
    <t>Indifferent and Skeptical</t>
  </si>
  <si>
    <t>Interested but Uninformed</t>
  </si>
  <si>
    <t>Influential Adopters</t>
  </si>
  <si>
    <t>Adoption</t>
  </si>
  <si>
    <t>Renovation Factor</t>
  </si>
  <si>
    <t>50 to 65</t>
  </si>
  <si>
    <t>65+</t>
  </si>
  <si>
    <t>Pessimistic</t>
  </si>
  <si>
    <t>Moderate</t>
  </si>
  <si>
    <t>Optimistic</t>
  </si>
  <si>
    <t>Percent who are able to make changes to the property</t>
  </si>
  <si>
    <t>Proportion financially viable</t>
  </si>
  <si>
    <t>Proportion who have adopted</t>
  </si>
  <si>
    <t>Parameter 1</t>
  </si>
  <si>
    <t>Parameter 2</t>
  </si>
  <si>
    <t>Net metering research: 38% aware of net metering</t>
  </si>
  <si>
    <t>Increase of 10 percent per five years?</t>
  </si>
  <si>
    <t>Social Effect</t>
  </si>
  <si>
    <t>Saturation (Actual)</t>
  </si>
  <si>
    <t>Forecasted Saturation</t>
  </si>
  <si>
    <t>Number of installations (Actual)</t>
  </si>
  <si>
    <t>Forecasted Number of Installations</t>
  </si>
  <si>
    <t>Total potential market (Estimate)</t>
  </si>
  <si>
    <t>SFD - Total</t>
  </si>
  <si>
    <t>Direction-appropriate - Farms</t>
  </si>
  <si>
    <t>Direction-appropriate - Urban and Rural non-farm</t>
  </si>
  <si>
    <t>Direction-appropriateness</t>
  </si>
  <si>
    <t>Proportion of Urban and Rural Non-farm</t>
  </si>
  <si>
    <t>Urban zoning issues</t>
  </si>
  <si>
    <t>Rural zoning issues (None)</t>
  </si>
  <si>
    <t>Total proportion direction appropriate</t>
  </si>
  <si>
    <t>Scenarios</t>
  </si>
  <si>
    <t>Farms (decline by 3% per 5 years)</t>
  </si>
  <si>
    <t>Proportion of Urban</t>
  </si>
  <si>
    <t>Proportion of Farms (Statistics Canada</t>
  </si>
  <si>
    <t>This formula generates a logistic curve that is often seen in new product adoption</t>
  </si>
  <si>
    <t>Advertising</t>
  </si>
  <si>
    <t>Word-of-mouth Awareness</t>
  </si>
  <si>
    <t>Overall awareness effect</t>
  </si>
  <si>
    <t>Overall Awareness effect</t>
  </si>
  <si>
    <t>Housing starts</t>
  </si>
  <si>
    <t>Existing SFD</t>
  </si>
  <si>
    <t>Proportion of new homes</t>
  </si>
  <si>
    <t>Proportion of existing homes</t>
  </si>
  <si>
    <t>Total Housing Factor</t>
  </si>
  <si>
    <t>Housing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</si>
</sst>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3" fontId="0" fillId="0" borderId="0" xfId="0" applyNumberFormat="1"/>
    <xf numFmtId="164" fontId="0" fillId="0" borderId="0" xfId="1" applyNumberFormat="1" applyFont="1"/>
    <xf numFmtId="9" fontId="0" fillId="0" borderId="0" xfId="2" applyFont="1"/>
    <xf numFmtId="165" fontId="0" fillId="0" borderId="0" xfId="2" applyNumberFormat="1" applyFont="1"/>
    <xf numFmtId="9" fontId="0" fillId="0" borderId="0" xfId="0" applyNumberFormat="1"/>
    <xf numFmtId="164" fontId="0" fillId="2" borderId="0" xfId="1" applyNumberFormat="1" applyFont="1" applyFill="1"/>
    <xf numFmtId="1" fontId="0" fillId="0" borderId="0" xfId="0" applyNumberFormat="1"/>
    <xf numFmtId="9" fontId="0" fillId="0" borderId="0" xfId="2" applyNumberFormat="1" applyFont="1"/>
    <xf numFmtId="0" fontId="2" fillId="0" borderId="0" xfId="0" applyFont="1"/>
    <xf numFmtId="3" fontId="0" fillId="2" borderId="0" xfId="0" applyNumberFormat="1" applyFill="1"/>
    <xf numFmtId="165" fontId="0" fillId="0" borderId="0" xfId="0" applyNumberFormat="1"/>
    <xf numFmtId="166" fontId="0" fillId="2" borderId="0" xfId="2" applyNumberFormat="1" applyFont="1" applyFill="1"/>
    <xf numFmtId="0" fontId="0" fillId="0" borderId="0" xfId="0" applyAlignment="1"/>
    <xf numFmtId="166" fontId="0" fillId="0" borderId="0" xfId="2" applyNumberFormat="1" applyFont="1" applyFill="1"/>
    <xf numFmtId="164" fontId="0" fillId="0" borderId="0" xfId="0" applyNumberFormat="1"/>
    <xf numFmtId="166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19440198180352E-2"/>
          <c:y val="4.2538389597851993E-2"/>
          <c:w val="0.8202302700703894"/>
          <c:h val="0.86147826349292544"/>
        </c:manualLayout>
      </c:layout>
      <c:scatterChart>
        <c:scatterStyle val="lineMarker"/>
        <c:varyColors val="0"/>
        <c:ser>
          <c:idx val="0"/>
          <c:order val="0"/>
          <c:tx>
            <c:strRef>
              <c:f>Overall!$B$3</c:f>
              <c:strCache>
                <c:ptCount val="1"/>
                <c:pt idx="0">
                  <c:v>Number of installations (Actual)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accent2"/>
              </a:solidFill>
            </c:spPr>
          </c:marker>
          <c:xVal>
            <c:numRef>
              <c:f>Overall!$C$2:$L$2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</c:numCache>
            </c:numRef>
          </c:xVal>
          <c:yVal>
            <c:numRef>
              <c:f>Overall!$C$3:$L$3</c:f>
              <c:numCache>
                <c:formatCode>_-* #,##0_-;\-* #,##0_-;_-* "-"??_-;_-@_-</c:formatCode>
                <c:ptCount val="10"/>
                <c:pt idx="0">
                  <c:v>88</c:v>
                </c:pt>
                <c:pt idx="1">
                  <c:v>88</c:v>
                </c:pt>
                <c:pt idx="2">
                  <c:v>174</c:v>
                </c:pt>
                <c:pt idx="3">
                  <c:v>215</c:v>
                </c:pt>
                <c:pt idx="4">
                  <c:v>348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Overall!$B$19</c:f>
              <c:strCache>
                <c:ptCount val="1"/>
                <c:pt idx="0">
                  <c:v>Forecasted Number of Installations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-1.2658225745336139E-2"/>
                  <c:y val="1.0309278350515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0548521454446749E-2"/>
                  <c:y val="-6.87285223367697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Overall!$C$2:$L$2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</c:numCache>
            </c:numRef>
          </c:xVal>
          <c:yVal>
            <c:numRef>
              <c:f>Overall!$C$19:$L$19</c:f>
              <c:numCache>
                <c:formatCode>_-* #,##0_-;\-* #,##0_-;_-* "-"??_-;_-@_-</c:formatCode>
                <c:ptCount val="10"/>
                <c:pt idx="0">
                  <c:v>83.343955731386089</c:v>
                </c:pt>
                <c:pt idx="1">
                  <c:v>115.43314733776562</c:v>
                </c:pt>
                <c:pt idx="2">
                  <c:v>159.71088645638667</c:v>
                </c:pt>
                <c:pt idx="3">
                  <c:v>218.37419877014349</c:v>
                </c:pt>
                <c:pt idx="4">
                  <c:v>298.41476414236638</c:v>
                </c:pt>
                <c:pt idx="5">
                  <c:v>405.96642116649406</c:v>
                </c:pt>
                <c:pt idx="6">
                  <c:v>1882.6696862014369</c:v>
                </c:pt>
                <c:pt idx="7">
                  <c:v>3885.0935414420628</c:v>
                </c:pt>
                <c:pt idx="8">
                  <c:v>6304.2677843368438</c:v>
                </c:pt>
                <c:pt idx="9">
                  <c:v>8790.363758065394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902592"/>
        <c:axId val="100903168"/>
      </c:scatterChart>
      <c:valAx>
        <c:axId val="100902592"/>
        <c:scaling>
          <c:orientation val="minMax"/>
          <c:max val="2035"/>
          <c:min val="2010"/>
        </c:scaling>
        <c:delete val="0"/>
        <c:axPos val="b"/>
        <c:numFmt formatCode="General" sourceLinked="1"/>
        <c:majorTickMark val="out"/>
        <c:minorTickMark val="none"/>
        <c:tickLblPos val="nextTo"/>
        <c:crossAx val="100903168"/>
        <c:crosses val="autoZero"/>
        <c:crossBetween val="midCat"/>
      </c:valAx>
      <c:valAx>
        <c:axId val="100903168"/>
        <c:scaling>
          <c:orientation val="minMax"/>
        </c:scaling>
        <c:delete val="0"/>
        <c:axPos val="l"/>
        <c:numFmt formatCode="_-* #,##0_-;\-* #,##0_-;_-* &quot;-&quot;??_-;_-@_-" sourceLinked="1"/>
        <c:majorTickMark val="out"/>
        <c:minorTickMark val="none"/>
        <c:tickLblPos val="nextTo"/>
        <c:crossAx val="1009025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0191174821096086"/>
          <c:y val="0.21445896582514815"/>
          <c:w val="0.3762670892277003"/>
          <c:h val="0.1592153042725329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19440198180352E-2"/>
          <c:y val="4.2538389597851993E-2"/>
          <c:w val="0.8202302700703894"/>
          <c:h val="0.86147826349292544"/>
        </c:manualLayout>
      </c:layout>
      <c:scatterChart>
        <c:scatterStyle val="lineMarker"/>
        <c:varyColors val="0"/>
        <c:ser>
          <c:idx val="0"/>
          <c:order val="0"/>
          <c:tx>
            <c:strRef>
              <c:f>Overall!$B$4</c:f>
              <c:strCache>
                <c:ptCount val="1"/>
                <c:pt idx="0">
                  <c:v>Saturation (Actual)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accent2"/>
              </a:solidFill>
            </c:spPr>
          </c:marker>
          <c:xVal>
            <c:numRef>
              <c:f>Overall!$C$2:$L$2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</c:numCache>
            </c:numRef>
          </c:xVal>
          <c:yVal>
            <c:numRef>
              <c:f>Overall!$C$4:$L$4</c:f>
              <c:numCache>
                <c:formatCode>0.000%</c:formatCode>
                <c:ptCount val="10"/>
                <c:pt idx="0">
                  <c:v>8.2508560263127293E-4</c:v>
                </c:pt>
                <c:pt idx="1">
                  <c:v>8.192687941925062E-4</c:v>
                </c:pt>
                <c:pt idx="2">
                  <c:v>1.608497510736228E-3</c:v>
                </c:pt>
                <c:pt idx="3">
                  <c:v>1.9734994459355182E-3</c:v>
                </c:pt>
                <c:pt idx="4">
                  <c:v>3.171795633262258E-3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Overall!$B$20</c:f>
              <c:strCache>
                <c:ptCount val="1"/>
                <c:pt idx="0">
                  <c:v>Forecasted Saturation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-1.2658225745336139E-2"/>
                  <c:y val="1.0309278350515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0548521454446749E-2"/>
                  <c:y val="-6.87285223367697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Overall!$C$2:$L$2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</c:numCache>
            </c:numRef>
          </c:xVal>
          <c:yVal>
            <c:numRef>
              <c:f>Overall!$C$20:$L$20</c:f>
              <c:numCache>
                <c:formatCode>0.000%</c:formatCode>
                <c:ptCount val="10"/>
                <c:pt idx="0">
                  <c:v>7.814306584125549E-4</c:v>
                </c:pt>
                <c:pt idx="1">
                  <c:v>1.0746679026051949E-3</c:v>
                </c:pt>
                <c:pt idx="2">
                  <c:v>1.4764055362216915E-3</c:v>
                </c:pt>
                <c:pt idx="3">
                  <c:v>2.0044714431604231E-3</c:v>
                </c:pt>
                <c:pt idx="4">
                  <c:v>2.7198581776084608E-3</c:v>
                </c:pt>
                <c:pt idx="5">
                  <c:v>3.6739796811427576E-3</c:v>
                </c:pt>
                <c:pt idx="6">
                  <c:v>1.6415762224372205E-2</c:v>
                </c:pt>
                <c:pt idx="7">
                  <c:v>3.2654923814844604E-2</c:v>
                </c:pt>
                <c:pt idx="8">
                  <c:v>5.1128095258018716E-2</c:v>
                </c:pt>
                <c:pt idx="9">
                  <c:v>6.9022396101566519E-2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905472"/>
        <c:axId val="100906048"/>
      </c:scatterChart>
      <c:valAx>
        <c:axId val="100905472"/>
        <c:scaling>
          <c:orientation val="minMax"/>
          <c:max val="2035"/>
          <c:min val="2010"/>
        </c:scaling>
        <c:delete val="0"/>
        <c:axPos val="b"/>
        <c:numFmt formatCode="General" sourceLinked="1"/>
        <c:majorTickMark val="out"/>
        <c:minorTickMark val="none"/>
        <c:tickLblPos val="nextTo"/>
        <c:crossAx val="100906048"/>
        <c:crosses val="autoZero"/>
        <c:crossBetween val="midCat"/>
      </c:valAx>
      <c:valAx>
        <c:axId val="10090604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crossAx val="1009054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0191174821096086"/>
          <c:y val="0.21445896582514815"/>
          <c:w val="0.3762670892277003"/>
          <c:h val="0.1592153042725329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Location!$A$27</c:f>
              <c:strCache>
                <c:ptCount val="1"/>
                <c:pt idx="0">
                  <c:v>Scenario A: No zoning issues; Change in direction-appropriateness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dLbls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Location!$C$26:$L$26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</c:numCache>
            </c:numRef>
          </c:xVal>
          <c:yVal>
            <c:numRef>
              <c:f>Location!$C$27:$L$27</c:f>
              <c:numCache>
                <c:formatCode>_-* #,##0_-;\-* #,##0_-;_-* "-"??_-;_-@_-</c:formatCode>
                <c:ptCount val="10"/>
                <c:pt idx="0">
                  <c:v>106655.6</c:v>
                </c:pt>
                <c:pt idx="1">
                  <c:v>107268.55720000001</c:v>
                </c:pt>
                <c:pt idx="2">
                  <c:v>107885.86639612002</c:v>
                </c:pt>
                <c:pt idx="3">
                  <c:v>108507.55848753249</c:v>
                </c:pt>
                <c:pt idx="4">
                  <c:v>109133.66459279398</c:v>
                </c:pt>
                <c:pt idx="5">
                  <c:v>109155.89200000001</c:v>
                </c:pt>
                <c:pt idx="6">
                  <c:v>111955.22523999999</c:v>
                </c:pt>
                <c:pt idx="7">
                  <c:v>132426.446348</c:v>
                </c:pt>
                <c:pt idx="8">
                  <c:v>154451.50296180398</c:v>
                </c:pt>
                <c:pt idx="9">
                  <c:v>177632.37588706656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Location!$A$28</c:f>
              <c:strCache>
                <c:ptCount val="1"/>
                <c:pt idx="0">
                  <c:v>Scenario B: Zoning issues; change in direction-appropriateness</c:v>
                </c:pt>
              </c:strCache>
            </c:strRef>
          </c:tx>
          <c:spPr>
            <a:ln w="28575">
              <a:solidFill>
                <a:schemeClr val="accent2"/>
              </a:solidFill>
            </a:ln>
          </c:spPr>
          <c:dLbls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Location!$C$26:$L$26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</c:numCache>
            </c:numRef>
          </c:xVal>
          <c:yVal>
            <c:numRef>
              <c:f>Location!$C$28:$L$28</c:f>
              <c:numCache>
                <c:formatCode>_-* #,##0_-;\-* #,##0_-;_-* "-"??_-;_-@_-</c:formatCode>
                <c:ptCount val="10"/>
                <c:pt idx="0">
                  <c:v>106655.6</c:v>
                </c:pt>
                <c:pt idx="1">
                  <c:v>107268.55720000001</c:v>
                </c:pt>
                <c:pt idx="2">
                  <c:v>107885.86639612002</c:v>
                </c:pt>
                <c:pt idx="3">
                  <c:v>108507.55848753249</c:v>
                </c:pt>
                <c:pt idx="4">
                  <c:v>109133.66459279398</c:v>
                </c:pt>
                <c:pt idx="5">
                  <c:v>109155.89200000001</c:v>
                </c:pt>
                <c:pt idx="6">
                  <c:v>107932.11422100059</c:v>
                </c:pt>
                <c:pt idx="7">
                  <c:v>127611.82465944809</c:v>
                </c:pt>
                <c:pt idx="8">
                  <c:v>148772.90170387234</c:v>
                </c:pt>
                <c:pt idx="9">
                  <c:v>171030.9787380558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Location!$A$29</c:f>
              <c:strCache>
                <c:ptCount val="1"/>
                <c:pt idx="0">
                  <c:v>Scenario C: Zoning issues; No change in direction appropriateness</c:v>
                </c:pt>
              </c:strCache>
            </c:strRef>
          </c:tx>
          <c:spPr>
            <a:ln w="28575">
              <a:solidFill>
                <a:schemeClr val="accent3"/>
              </a:solidFill>
            </a:ln>
          </c:spPr>
          <c:dLbls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Location!$C$26:$L$26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</c:numCache>
            </c:numRef>
          </c:xVal>
          <c:yVal>
            <c:numRef>
              <c:f>Location!$C$29:$L$29</c:f>
              <c:numCache>
                <c:formatCode>_-* #,##0_-;\-* #,##0_-;_-* "-"??_-;_-@_-</c:formatCode>
                <c:ptCount val="10"/>
                <c:pt idx="0">
                  <c:v>106655.6</c:v>
                </c:pt>
                <c:pt idx="1">
                  <c:v>107412.85476</c:v>
                </c:pt>
                <c:pt idx="2">
                  <c:v>108175.48602879602</c:v>
                </c:pt>
                <c:pt idx="3">
                  <c:v>108943.53197960049</c:v>
                </c:pt>
                <c:pt idx="4">
                  <c:v>109717.03105665567</c:v>
                </c:pt>
                <c:pt idx="5">
                  <c:v>110497.73172404207</c:v>
                </c:pt>
                <c:pt idx="6">
                  <c:v>110565.43864488149</c:v>
                </c:pt>
                <c:pt idx="7">
                  <c:v>114648.66404338746</c:v>
                </c:pt>
                <c:pt idx="8">
                  <c:v>118769.99371583009</c:v>
                </c:pt>
                <c:pt idx="9">
                  <c:v>122622.3039587926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Location!$A$30</c:f>
              <c:strCache>
                <c:ptCount val="1"/>
                <c:pt idx="0">
                  <c:v>Scenario D: No zoning issues; No change in direction appropriateness</c:v>
                </c:pt>
              </c:strCache>
            </c:strRef>
          </c:tx>
          <c:spPr>
            <a:ln w="28575">
              <a:solidFill>
                <a:schemeClr val="accent4"/>
              </a:solidFill>
            </a:ln>
          </c:spPr>
          <c:dLbls>
            <c:dLbl>
              <c:idx val="9"/>
              <c:layout>
                <c:manualLayout>
                  <c:x val="0"/>
                  <c:y val="-9.7799485898135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Location!$C$26:$L$26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</c:numCache>
            </c:numRef>
          </c:xVal>
          <c:yVal>
            <c:numRef>
              <c:f>Location!$C$30:$L$30</c:f>
              <c:numCache>
                <c:formatCode>_-* #,##0_-;\-* #,##0_-;_-* "-"??_-;_-@_-</c:formatCode>
                <c:ptCount val="10"/>
                <c:pt idx="0">
                  <c:v>106655.6</c:v>
                </c:pt>
                <c:pt idx="1">
                  <c:v>107412.85476</c:v>
                </c:pt>
                <c:pt idx="2">
                  <c:v>108175.48602879602</c:v>
                </c:pt>
                <c:pt idx="3">
                  <c:v>108943.53197960049</c:v>
                </c:pt>
                <c:pt idx="4">
                  <c:v>109717.03105665567</c:v>
                </c:pt>
                <c:pt idx="5">
                  <c:v>110497.73172404207</c:v>
                </c:pt>
                <c:pt idx="6">
                  <c:v>114686.70540355836</c:v>
                </c:pt>
                <c:pt idx="7">
                  <c:v>118974.20320043553</c:v>
                </c:pt>
                <c:pt idx="8">
                  <c:v>123303.3961566974</c:v>
                </c:pt>
                <c:pt idx="9">
                  <c:v>127355.2390897929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908352"/>
        <c:axId val="45752320"/>
      </c:scatterChart>
      <c:valAx>
        <c:axId val="10090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752320"/>
        <c:crosses val="autoZero"/>
        <c:crossBetween val="midCat"/>
      </c:valAx>
      <c:valAx>
        <c:axId val="45752320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1009083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Estimation of the Word-of-Mouth and Adevertising</a:t>
            </a:r>
            <a:r>
              <a:rPr lang="en-US" sz="1200" baseline="0"/>
              <a:t> Effect</a:t>
            </a:r>
            <a:endParaRPr lang="en-US" sz="120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Attitudinal!$C$25</c:f>
              <c:strCache>
                <c:ptCount val="1"/>
                <c:pt idx="0">
                  <c:v>Overall awareness effect</c:v>
                </c:pt>
              </c:strCache>
            </c:strRef>
          </c:tx>
          <c:spPr>
            <a:ln w="28575">
              <a:noFill/>
            </a:ln>
          </c:spPr>
          <c:xVal>
            <c:numRef>
              <c:f>Attitudinal!$D$22:$AC$22</c:f>
              <c:numCache>
                <c:formatCode>General</c:formatCod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xVal>
          <c:yVal>
            <c:numRef>
              <c:f>Attitudinal!$D$25:$AC$25</c:f>
              <c:numCache>
                <c:formatCode>0%</c:formatCode>
                <c:ptCount val="26"/>
                <c:pt idx="0">
                  <c:v>3.6860000000000004E-2</c:v>
                </c:pt>
                <c:pt idx="1">
                  <c:v>4.34948E-2</c:v>
                </c:pt>
                <c:pt idx="2">
                  <c:v>5.1167282719999999E-2</c:v>
                </c:pt>
                <c:pt idx="3">
                  <c:v>5.998017994715333E-2</c:v>
                </c:pt>
                <c:pt idx="4">
                  <c:v>7.0024169280863482E-2</c:v>
                </c:pt>
                <c:pt idx="5">
                  <c:v>8.1368458219252676E-2</c:v>
                </c:pt>
                <c:pt idx="6">
                  <c:v>9.5930726711240033E-2</c:v>
                </c:pt>
                <c:pt idx="7">
                  <c:v>0.11242588104781519</c:v>
                </c:pt>
                <c:pt idx="8">
                  <c:v>0.13088559752768539</c:v>
                </c:pt>
                <c:pt idx="9">
                  <c:v>0.15126972259890553</c:v>
                </c:pt>
                <c:pt idx="10">
                  <c:v>0.17345434766442253</c:v>
                </c:pt>
                <c:pt idx="11">
                  <c:v>0.19722662781763059</c:v>
                </c:pt>
                <c:pt idx="12">
                  <c:v>0.22228904548561559</c:v>
                </c:pt>
                <c:pt idx="13">
                  <c:v>0.24827451296778871</c:v>
                </c:pt>
                <c:pt idx="14">
                  <c:v>0.27477159967425696</c:v>
                </c:pt>
                <c:pt idx="15">
                  <c:v>0.30135677102804215</c:v>
                </c:pt>
                <c:pt idx="16">
                  <c:v>0.32762862836115347</c:v>
                </c:pt>
                <c:pt idx="17">
                  <c:v>0.35323848747924674</c:v>
                </c:pt>
                <c:pt idx="18">
                  <c:v>0.37791253901250138</c:v>
                </c:pt>
                <c:pt idx="19">
                  <c:v>0.40146297848209478</c:v>
                </c:pt>
                <c:pt idx="20">
                  <c:v>0.42378807985681444</c:v>
                </c:pt>
                <c:pt idx="21">
                  <c:v>0.44486333896966646</c:v>
                </c:pt>
                <c:pt idx="22">
                  <c:v>0.4647269785800528</c:v>
                </c:pt>
                <c:pt idx="23">
                  <c:v>0.48346321149954719</c:v>
                </c:pt>
                <c:pt idx="24">
                  <c:v>0.50118600066492713</c:v>
                </c:pt>
                <c:pt idx="25">
                  <c:v>0.51802506792393577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55200"/>
        <c:axId val="45755776"/>
      </c:scatterChart>
      <c:valAx>
        <c:axId val="4575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755776"/>
        <c:crosses val="autoZero"/>
        <c:crossBetween val="midCat"/>
      </c:valAx>
      <c:valAx>
        <c:axId val="45755776"/>
        <c:scaling>
          <c:orientation val="minMax"/>
          <c:max val="0.60000000000000009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5755200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Demographic!$C$56</c:f>
              <c:strCache>
                <c:ptCount val="1"/>
                <c:pt idx="0">
                  <c:v>Pessimistic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Demographic!$D$55:$M$55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2021</c:v>
                </c:pt>
                <c:pt idx="7">
                  <c:v>2026</c:v>
                </c:pt>
                <c:pt idx="8">
                  <c:v>2031</c:v>
                </c:pt>
                <c:pt idx="9">
                  <c:v>2036</c:v>
                </c:pt>
              </c:numCache>
            </c:numRef>
          </c:xVal>
          <c:yVal>
            <c:numRef>
              <c:f>Demographic!$D$56:$M$56</c:f>
              <c:numCache>
                <c:formatCode>0.0%</c:formatCode>
                <c:ptCount val="10"/>
                <c:pt idx="0">
                  <c:v>0.49170208655332287</c:v>
                </c:pt>
                <c:pt idx="1">
                  <c:v>0.49332628137320894</c:v>
                </c:pt>
                <c:pt idx="2">
                  <c:v>0.49428120214395094</c:v>
                </c:pt>
                <c:pt idx="3">
                  <c:v>0.49524558893657611</c:v>
                </c:pt>
                <c:pt idx="4">
                  <c:v>0.49649372862029639</c:v>
                </c:pt>
                <c:pt idx="5">
                  <c:v>0.49795908703475705</c:v>
                </c:pt>
                <c:pt idx="6">
                  <c:v>0.49597088278931745</c:v>
                </c:pt>
                <c:pt idx="7">
                  <c:v>0.48752169544167351</c:v>
                </c:pt>
                <c:pt idx="8">
                  <c:v>0.48050419410119954</c:v>
                </c:pt>
                <c:pt idx="9">
                  <c:v>0.48255222281735416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Demographic!$C$57</c:f>
              <c:strCache>
                <c:ptCount val="1"/>
                <c:pt idx="0">
                  <c:v>Moderate</c:v>
                </c:pt>
              </c:strCache>
            </c:strRef>
          </c:tx>
          <c:spPr>
            <a:ln w="28575">
              <a:solidFill>
                <a:schemeClr val="accent2"/>
              </a:solidFill>
            </a:ln>
          </c:spPr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Demographic!$D$55:$M$55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2021</c:v>
                </c:pt>
                <c:pt idx="7">
                  <c:v>2026</c:v>
                </c:pt>
                <c:pt idx="8">
                  <c:v>2031</c:v>
                </c:pt>
                <c:pt idx="9">
                  <c:v>2036</c:v>
                </c:pt>
              </c:numCache>
            </c:numRef>
          </c:xVal>
          <c:yVal>
            <c:numRef>
              <c:f>Demographic!$D$57:$M$57</c:f>
              <c:numCache>
                <c:formatCode>0.0%</c:formatCode>
                <c:ptCount val="10"/>
                <c:pt idx="0">
                  <c:v>0.55804675425038619</c:v>
                </c:pt>
                <c:pt idx="1">
                  <c:v>0.55958265217809411</c:v>
                </c:pt>
                <c:pt idx="2">
                  <c:v>0.56045176110260342</c:v>
                </c:pt>
                <c:pt idx="3">
                  <c:v>0.56131616595135903</c:v>
                </c:pt>
                <c:pt idx="4">
                  <c:v>0.5625047510452299</c:v>
                </c:pt>
                <c:pt idx="5">
                  <c:v>0.56396439056728853</c:v>
                </c:pt>
                <c:pt idx="6">
                  <c:v>0.56204562314540041</c:v>
                </c:pt>
                <c:pt idx="7">
                  <c:v>0.55340275874668854</c:v>
                </c:pt>
                <c:pt idx="8">
                  <c:v>0.54596374131866154</c:v>
                </c:pt>
                <c:pt idx="9">
                  <c:v>0.54767898589537589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Demographic!$C$58</c:f>
              <c:strCache>
                <c:ptCount val="1"/>
                <c:pt idx="0">
                  <c:v>Optimistic</c:v>
                </c:pt>
              </c:strCache>
            </c:strRef>
          </c:tx>
          <c:spPr>
            <a:ln w="28575">
              <a:solidFill>
                <a:schemeClr val="accent3"/>
              </a:solidFill>
            </a:ln>
          </c:spPr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Demographic!$D$55:$M$55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2021</c:v>
                </c:pt>
                <c:pt idx="7">
                  <c:v>2026</c:v>
                </c:pt>
                <c:pt idx="8">
                  <c:v>2031</c:v>
                </c:pt>
                <c:pt idx="9">
                  <c:v>2036</c:v>
                </c:pt>
              </c:numCache>
            </c:numRef>
          </c:xVal>
          <c:yVal>
            <c:numRef>
              <c:f>Demographic!$D$58:$M$58</c:f>
              <c:numCache>
                <c:formatCode>0.0%</c:formatCode>
                <c:ptCount val="10"/>
                <c:pt idx="0">
                  <c:v>0.60683925811437378</c:v>
                </c:pt>
                <c:pt idx="1">
                  <c:v>0.60902009808635438</c:v>
                </c:pt>
                <c:pt idx="2">
                  <c:v>0.61067189892802454</c:v>
                </c:pt>
                <c:pt idx="3">
                  <c:v>0.61233190271816884</c:v>
                </c:pt>
                <c:pt idx="4">
                  <c:v>0.61434815659445074</c:v>
                </c:pt>
                <c:pt idx="5">
                  <c:v>0.61652618619187416</c:v>
                </c:pt>
                <c:pt idx="6">
                  <c:v>0.61857381305637971</c:v>
                </c:pt>
                <c:pt idx="7">
                  <c:v>0.61357449529551478</c:v>
                </c:pt>
                <c:pt idx="8">
                  <c:v>0.60975015784251818</c:v>
                </c:pt>
                <c:pt idx="9">
                  <c:v>0.61391715765041965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58080"/>
        <c:axId val="45758656"/>
      </c:scatterChart>
      <c:valAx>
        <c:axId val="4575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758656"/>
        <c:crosses val="autoZero"/>
        <c:crossBetween val="midCat"/>
      </c:valAx>
      <c:valAx>
        <c:axId val="45758656"/>
        <c:scaling>
          <c:orientation val="minMax"/>
          <c:max val="0.70000000000000007"/>
          <c:min val="0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crossAx val="457580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1238249</xdr:colOff>
      <xdr:row>21</xdr:row>
      <xdr:rowOff>85725</xdr:rowOff>
    </xdr:from>
    <xdr:to>
      <xdr:col>8</xdr:col>
      <xdr:colOff>47625</xdr:colOff>
      <xdr:row>40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133350</xdr:colOff>
      <xdr:row>21</xdr:row>
      <xdr:rowOff>104775</xdr:rowOff>
    </xdr:from>
    <xdr:to>
      <xdr:col>17</xdr:col>
      <xdr:colOff>219076</xdr:colOff>
      <xdr:row>40</xdr:row>
      <xdr:rowOff>180975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809625</xdr:colOff>
      <xdr:row>32</xdr:row>
      <xdr:rowOff>171449</xdr:rowOff>
    </xdr:from>
    <xdr:to>
      <xdr:col>9</xdr:col>
      <xdr:colOff>561974</xdr:colOff>
      <xdr:row>53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185737</xdr:colOff>
      <xdr:row>27</xdr:row>
      <xdr:rowOff>142875</xdr:rowOff>
    </xdr:from>
    <xdr:to>
      <xdr:col>9</xdr:col>
      <xdr:colOff>709612</xdr:colOff>
      <xdr:row>42</xdr:row>
      <xdr:rowOff>28575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60</xdr:row>
      <xdr:rowOff>142875</xdr:rowOff>
    </xdr:from>
    <xdr:to>
      <xdr:col>9</xdr:col>
      <xdr:colOff>485775</xdr:colOff>
      <xdr:row>80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0"/>
  <sheetViews>
    <sheetView tabSelected="1" workbookViewId="0">
      <selection activeCell="N4" sqref="N4:N18"/>
    </sheetView>
  </sheetViews>
  <sheetFormatPr defaultRowHeight="15" x14ac:dyDescent="0.25"/>
  <cols>
    <col min="1" max="1" width="20.85546875" customWidth="1"/>
    <col min="2" max="2" width="23.85546875" customWidth="1"/>
    <col min="3" max="3" width="10.5703125" bestFit="1" customWidth="1"/>
    <col min="4" max="7" width="10.5703125" customWidth="1"/>
    <col min="8" max="11" width="10.5703125" bestFit="1" customWidth="1"/>
    <col min="12" max="12" width="11.5703125" bestFit="1" customWidth="1"/>
  </cols>
  <sheetData>
    <row r="2" spans="1:19" x14ac:dyDescent="0.25">
      <c r="C2">
        <v>2010</v>
      </c>
      <c r="D2">
        <v>2011</v>
      </c>
      <c r="E2">
        <v>2012</v>
      </c>
      <c r="F2">
        <v>2013</v>
      </c>
      <c r="G2">
        <v>2014</v>
      </c>
      <c r="H2">
        <v>2015</v>
      </c>
      <c r="I2">
        <v>2020</v>
      </c>
      <c r="J2">
        <v>2025</v>
      </c>
      <c r="K2">
        <v>2030</v>
      </c>
      <c r="L2">
        <v>2035</v>
      </c>
    </row>
    <row r="3" spans="1:19" x14ac:dyDescent="0.25">
      <c r="B3" s="13" t="s">
        <v>61</v>
      </c>
      <c r="C3" s="6">
        <v>88</v>
      </c>
      <c r="D3" s="6">
        <v>88</v>
      </c>
      <c r="E3" s="6">
        <v>174</v>
      </c>
      <c r="F3" s="6">
        <v>215</v>
      </c>
      <c r="G3" s="6">
        <v>348</v>
      </c>
      <c r="H3" s="2"/>
      <c r="I3" s="2"/>
      <c r="J3" s="2"/>
      <c r="K3" s="2"/>
      <c r="L3" s="2"/>
    </row>
    <row r="4" spans="1:19" x14ac:dyDescent="0.25">
      <c r="B4" s="13" t="s">
        <v>59</v>
      </c>
      <c r="C4" s="12">
        <f>C3/C6</f>
        <v>8.2508560263127293E-4</v>
      </c>
      <c r="D4" s="12">
        <f>D3/D6</f>
        <v>8.192687941925062E-4</v>
      </c>
      <c r="E4" s="12">
        <f>E3/E6</f>
        <v>1.608497510736228E-3</v>
      </c>
      <c r="F4" s="12">
        <f>F3/F6</f>
        <v>1.9734994459355182E-3</v>
      </c>
      <c r="G4" s="12">
        <f>G3/G6</f>
        <v>3.171795633262258E-3</v>
      </c>
    </row>
    <row r="5" spans="1:19" x14ac:dyDescent="0.25">
      <c r="B5" t="s">
        <v>2</v>
      </c>
      <c r="C5" s="1">
        <v>345328</v>
      </c>
      <c r="D5" s="1">
        <f>C5*1.0071</f>
        <v>347779.82880000002</v>
      </c>
      <c r="E5" s="1">
        <f t="shared" ref="E5:G5" si="0">D5*1.0071</f>
        <v>350249.06558448006</v>
      </c>
      <c r="F5" s="1">
        <f t="shared" si="0"/>
        <v>352735.83395012992</v>
      </c>
      <c r="G5" s="1">
        <f t="shared" si="0"/>
        <v>355240.25837117591</v>
      </c>
      <c r="H5" s="1">
        <v>357768</v>
      </c>
      <c r="I5" s="1">
        <v>371331</v>
      </c>
      <c r="J5" s="1">
        <v>385213</v>
      </c>
      <c r="K5" s="1">
        <v>399230</v>
      </c>
      <c r="L5" s="1">
        <v>412349</v>
      </c>
      <c r="N5" s="3"/>
      <c r="O5" s="1"/>
      <c r="P5" s="1"/>
      <c r="Q5" s="1"/>
      <c r="R5" s="1"/>
      <c r="S5" s="1"/>
    </row>
    <row r="6" spans="1:19" x14ac:dyDescent="0.25">
      <c r="B6" t="s">
        <v>63</v>
      </c>
      <c r="C6" s="2">
        <f>Location!C30</f>
        <v>106655.6</v>
      </c>
      <c r="D6" s="2">
        <f>Location!D30</f>
        <v>107412.85476</v>
      </c>
      <c r="E6" s="2">
        <f>Location!E30</f>
        <v>108175.48602879602</v>
      </c>
      <c r="F6" s="2">
        <f>Location!F30</f>
        <v>108943.53197960049</v>
      </c>
      <c r="G6" s="2">
        <f>Location!G30</f>
        <v>109717.03105665567</v>
      </c>
      <c r="H6" s="2">
        <f>Location!H30</f>
        <v>110497.73172404207</v>
      </c>
      <c r="I6" s="2">
        <f>Location!I30</f>
        <v>114686.70540355836</v>
      </c>
      <c r="J6" s="2">
        <f>Location!J30</f>
        <v>118974.20320043553</v>
      </c>
      <c r="K6" s="2">
        <f>Location!K30</f>
        <v>123303.3961566974</v>
      </c>
      <c r="L6" s="2">
        <f>Location!L30</f>
        <v>127355.2390897929</v>
      </c>
    </row>
    <row r="7" spans="1:19" x14ac:dyDescent="0.25">
      <c r="B7" s="13"/>
    </row>
    <row r="8" spans="1:19" x14ac:dyDescent="0.25">
      <c r="A8" t="s">
        <v>3</v>
      </c>
      <c r="B8" s="13" t="s">
        <v>52</v>
      </c>
      <c r="C8" s="5">
        <v>0.25</v>
      </c>
      <c r="D8" s="5">
        <f>C8*(1.16)</f>
        <v>0.28999999999999998</v>
      </c>
      <c r="E8" s="5">
        <f t="shared" ref="E8:H8" si="1">D8*(1.16)</f>
        <v>0.33639999999999998</v>
      </c>
      <c r="F8" s="5">
        <f t="shared" si="1"/>
        <v>0.39022399999999996</v>
      </c>
      <c r="G8" s="5">
        <f t="shared" si="1"/>
        <v>0.45265983999999992</v>
      </c>
      <c r="H8" s="5">
        <f t="shared" si="1"/>
        <v>0.52508541439999989</v>
      </c>
      <c r="I8" s="5">
        <v>0.8</v>
      </c>
      <c r="J8" s="5">
        <v>0.8</v>
      </c>
      <c r="K8" s="5">
        <v>0.8</v>
      </c>
      <c r="L8" s="5">
        <v>0.8</v>
      </c>
      <c r="N8" s="3"/>
    </row>
    <row r="9" spans="1:19" x14ac:dyDescent="0.25">
      <c r="B9" s="13"/>
    </row>
    <row r="10" spans="1:19" x14ac:dyDescent="0.25">
      <c r="A10" t="s">
        <v>4</v>
      </c>
      <c r="B10" s="13" t="s">
        <v>5</v>
      </c>
      <c r="C10" s="3">
        <f>Attitudinal!D7</f>
        <v>0.38</v>
      </c>
      <c r="D10" s="3">
        <f>Attitudinal!E7</f>
        <v>0.38</v>
      </c>
      <c r="E10" s="3">
        <f>Attitudinal!F7</f>
        <v>0.38</v>
      </c>
      <c r="F10" s="3">
        <f>Attitudinal!G7</f>
        <v>0.38</v>
      </c>
      <c r="G10" s="3">
        <f>Attitudinal!H7</f>
        <v>0.38</v>
      </c>
      <c r="H10" s="3">
        <f>Attitudinal!I7</f>
        <v>0.38</v>
      </c>
      <c r="I10" s="3">
        <f>Attitudinal!J7</f>
        <v>0.41800000000000004</v>
      </c>
      <c r="J10" s="3">
        <f>Attitudinal!K7</f>
        <v>0.4598000000000001</v>
      </c>
      <c r="K10" s="3">
        <f>Attitudinal!L7</f>
        <v>0.50578000000000012</v>
      </c>
      <c r="L10" s="3">
        <f>Attitudinal!M7</f>
        <v>0.55635800000000013</v>
      </c>
      <c r="N10" s="3"/>
    </row>
    <row r="11" spans="1:19" x14ac:dyDescent="0.25">
      <c r="B11" s="13" t="s">
        <v>6</v>
      </c>
      <c r="C11" s="3">
        <f>Attitudinal!D6</f>
        <v>0.97</v>
      </c>
      <c r="D11" s="3">
        <f>Attitudinal!E6</f>
        <v>0.97</v>
      </c>
      <c r="E11" s="3">
        <f>Attitudinal!F6</f>
        <v>0.97</v>
      </c>
      <c r="F11" s="3">
        <f>Attitudinal!G6</f>
        <v>0.97</v>
      </c>
      <c r="G11" s="3">
        <f>Attitudinal!H6</f>
        <v>0.97</v>
      </c>
      <c r="H11" s="3">
        <f>Attitudinal!I6</f>
        <v>0.97</v>
      </c>
      <c r="I11" s="3">
        <f>Attitudinal!J6</f>
        <v>0.97</v>
      </c>
      <c r="J11" s="3">
        <f>Attitudinal!K6</f>
        <v>0.97</v>
      </c>
      <c r="K11" s="3">
        <f>Attitudinal!L6</f>
        <v>0.97</v>
      </c>
      <c r="L11" s="3">
        <f>Attitudinal!M6</f>
        <v>0.97</v>
      </c>
      <c r="N11" s="3"/>
    </row>
    <row r="12" spans="1:19" x14ac:dyDescent="0.25">
      <c r="B12" s="13" t="s">
        <v>36</v>
      </c>
      <c r="C12" s="3">
        <f>Attitudinal!D16</f>
        <v>0.32500000000000001</v>
      </c>
      <c r="D12" s="3">
        <f>Attitudinal!E16</f>
        <v>0.32500000000000001</v>
      </c>
      <c r="E12" s="3">
        <f>Attitudinal!F16</f>
        <v>0.32500000000000001</v>
      </c>
      <c r="F12" s="3">
        <f>Attitudinal!G16</f>
        <v>0.32500000000000001</v>
      </c>
      <c r="G12" s="3">
        <f>Attitudinal!H16</f>
        <v>0.32500000000000001</v>
      </c>
      <c r="H12" s="3">
        <f>Attitudinal!I16</f>
        <v>0.32500000000000001</v>
      </c>
      <c r="I12" s="3">
        <f>Attitudinal!J16</f>
        <v>0.44999999999999996</v>
      </c>
      <c r="J12" s="3">
        <f>Attitudinal!K16</f>
        <v>0.52500000000000002</v>
      </c>
      <c r="K12" s="3">
        <f>Attitudinal!L16</f>
        <v>0.59499999999999997</v>
      </c>
      <c r="L12" s="3">
        <f>Attitudinal!M16</f>
        <v>0.65749999999999997</v>
      </c>
      <c r="N12" s="3"/>
    </row>
    <row r="13" spans="1:19" x14ac:dyDescent="0.25">
      <c r="B13" s="13" t="s">
        <v>7</v>
      </c>
      <c r="C13" s="3">
        <f>Attitudinal!D8</f>
        <v>0.1</v>
      </c>
      <c r="D13" s="3">
        <f>Attitudinal!E8</f>
        <v>0.11800000000000001</v>
      </c>
      <c r="E13" s="3">
        <f>Attitudinal!F8</f>
        <v>0.1388152</v>
      </c>
      <c r="F13" s="3">
        <f>Attitudinal!G8</f>
        <v>0.16272430804979199</v>
      </c>
      <c r="G13" s="3">
        <f>Attitudinal!H8</f>
        <v>0.18997332957369367</v>
      </c>
      <c r="H13" s="3">
        <f>Attitudinal!I8</f>
        <v>0.22075002229856938</v>
      </c>
      <c r="I13" s="3">
        <f>Attitudinal!J8</f>
        <v>0.42621526527025821</v>
      </c>
      <c r="J13" s="3">
        <f>Attitudinal!K8</f>
        <v>0.67069320338773963</v>
      </c>
      <c r="K13" s="3">
        <f>Attitudinal!L8</f>
        <v>0.8542614913921972</v>
      </c>
      <c r="L13" s="3">
        <f>Attitudinal!M8</f>
        <v>0.94578410348389308</v>
      </c>
      <c r="N13" s="3"/>
    </row>
    <row r="14" spans="1:19" x14ac:dyDescent="0.25">
      <c r="B14" s="13"/>
    </row>
    <row r="15" spans="1:19" x14ac:dyDescent="0.25">
      <c r="A15" t="s">
        <v>8</v>
      </c>
      <c r="B15" s="13" t="s">
        <v>23</v>
      </c>
      <c r="C15" s="5">
        <f>Demographic!$D$17</f>
        <v>0.75700000000000001</v>
      </c>
      <c r="D15" s="5">
        <f>Demographic!$D$17</f>
        <v>0.75700000000000001</v>
      </c>
      <c r="E15" s="5">
        <f>Demographic!$D$17</f>
        <v>0.75700000000000001</v>
      </c>
      <c r="F15" s="5">
        <f>Demographic!$D$17</f>
        <v>0.75700000000000001</v>
      </c>
      <c r="G15" s="5">
        <f>Demographic!$D$17</f>
        <v>0.75700000000000001</v>
      </c>
      <c r="H15" s="5">
        <f>Demographic!$D$17</f>
        <v>0.75700000000000001</v>
      </c>
      <c r="I15" s="5">
        <f>Demographic!$D$17</f>
        <v>0.75700000000000001</v>
      </c>
      <c r="J15" s="5">
        <f>Demographic!$D$17</f>
        <v>0.75700000000000001</v>
      </c>
      <c r="K15" s="5">
        <f>Demographic!$D$17</f>
        <v>0.75700000000000001</v>
      </c>
      <c r="L15" s="5">
        <f>Demographic!$D$17</f>
        <v>0.75700000000000001</v>
      </c>
      <c r="N15" s="3"/>
    </row>
    <row r="16" spans="1:19" x14ac:dyDescent="0.25">
      <c r="B16" s="13" t="s">
        <v>86</v>
      </c>
      <c r="C16" s="3">
        <f>Demographic!C11</f>
        <v>0.61765403037112543</v>
      </c>
      <c r="D16" s="3">
        <f>Demographic!D11</f>
        <v>0.61886434052094741</v>
      </c>
      <c r="E16" s="3">
        <f>Demographic!E11</f>
        <v>0.62207084181232375</v>
      </c>
      <c r="F16" s="3">
        <f>Demographic!F11</f>
        <v>0.62014228068038002</v>
      </c>
      <c r="G16" s="3">
        <f>Demographic!G11</f>
        <v>0.62004169199382786</v>
      </c>
      <c r="H16" s="3">
        <f>Demographic!H11</f>
        <v>0.61975463707572087</v>
      </c>
      <c r="I16" s="3">
        <f>Demographic!I11</f>
        <v>0.62017475841663994</v>
      </c>
      <c r="J16" s="3">
        <f>Demographic!J11</f>
        <v>0.62043684199577853</v>
      </c>
      <c r="K16" s="3">
        <f>Demographic!K11</f>
        <v>0.62011004203246944</v>
      </c>
      <c r="L16" s="3">
        <f>Demographic!L11</f>
        <v>0.62010359430288731</v>
      </c>
      <c r="N16" s="3"/>
    </row>
    <row r="17" spans="2:14" x14ac:dyDescent="0.25">
      <c r="B17" s="13" t="s">
        <v>22</v>
      </c>
      <c r="C17" s="3">
        <f>Demographic!D57</f>
        <v>0.55804675425038619</v>
      </c>
      <c r="D17" s="3">
        <f>Demographic!E57</f>
        <v>0.55958265217809411</v>
      </c>
      <c r="E17" s="3">
        <f>Demographic!F57</f>
        <v>0.56045176110260342</v>
      </c>
      <c r="F17" s="3">
        <f>Demographic!G57</f>
        <v>0.56131616595135903</v>
      </c>
      <c r="G17" s="3">
        <f>Demographic!H57</f>
        <v>0.5625047510452299</v>
      </c>
      <c r="H17" s="3">
        <f>Demographic!I57</f>
        <v>0.56396439056728853</v>
      </c>
      <c r="I17" s="3">
        <f>Demographic!J57</f>
        <v>0.56204562314540041</v>
      </c>
      <c r="J17" s="3">
        <f>Demographic!K57</f>
        <v>0.55340275874668854</v>
      </c>
      <c r="K17" s="3">
        <f>Demographic!L57</f>
        <v>0.54596374131866154</v>
      </c>
      <c r="L17" s="3">
        <f>Demographic!M57</f>
        <v>0.54767898589537589</v>
      </c>
      <c r="N17" s="3"/>
    </row>
    <row r="18" spans="2:14" x14ac:dyDescent="0.25">
      <c r="B18" s="13"/>
    </row>
    <row r="19" spans="2:14" x14ac:dyDescent="0.25">
      <c r="B19" s="13" t="s">
        <v>62</v>
      </c>
      <c r="C19" s="15">
        <f>C6*C8*C10*C11*C12*C13*C15*C16*C17</f>
        <v>83.343955731386089</v>
      </c>
      <c r="D19" s="15">
        <f t="shared" ref="D19:L19" si="2">D6*D8*D10*D11*D12*D13*D15*D16*D17</f>
        <v>115.43314733776562</v>
      </c>
      <c r="E19" s="15">
        <f t="shared" si="2"/>
        <v>159.71088645638667</v>
      </c>
      <c r="F19" s="15">
        <f t="shared" si="2"/>
        <v>218.37419877014349</v>
      </c>
      <c r="G19" s="15">
        <f t="shared" si="2"/>
        <v>298.41476414236638</v>
      </c>
      <c r="H19" s="15">
        <f t="shared" si="2"/>
        <v>405.96642116649406</v>
      </c>
      <c r="I19" s="15">
        <f t="shared" si="2"/>
        <v>1882.6696862014369</v>
      </c>
      <c r="J19" s="15">
        <f t="shared" si="2"/>
        <v>3885.0935414420628</v>
      </c>
      <c r="K19" s="15">
        <f t="shared" si="2"/>
        <v>6304.2677843368438</v>
      </c>
      <c r="L19" s="15">
        <f t="shared" si="2"/>
        <v>8790.363758065394</v>
      </c>
    </row>
    <row r="20" spans="2:14" x14ac:dyDescent="0.25">
      <c r="B20" s="13" t="s">
        <v>60</v>
      </c>
      <c r="C20" s="16">
        <f t="shared" ref="C20:L20" si="3">C19/C6</f>
        <v>7.814306584125549E-4</v>
      </c>
      <c r="D20" s="16">
        <f t="shared" si="3"/>
        <v>1.0746679026051949E-3</v>
      </c>
      <c r="E20" s="16">
        <f t="shared" si="3"/>
        <v>1.4764055362216915E-3</v>
      </c>
      <c r="F20" s="16">
        <f t="shared" si="3"/>
        <v>2.0044714431604231E-3</v>
      </c>
      <c r="G20" s="16">
        <f t="shared" si="3"/>
        <v>2.7198581776084608E-3</v>
      </c>
      <c r="H20" s="16">
        <f t="shared" si="3"/>
        <v>3.6739796811427576E-3</v>
      </c>
      <c r="I20" s="16">
        <f t="shared" si="3"/>
        <v>1.6415762224372205E-2</v>
      </c>
      <c r="J20" s="16">
        <f t="shared" si="3"/>
        <v>3.2654923814844604E-2</v>
      </c>
      <c r="K20" s="16">
        <f t="shared" si="3"/>
        <v>5.1128095258018716E-2</v>
      </c>
      <c r="L20" s="16">
        <f t="shared" si="3"/>
        <v>6.9022396101566519E-2</v>
      </c>
    </row>
  </sheetData>
  <conditionalFormatting sqref="C19:L19">
    <cfRule type="colorScale" priority="1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17:L17">
    <cfRule type="colorScale" priority="1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16:L16">
    <cfRule type="colorScale" priority="1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15:L15">
    <cfRule type="colorScale" priority="1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12:L12">
    <cfRule type="colorScale" priority="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11:L11">
    <cfRule type="colorScale" priority="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10:L10">
    <cfRule type="colorScale" priority="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8:L8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6:L6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5:L5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13:L13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20:L20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>
      <selection activeCell="A4" sqref="A4"/>
    </sheetView>
  </sheetViews>
  <sheetFormatPr defaultRowHeight="15" x14ac:dyDescent="0.25"/>
  <cols>
    <col min="1" max="1" width="41.7109375" customWidth="1"/>
    <col min="2" max="7" width="10.42578125" customWidth="1"/>
    <col min="8" max="12" width="9.85546875" customWidth="1"/>
  </cols>
  <sheetData>
    <row r="2" spans="1:12" x14ac:dyDescent="0.25">
      <c r="C2" s="9">
        <v>2010</v>
      </c>
      <c r="D2" s="9">
        <v>2011</v>
      </c>
      <c r="E2" s="9">
        <v>2012</v>
      </c>
      <c r="F2" s="9">
        <v>2013</v>
      </c>
      <c r="G2" s="9">
        <v>2014</v>
      </c>
      <c r="H2" s="9">
        <v>2015</v>
      </c>
      <c r="I2" s="9">
        <v>2020</v>
      </c>
      <c r="J2" s="9">
        <v>2025</v>
      </c>
      <c r="K2" s="9">
        <v>2030</v>
      </c>
      <c r="L2" s="9">
        <v>2035</v>
      </c>
    </row>
    <row r="3" spans="1:12" x14ac:dyDescent="0.25">
      <c r="A3" t="s">
        <v>64</v>
      </c>
      <c r="C3" s="1">
        <v>345328</v>
      </c>
      <c r="D3" s="7">
        <v>347779.82880000002</v>
      </c>
      <c r="E3" s="7">
        <v>350249.06558448006</v>
      </c>
      <c r="F3" s="7">
        <v>352735.83395012992</v>
      </c>
      <c r="G3" s="7">
        <v>355240.25837117591</v>
      </c>
      <c r="H3" s="1">
        <v>357768</v>
      </c>
      <c r="I3" s="1">
        <v>371331</v>
      </c>
      <c r="J3" s="1">
        <v>385213</v>
      </c>
      <c r="K3" s="1">
        <v>399230</v>
      </c>
      <c r="L3" s="1">
        <v>412349</v>
      </c>
    </row>
    <row r="4" spans="1:12" x14ac:dyDescent="0.25">
      <c r="A4" t="s">
        <v>73</v>
      </c>
      <c r="C4" s="1">
        <v>36952</v>
      </c>
      <c r="D4" s="1">
        <v>36952</v>
      </c>
      <c r="E4" s="1">
        <v>36952</v>
      </c>
      <c r="F4" s="1">
        <v>36952</v>
      </c>
      <c r="G4" s="1">
        <v>36952</v>
      </c>
      <c r="H4" s="1">
        <f>C4*0.97</f>
        <v>35843.440000000002</v>
      </c>
      <c r="I4" s="1">
        <f t="shared" ref="I4:L4" si="0">H4*0.97</f>
        <v>34768.1368</v>
      </c>
      <c r="J4" s="1">
        <f t="shared" si="0"/>
        <v>33725.092696</v>
      </c>
      <c r="K4" s="1">
        <f t="shared" si="0"/>
        <v>32713.339915119999</v>
      </c>
      <c r="L4" s="1">
        <f t="shared" si="0"/>
        <v>31731.939717666399</v>
      </c>
    </row>
    <row r="5" spans="1:12" x14ac:dyDescent="0.25">
      <c r="A5" t="s">
        <v>75</v>
      </c>
      <c r="C5" s="3">
        <f>C4/C3</f>
        <v>0.10700551359866561</v>
      </c>
      <c r="D5" s="3">
        <f t="shared" ref="D5:G5" si="1">D4/D3</f>
        <v>0.10625113057160721</v>
      </c>
      <c r="E5" s="3">
        <f t="shared" si="1"/>
        <v>0.10550206590369098</v>
      </c>
      <c r="F5" s="3">
        <f>F4/F3</f>
        <v>0.10475828210077547</v>
      </c>
      <c r="G5" s="3">
        <f t="shared" si="1"/>
        <v>0.10401974193305077</v>
      </c>
      <c r="H5" s="3">
        <f t="shared" ref="H5:L5" si="2">H4/H3</f>
        <v>0.10018626596006351</v>
      </c>
      <c r="I5" s="3">
        <f t="shared" si="2"/>
        <v>9.3631118328391646E-2</v>
      </c>
      <c r="J5" s="3">
        <f t="shared" si="2"/>
        <v>8.7549207051683092E-2</v>
      </c>
      <c r="K5" s="3">
        <f t="shared" si="2"/>
        <v>8.1941086379079722E-2</v>
      </c>
      <c r="L5" s="3">
        <f t="shared" si="2"/>
        <v>7.6954084325817199E-2</v>
      </c>
    </row>
    <row r="6" spans="1:12" x14ac:dyDescent="0.25">
      <c r="A6" t="s">
        <v>68</v>
      </c>
      <c r="C6" s="3">
        <f>1-C5</f>
        <v>0.89299448640133439</v>
      </c>
      <c r="D6" s="3">
        <f t="shared" ref="D6:G6" si="3">1-D5</f>
        <v>0.89374886942839282</v>
      </c>
      <c r="E6" s="3">
        <f t="shared" si="3"/>
        <v>0.89449793409630907</v>
      </c>
      <c r="F6" s="3">
        <f t="shared" si="3"/>
        <v>0.89524171789922458</v>
      </c>
      <c r="G6" s="3">
        <f t="shared" si="3"/>
        <v>0.89598025806694925</v>
      </c>
      <c r="H6" s="3">
        <f t="shared" ref="H6:L6" si="4">1-H5</f>
        <v>0.89981373403993647</v>
      </c>
      <c r="I6" s="3">
        <f t="shared" si="4"/>
        <v>0.90636888167160834</v>
      </c>
      <c r="J6" s="3">
        <f t="shared" si="4"/>
        <v>0.91245079294831688</v>
      </c>
      <c r="K6" s="3">
        <f t="shared" si="4"/>
        <v>0.91805891362092029</v>
      </c>
      <c r="L6" s="3">
        <f t="shared" si="4"/>
        <v>0.92304591567418282</v>
      </c>
    </row>
    <row r="7" spans="1:12" x14ac:dyDescent="0.25">
      <c r="A7" t="s">
        <v>74</v>
      </c>
      <c r="C7" s="3">
        <f>C20</f>
        <v>0.71</v>
      </c>
      <c r="D7" s="3">
        <f t="shared" ref="D7:L7" si="5">D20</f>
        <v>0.71</v>
      </c>
      <c r="E7" s="3">
        <f t="shared" si="5"/>
        <v>0.71</v>
      </c>
      <c r="F7" s="3">
        <f t="shared" si="5"/>
        <v>0.71</v>
      </c>
      <c r="G7" s="3">
        <f t="shared" si="5"/>
        <v>0.71</v>
      </c>
      <c r="H7" s="3">
        <f t="shared" si="5"/>
        <v>0.71</v>
      </c>
      <c r="I7" s="3">
        <f t="shared" si="5"/>
        <v>0.71870000000000001</v>
      </c>
      <c r="J7" s="3">
        <f t="shared" si="5"/>
        <v>0.72713899999999998</v>
      </c>
      <c r="K7" s="3">
        <f t="shared" si="5"/>
        <v>0.73532483000000004</v>
      </c>
      <c r="L7" s="3">
        <f t="shared" si="5"/>
        <v>0.7432650851</v>
      </c>
    </row>
    <row r="8" spans="1:12" x14ac:dyDescent="0.25"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C9" s="3"/>
      <c r="H9" s="3"/>
      <c r="I9" s="3"/>
      <c r="J9" s="3"/>
      <c r="K9" s="3"/>
      <c r="L9" s="3"/>
    </row>
    <row r="10" spans="1:12" x14ac:dyDescent="0.25">
      <c r="A10" t="s">
        <v>16</v>
      </c>
      <c r="C10" s="5">
        <v>1</v>
      </c>
      <c r="D10" s="5">
        <v>1</v>
      </c>
      <c r="E10" s="5">
        <v>1</v>
      </c>
      <c r="F10" s="5">
        <v>1</v>
      </c>
      <c r="G10" s="5">
        <v>1</v>
      </c>
      <c r="H10" s="5">
        <f>H24</f>
        <v>1</v>
      </c>
      <c r="I10" s="5">
        <f>I24</f>
        <v>0.96406499999999995</v>
      </c>
      <c r="J10" s="5">
        <f>J24</f>
        <v>0.96364304999999995</v>
      </c>
      <c r="K10" s="5">
        <f>K24</f>
        <v>0.96323375849999993</v>
      </c>
      <c r="L10" s="5">
        <f>L24</f>
        <v>0.962836745745</v>
      </c>
    </row>
    <row r="11" spans="1:12" x14ac:dyDescent="0.25">
      <c r="A11" t="s">
        <v>67</v>
      </c>
      <c r="C11" s="3">
        <f>C5*C15+C6*C14</f>
        <v>0.3088530324792661</v>
      </c>
      <c r="D11" s="3">
        <f t="shared" ref="D11:G11" si="6">D5*D15+D6*D14</f>
        <v>0.30843812181438396</v>
      </c>
      <c r="E11" s="3">
        <f t="shared" si="6"/>
        <v>0.30802613624703007</v>
      </c>
      <c r="F11" s="3">
        <f t="shared" si="6"/>
        <v>0.30761705515542653</v>
      </c>
      <c r="G11" s="3">
        <f t="shared" si="6"/>
        <v>0.30721085806317794</v>
      </c>
      <c r="H11" s="3">
        <f t="shared" ref="H11:L11" si="7">H5*H15+H6*H14</f>
        <v>0.30510244627803496</v>
      </c>
      <c r="I11" s="3">
        <f t="shared" si="7"/>
        <v>0.30149711508061539</v>
      </c>
      <c r="J11" s="3">
        <f t="shared" si="7"/>
        <v>0.34377460352584155</v>
      </c>
      <c r="K11" s="3">
        <f t="shared" si="7"/>
        <v>0.38687348887058587</v>
      </c>
      <c r="L11" s="3">
        <f t="shared" si="7"/>
        <v>0.43078163373032691</v>
      </c>
    </row>
    <row r="12" spans="1:12" x14ac:dyDescent="0.25"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25">
      <c r="C13" s="9">
        <v>2010</v>
      </c>
      <c r="D13" s="9">
        <v>2011</v>
      </c>
      <c r="E13" s="9">
        <v>2012</v>
      </c>
      <c r="F13" s="9">
        <v>2013</v>
      </c>
      <c r="G13" s="9">
        <v>2014</v>
      </c>
      <c r="H13" s="9">
        <v>2015</v>
      </c>
      <c r="I13" s="9">
        <v>2020</v>
      </c>
      <c r="J13" s="9">
        <v>2025</v>
      </c>
      <c r="K13" s="9">
        <v>2030</v>
      </c>
      <c r="L13" s="9">
        <v>2035</v>
      </c>
    </row>
    <row r="14" spans="1:12" x14ac:dyDescent="0.25">
      <c r="A14" t="s">
        <v>66</v>
      </c>
      <c r="C14" s="3">
        <v>0.25</v>
      </c>
      <c r="D14" s="3">
        <v>0.25</v>
      </c>
      <c r="E14" s="3">
        <v>0.25</v>
      </c>
      <c r="F14" s="3">
        <v>0.25</v>
      </c>
      <c r="G14" s="3">
        <v>0.25</v>
      </c>
      <c r="H14" s="3">
        <v>0.25</v>
      </c>
      <c r="I14" s="3">
        <v>0.25</v>
      </c>
      <c r="J14" s="3">
        <v>0.3</v>
      </c>
      <c r="K14" s="3">
        <v>0.35</v>
      </c>
      <c r="L14" s="3">
        <v>0.4</v>
      </c>
    </row>
    <row r="15" spans="1:12" x14ac:dyDescent="0.25">
      <c r="A15" t="s">
        <v>65</v>
      </c>
      <c r="C15" s="3">
        <v>0.8</v>
      </c>
      <c r="D15" s="3">
        <v>0.8</v>
      </c>
      <c r="E15" s="3">
        <v>0.8</v>
      </c>
      <c r="F15" s="3">
        <v>0.8</v>
      </c>
      <c r="G15" s="3">
        <v>0.8</v>
      </c>
      <c r="H15" s="3">
        <v>0.8</v>
      </c>
      <c r="I15" s="3">
        <v>0.8</v>
      </c>
      <c r="J15" s="3">
        <v>0.8</v>
      </c>
      <c r="K15" s="3">
        <v>0.8</v>
      </c>
      <c r="L15" s="3">
        <v>0.8</v>
      </c>
    </row>
    <row r="16" spans="1:12" x14ac:dyDescent="0.25">
      <c r="A16" t="s">
        <v>71</v>
      </c>
      <c r="C16" s="3">
        <f>C15*C5+C14*C6</f>
        <v>0.3088530324792661</v>
      </c>
      <c r="D16" s="3">
        <f t="shared" ref="D16:G16" si="8">D15*D5+D14*D6</f>
        <v>0.30843812181438396</v>
      </c>
      <c r="E16" s="3">
        <f t="shared" si="8"/>
        <v>0.30802613624703007</v>
      </c>
      <c r="F16" s="3">
        <f t="shared" si="8"/>
        <v>0.30761705515542653</v>
      </c>
      <c r="G16" s="3">
        <f t="shared" si="8"/>
        <v>0.30721085806317794</v>
      </c>
      <c r="H16" s="3">
        <f>H15*H5+H14*H6</f>
        <v>0.30510244627803496</v>
      </c>
      <c r="I16" s="3">
        <f>I15*I5+I14*I6</f>
        <v>0.30149711508061539</v>
      </c>
      <c r="J16" s="3">
        <f>J15*J5+J14*J6</f>
        <v>0.34377460352584155</v>
      </c>
      <c r="K16" s="3">
        <f>K15*K5+K14*K6</f>
        <v>0.38687348887058587</v>
      </c>
      <c r="L16" s="3">
        <f>L15*L5+L14*L6</f>
        <v>0.43078163373032691</v>
      </c>
    </row>
    <row r="17" spans="1:13" x14ac:dyDescent="0.25">
      <c r="C17" s="3"/>
      <c r="H17" s="3"/>
      <c r="I17" s="3"/>
      <c r="J17" s="3"/>
      <c r="K17" s="3"/>
      <c r="L17" s="3"/>
    </row>
    <row r="18" spans="1:13" x14ac:dyDescent="0.25">
      <c r="A18" s="9" t="s">
        <v>11</v>
      </c>
    </row>
    <row r="19" spans="1:13" x14ac:dyDescent="0.25">
      <c r="C19" s="9">
        <v>2010</v>
      </c>
      <c r="D19" s="9">
        <v>2011</v>
      </c>
      <c r="E19" s="9">
        <v>2012</v>
      </c>
      <c r="F19" s="9">
        <v>2013</v>
      </c>
      <c r="G19" s="9">
        <v>2014</v>
      </c>
      <c r="H19" s="9">
        <v>2015</v>
      </c>
      <c r="I19" s="9">
        <v>2020</v>
      </c>
      <c r="J19" s="9">
        <v>2025</v>
      </c>
      <c r="K19" s="9">
        <v>2030</v>
      </c>
      <c r="L19" s="9">
        <v>2035</v>
      </c>
    </row>
    <row r="20" spans="1:13" x14ac:dyDescent="0.25">
      <c r="A20" t="s">
        <v>12</v>
      </c>
      <c r="B20" t="s">
        <v>69</v>
      </c>
      <c r="C20" s="5">
        <v>0.71</v>
      </c>
      <c r="D20" s="5">
        <v>0.71</v>
      </c>
      <c r="E20" s="5">
        <v>0.71</v>
      </c>
      <c r="F20" s="5">
        <v>0.71</v>
      </c>
      <c r="G20" s="5">
        <v>0.71</v>
      </c>
      <c r="H20" s="5">
        <v>0.71</v>
      </c>
      <c r="I20" s="5">
        <f>1-I21</f>
        <v>0.71870000000000001</v>
      </c>
      <c r="J20" s="5">
        <f t="shared" ref="J20:K20" si="9">1-J21</f>
        <v>0.72713899999999998</v>
      </c>
      <c r="K20" s="5">
        <f t="shared" si="9"/>
        <v>0.73532483000000004</v>
      </c>
      <c r="L20" s="5">
        <f>1-L21</f>
        <v>0.7432650851</v>
      </c>
    </row>
    <row r="21" spans="1:13" x14ac:dyDescent="0.25">
      <c r="A21" t="s">
        <v>13</v>
      </c>
      <c r="B21" t="s">
        <v>70</v>
      </c>
      <c r="C21" s="3">
        <v>0.28999999999999998</v>
      </c>
      <c r="D21" s="3">
        <v>0.28999999999999998</v>
      </c>
      <c r="E21" s="3">
        <v>0.28999999999999998</v>
      </c>
      <c r="F21" s="3">
        <v>0.28999999999999998</v>
      </c>
      <c r="G21" s="3">
        <v>0.28999999999999998</v>
      </c>
      <c r="H21" s="3">
        <v>0.28999999999999998</v>
      </c>
      <c r="I21" s="3">
        <f>H21*0.97</f>
        <v>0.28129999999999999</v>
      </c>
      <c r="J21" s="3">
        <f t="shared" ref="J21:L21" si="10">I21*0.97</f>
        <v>0.27286099999999996</v>
      </c>
      <c r="K21" s="3">
        <f t="shared" si="10"/>
        <v>0.26467516999999996</v>
      </c>
      <c r="L21" s="3">
        <f t="shared" si="10"/>
        <v>0.25673491489999994</v>
      </c>
    </row>
    <row r="23" spans="1:13" x14ac:dyDescent="0.25">
      <c r="B23" t="s">
        <v>14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0.05</v>
      </c>
      <c r="J23" s="5">
        <v>0.05</v>
      </c>
      <c r="K23" s="5">
        <v>0.05</v>
      </c>
      <c r="L23" s="5">
        <v>0.05</v>
      </c>
    </row>
    <row r="24" spans="1:13" x14ac:dyDescent="0.25">
      <c r="B24" t="s">
        <v>15</v>
      </c>
      <c r="C24" s="5">
        <f>C21+C20*(1-C23)</f>
        <v>1</v>
      </c>
      <c r="D24" s="5">
        <f t="shared" ref="D24:G24" si="11">D21+D20*(1-D23)</f>
        <v>1</v>
      </c>
      <c r="E24" s="5">
        <f t="shared" si="11"/>
        <v>1</v>
      </c>
      <c r="F24" s="5">
        <f t="shared" si="11"/>
        <v>1</v>
      </c>
      <c r="G24" s="5">
        <f t="shared" si="11"/>
        <v>1</v>
      </c>
      <c r="H24" s="5">
        <f>H21+H20*(1-H23)</f>
        <v>1</v>
      </c>
      <c r="I24" s="5">
        <f t="shared" ref="I24:L24" si="12">I21+I20*(1-I23)</f>
        <v>0.96406499999999995</v>
      </c>
      <c r="J24" s="5">
        <f t="shared" si="12"/>
        <v>0.96364304999999995</v>
      </c>
      <c r="K24" s="5">
        <f t="shared" si="12"/>
        <v>0.96323375849999993</v>
      </c>
      <c r="L24" s="5">
        <f t="shared" si="12"/>
        <v>0.962836745745</v>
      </c>
    </row>
    <row r="26" spans="1:13" x14ac:dyDescent="0.25">
      <c r="A26" s="9" t="s">
        <v>72</v>
      </c>
      <c r="C26" s="9">
        <v>2010</v>
      </c>
      <c r="D26" s="9">
        <v>2011</v>
      </c>
      <c r="E26" s="9">
        <v>2012</v>
      </c>
      <c r="F26" s="9">
        <v>2013</v>
      </c>
      <c r="G26" s="9">
        <v>2014</v>
      </c>
      <c r="H26" s="9">
        <v>2015</v>
      </c>
      <c r="I26" s="9">
        <v>2020</v>
      </c>
      <c r="J26" s="9">
        <v>2025</v>
      </c>
      <c r="K26" s="9">
        <v>2030</v>
      </c>
      <c r="L26" s="9">
        <v>2035</v>
      </c>
    </row>
    <row r="27" spans="1:13" x14ac:dyDescent="0.25">
      <c r="A27" t="s">
        <v>17</v>
      </c>
      <c r="C27" s="2">
        <f t="shared" ref="C27:L27" si="13">C3*C16</f>
        <v>106655.6</v>
      </c>
      <c r="D27" s="2">
        <f t="shared" si="13"/>
        <v>107268.55720000001</v>
      </c>
      <c r="E27" s="2">
        <f t="shared" si="13"/>
        <v>107885.86639612002</v>
      </c>
      <c r="F27" s="2">
        <f t="shared" si="13"/>
        <v>108507.55848753249</v>
      </c>
      <c r="G27" s="2">
        <f t="shared" si="13"/>
        <v>109133.66459279398</v>
      </c>
      <c r="H27" s="2">
        <f t="shared" si="13"/>
        <v>109155.89200000001</v>
      </c>
      <c r="I27" s="2">
        <f t="shared" si="13"/>
        <v>111955.22523999999</v>
      </c>
      <c r="J27" s="2">
        <f t="shared" si="13"/>
        <v>132426.446348</v>
      </c>
      <c r="K27" s="2">
        <f t="shared" si="13"/>
        <v>154451.50296180398</v>
      </c>
      <c r="L27" s="2">
        <f t="shared" si="13"/>
        <v>177632.37588706656</v>
      </c>
      <c r="M27" s="3">
        <f>(L27-H27)/H27</f>
        <v>0.62732741799285141</v>
      </c>
    </row>
    <row r="28" spans="1:13" x14ac:dyDescent="0.25">
      <c r="A28" t="s">
        <v>18</v>
      </c>
      <c r="C28" s="2">
        <f t="shared" ref="C28:L28" si="14">C3*C10*C16</f>
        <v>106655.6</v>
      </c>
      <c r="D28" s="2">
        <f t="shared" si="14"/>
        <v>107268.55720000001</v>
      </c>
      <c r="E28" s="2">
        <f t="shared" si="14"/>
        <v>107885.86639612002</v>
      </c>
      <c r="F28" s="2">
        <f t="shared" si="14"/>
        <v>108507.55848753249</v>
      </c>
      <c r="G28" s="2">
        <f t="shared" si="14"/>
        <v>109133.66459279398</v>
      </c>
      <c r="H28" s="2">
        <f t="shared" si="14"/>
        <v>109155.89200000001</v>
      </c>
      <c r="I28" s="2">
        <f t="shared" si="14"/>
        <v>107932.11422100059</v>
      </c>
      <c r="J28" s="2">
        <f t="shared" si="14"/>
        <v>127611.82465944809</v>
      </c>
      <c r="K28" s="2">
        <f t="shared" si="14"/>
        <v>148772.90170387234</v>
      </c>
      <c r="L28" s="2">
        <f t="shared" si="14"/>
        <v>171030.9787380558</v>
      </c>
      <c r="M28" s="3">
        <f t="shared" ref="M28:M30" si="15">(L28-H28)/H28</f>
        <v>0.56685063540185066</v>
      </c>
    </row>
    <row r="29" spans="1:13" x14ac:dyDescent="0.25">
      <c r="A29" t="s">
        <v>19</v>
      </c>
      <c r="C29" s="2">
        <f t="shared" ref="C29:L29" si="16">C3*C10*$C$16</f>
        <v>106655.6</v>
      </c>
      <c r="D29" s="2">
        <f t="shared" si="16"/>
        <v>107412.85476</v>
      </c>
      <c r="E29" s="2">
        <f t="shared" si="16"/>
        <v>108175.48602879602</v>
      </c>
      <c r="F29" s="2">
        <f t="shared" si="16"/>
        <v>108943.53197960049</v>
      </c>
      <c r="G29" s="2">
        <f t="shared" si="16"/>
        <v>109717.03105665567</v>
      </c>
      <c r="H29" s="2">
        <f t="shared" si="16"/>
        <v>110497.73172404207</v>
      </c>
      <c r="I29" s="2">
        <f t="shared" si="16"/>
        <v>110565.43864488149</v>
      </c>
      <c r="J29" s="2">
        <f t="shared" si="16"/>
        <v>114648.66404338746</v>
      </c>
      <c r="K29" s="2">
        <f t="shared" si="16"/>
        <v>118769.99371583009</v>
      </c>
      <c r="L29" s="2">
        <f t="shared" si="16"/>
        <v>122622.3039587926</v>
      </c>
      <c r="M29" s="3">
        <f t="shared" si="15"/>
        <v>0.10972688801459329</v>
      </c>
    </row>
    <row r="30" spans="1:13" x14ac:dyDescent="0.25">
      <c r="A30" t="s">
        <v>20</v>
      </c>
      <c r="C30" s="2">
        <f t="shared" ref="C30:L30" si="17">C3*$C$16</f>
        <v>106655.6</v>
      </c>
      <c r="D30" s="2">
        <f t="shared" si="17"/>
        <v>107412.85476</v>
      </c>
      <c r="E30" s="2">
        <f t="shared" si="17"/>
        <v>108175.48602879602</v>
      </c>
      <c r="F30" s="2">
        <f t="shared" si="17"/>
        <v>108943.53197960049</v>
      </c>
      <c r="G30" s="2">
        <f t="shared" si="17"/>
        <v>109717.03105665567</v>
      </c>
      <c r="H30" s="2">
        <f t="shared" si="17"/>
        <v>110497.73172404207</v>
      </c>
      <c r="I30" s="2">
        <f t="shared" si="17"/>
        <v>114686.70540355836</v>
      </c>
      <c r="J30" s="2">
        <f t="shared" si="17"/>
        <v>118974.20320043553</v>
      </c>
      <c r="K30" s="2">
        <f t="shared" si="17"/>
        <v>123303.3961566974</v>
      </c>
      <c r="L30" s="2">
        <f t="shared" si="17"/>
        <v>127355.2390897929</v>
      </c>
      <c r="M30" s="3">
        <f t="shared" si="15"/>
        <v>0.15255975939715133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workbookViewId="0">
      <selection activeCell="B28" sqref="B28"/>
    </sheetView>
  </sheetViews>
  <sheetFormatPr defaultRowHeight="15" x14ac:dyDescent="0.25"/>
  <cols>
    <col min="4" max="4" width="9.7109375" bestFit="1" customWidth="1"/>
    <col min="5" max="5" width="9.28515625" bestFit="1" customWidth="1"/>
    <col min="6" max="7" width="10" customWidth="1"/>
    <col min="8" max="8" width="10.5703125" bestFit="1" customWidth="1"/>
    <col min="9" max="13" width="11.140625" customWidth="1"/>
  </cols>
  <sheetData>
    <row r="1" spans="1:14" x14ac:dyDescent="0.25">
      <c r="C1" t="s">
        <v>44</v>
      </c>
      <c r="D1" s="6">
        <v>88</v>
      </c>
      <c r="E1" s="6">
        <v>88</v>
      </c>
      <c r="F1" s="6">
        <v>174</v>
      </c>
      <c r="G1" s="6">
        <v>215</v>
      </c>
      <c r="H1" s="6">
        <v>348</v>
      </c>
      <c r="I1" s="7"/>
      <c r="J1" s="7"/>
      <c r="K1" s="7"/>
      <c r="L1" s="7"/>
      <c r="M1" s="7"/>
    </row>
    <row r="2" spans="1:14" x14ac:dyDescent="0.25">
      <c r="C2" t="s">
        <v>0</v>
      </c>
      <c r="D2" s="10">
        <v>345328</v>
      </c>
      <c r="E2" s="10">
        <f>D2*1.0071</f>
        <v>347779.82880000002</v>
      </c>
      <c r="F2" s="10">
        <f t="shared" ref="F2:H2" si="0">E2*1.0071</f>
        <v>350249.06558448006</v>
      </c>
      <c r="G2" s="10">
        <f t="shared" si="0"/>
        <v>352735.83395012992</v>
      </c>
      <c r="H2" s="10">
        <f t="shared" si="0"/>
        <v>355240.25837117591</v>
      </c>
    </row>
    <row r="3" spans="1:14" x14ac:dyDescent="0.25">
      <c r="C3" t="s">
        <v>53</v>
      </c>
      <c r="D3" s="12">
        <f>D1/D2</f>
        <v>2.548301904276514E-4</v>
      </c>
      <c r="E3" s="12">
        <f t="shared" ref="E3:H3" si="1">E1/E2</f>
        <v>2.5303365150198729E-4</v>
      </c>
      <c r="F3" s="12">
        <f t="shared" si="1"/>
        <v>4.9678933392623484E-4</v>
      </c>
      <c r="G3" s="12">
        <f t="shared" si="1"/>
        <v>6.0952128847333628E-4</v>
      </c>
      <c r="H3" s="12">
        <f t="shared" si="1"/>
        <v>9.7961869973754246E-4</v>
      </c>
      <c r="I3" s="14"/>
      <c r="J3" s="14"/>
      <c r="K3" s="14"/>
      <c r="L3" s="14"/>
      <c r="M3" s="14"/>
    </row>
    <row r="4" spans="1:14" x14ac:dyDescent="0.25">
      <c r="D4" s="12"/>
      <c r="E4" s="12">
        <f>(E1-D1)/D1</f>
        <v>0</v>
      </c>
      <c r="F4" s="12">
        <f t="shared" ref="F4:H4" si="2">(F1-E1)/E1</f>
        <v>0.97727272727272729</v>
      </c>
      <c r="G4" s="12">
        <f t="shared" si="2"/>
        <v>0.23563218390804597</v>
      </c>
      <c r="H4" s="12">
        <f t="shared" si="2"/>
        <v>0.61860465116279073</v>
      </c>
    </row>
    <row r="5" spans="1:14" x14ac:dyDescent="0.25">
      <c r="D5">
        <v>2010</v>
      </c>
      <c r="E5">
        <v>2011</v>
      </c>
      <c r="F5">
        <v>2012</v>
      </c>
      <c r="G5">
        <v>2013</v>
      </c>
      <c r="H5">
        <v>2014</v>
      </c>
      <c r="I5">
        <v>2015</v>
      </c>
      <c r="J5">
        <v>2020</v>
      </c>
      <c r="K5">
        <v>2025</v>
      </c>
      <c r="L5">
        <v>2030</v>
      </c>
      <c r="M5">
        <v>2035</v>
      </c>
    </row>
    <row r="6" spans="1:14" x14ac:dyDescent="0.25">
      <c r="B6" t="s">
        <v>9</v>
      </c>
      <c r="C6" t="s">
        <v>6</v>
      </c>
      <c r="D6" s="5">
        <v>0.97</v>
      </c>
      <c r="E6" s="5">
        <v>0.97</v>
      </c>
      <c r="F6" s="5">
        <v>0.97</v>
      </c>
      <c r="G6" s="5">
        <v>0.97</v>
      </c>
      <c r="H6" s="5">
        <v>0.97</v>
      </c>
      <c r="I6" s="5">
        <v>0.97</v>
      </c>
      <c r="J6" s="5">
        <v>0.97</v>
      </c>
      <c r="K6" s="5">
        <v>0.97</v>
      </c>
      <c r="L6" s="5">
        <v>0.97</v>
      </c>
      <c r="M6" s="5">
        <v>0.97</v>
      </c>
    </row>
    <row r="7" spans="1:14" x14ac:dyDescent="0.25">
      <c r="A7" t="s">
        <v>5</v>
      </c>
      <c r="B7" t="s">
        <v>9</v>
      </c>
      <c r="C7" t="s">
        <v>56</v>
      </c>
      <c r="D7" s="3">
        <v>0.38</v>
      </c>
      <c r="E7" s="3">
        <v>0.38</v>
      </c>
      <c r="F7" s="3">
        <v>0.38</v>
      </c>
      <c r="G7" s="3">
        <v>0.38</v>
      </c>
      <c r="H7" s="3">
        <v>0.38</v>
      </c>
      <c r="I7" s="3">
        <v>0.38</v>
      </c>
      <c r="J7" s="3">
        <f t="shared" ref="J7:M7" si="3">I7*1.1</f>
        <v>0.41800000000000004</v>
      </c>
      <c r="K7" s="3">
        <f t="shared" si="3"/>
        <v>0.4598000000000001</v>
      </c>
      <c r="L7" s="3">
        <f t="shared" si="3"/>
        <v>0.50578000000000012</v>
      </c>
      <c r="M7" s="3">
        <f t="shared" si="3"/>
        <v>0.55635800000000013</v>
      </c>
      <c r="N7" t="s">
        <v>57</v>
      </c>
    </row>
    <row r="8" spans="1:14" x14ac:dyDescent="0.25">
      <c r="C8" t="s">
        <v>58</v>
      </c>
      <c r="D8" s="3">
        <f t="shared" ref="D8:I8" si="4">D23</f>
        <v>0.1</v>
      </c>
      <c r="E8" s="3">
        <f t="shared" si="4"/>
        <v>0.11800000000000001</v>
      </c>
      <c r="F8" s="3">
        <f t="shared" si="4"/>
        <v>0.1388152</v>
      </c>
      <c r="G8" s="3">
        <f t="shared" si="4"/>
        <v>0.16272430804979199</v>
      </c>
      <c r="H8" s="3">
        <f t="shared" si="4"/>
        <v>0.18997332957369367</v>
      </c>
      <c r="I8" s="3">
        <f t="shared" si="4"/>
        <v>0.22075002229856938</v>
      </c>
      <c r="J8" s="3">
        <f>N23</f>
        <v>0.42621526527025821</v>
      </c>
      <c r="K8" s="3">
        <f>S23</f>
        <v>0.67069320338773963</v>
      </c>
      <c r="L8" s="3">
        <f>X23</f>
        <v>0.8542614913921972</v>
      </c>
      <c r="M8" s="3">
        <f>AC23</f>
        <v>0.94578410348389308</v>
      </c>
    </row>
    <row r="9" spans="1:14" x14ac:dyDescent="0.25">
      <c r="C9" t="s">
        <v>80</v>
      </c>
      <c r="D9" s="3">
        <f>D8*D7*D6</f>
        <v>3.6860000000000004E-2</v>
      </c>
      <c r="E9" s="3">
        <f t="shared" ref="E9:M9" si="5">E8*E7*E6</f>
        <v>4.34948E-2</v>
      </c>
      <c r="F9" s="3">
        <f t="shared" si="5"/>
        <v>5.1167282719999999E-2</v>
      </c>
      <c r="G9" s="3">
        <f t="shared" si="5"/>
        <v>5.998017994715333E-2</v>
      </c>
      <c r="H9" s="3">
        <f t="shared" si="5"/>
        <v>7.0024169280863482E-2</v>
      </c>
      <c r="I9" s="3">
        <f t="shared" si="5"/>
        <v>8.1368458219252676E-2</v>
      </c>
      <c r="J9" s="3">
        <f t="shared" si="5"/>
        <v>0.17281324145647889</v>
      </c>
      <c r="K9" s="3">
        <f t="shared" si="5"/>
        <v>0.29913319287015228</v>
      </c>
      <c r="L9" s="3">
        <f t="shared" si="5"/>
        <v>0.41910632580285523</v>
      </c>
      <c r="M9" s="3">
        <f t="shared" si="5"/>
        <v>0.51040871567870916</v>
      </c>
    </row>
    <row r="10" spans="1:14" x14ac:dyDescent="0.25">
      <c r="D10" t="s">
        <v>40</v>
      </c>
    </row>
    <row r="11" spans="1:14" x14ac:dyDescent="0.25">
      <c r="A11" t="s">
        <v>37</v>
      </c>
      <c r="C11" t="s">
        <v>39</v>
      </c>
      <c r="D11">
        <v>2010</v>
      </c>
      <c r="E11">
        <v>2011</v>
      </c>
      <c r="F11">
        <v>2012</v>
      </c>
      <c r="G11">
        <v>2013</v>
      </c>
      <c r="H11">
        <v>2014</v>
      </c>
      <c r="I11">
        <v>2015</v>
      </c>
      <c r="J11">
        <v>2020</v>
      </c>
      <c r="K11">
        <v>2025</v>
      </c>
      <c r="L11">
        <v>2030</v>
      </c>
      <c r="M11">
        <v>2035</v>
      </c>
    </row>
    <row r="12" spans="1:14" x14ac:dyDescent="0.25">
      <c r="B12" t="s">
        <v>41</v>
      </c>
      <c r="C12" s="5">
        <v>0.2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0.1</v>
      </c>
      <c r="M12" s="5">
        <v>0.1</v>
      </c>
    </row>
    <row r="13" spans="1:14" x14ac:dyDescent="0.25">
      <c r="B13" t="s">
        <v>38</v>
      </c>
      <c r="C13" s="5">
        <v>0.25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0.1</v>
      </c>
      <c r="K13" s="5">
        <v>0.1</v>
      </c>
      <c r="L13" s="5">
        <v>0.2</v>
      </c>
      <c r="M13" s="5">
        <v>0.35</v>
      </c>
    </row>
    <row r="14" spans="1:14" x14ac:dyDescent="0.25">
      <c r="B14" t="s">
        <v>42</v>
      </c>
      <c r="C14" s="5">
        <v>0.25</v>
      </c>
      <c r="D14" s="5">
        <v>0.1</v>
      </c>
      <c r="E14" s="5">
        <v>0.1</v>
      </c>
      <c r="F14" s="5">
        <v>0.1</v>
      </c>
      <c r="G14" s="5">
        <v>0.1</v>
      </c>
      <c r="H14" s="5">
        <v>0.1</v>
      </c>
      <c r="I14" s="5">
        <v>0.1</v>
      </c>
      <c r="J14" s="5">
        <v>0.5</v>
      </c>
      <c r="K14" s="5">
        <v>0.8</v>
      </c>
      <c r="L14" s="5">
        <v>0.9</v>
      </c>
      <c r="M14" s="5">
        <v>1</v>
      </c>
    </row>
    <row r="15" spans="1:14" x14ac:dyDescent="0.25">
      <c r="B15" t="s">
        <v>43</v>
      </c>
      <c r="C15" s="5">
        <v>0.3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</row>
    <row r="16" spans="1:14" x14ac:dyDescent="0.25">
      <c r="B16" t="s">
        <v>37</v>
      </c>
      <c r="D16" s="4">
        <f t="shared" ref="D16:M16" si="6">SUMPRODUCT($C$12:$C$15,D12:D15)</f>
        <v>0.32500000000000001</v>
      </c>
      <c r="E16" s="4">
        <f t="shared" si="6"/>
        <v>0.32500000000000001</v>
      </c>
      <c r="F16" s="4">
        <f t="shared" si="6"/>
        <v>0.32500000000000001</v>
      </c>
      <c r="G16" s="4">
        <f t="shared" si="6"/>
        <v>0.32500000000000001</v>
      </c>
      <c r="H16" s="4">
        <f t="shared" si="6"/>
        <v>0.32500000000000001</v>
      </c>
      <c r="I16" s="4">
        <f t="shared" si="6"/>
        <v>0.32500000000000001</v>
      </c>
      <c r="J16" s="4">
        <f>SUMPRODUCT($C$12:$C$15,J12:J15)</f>
        <v>0.44999999999999996</v>
      </c>
      <c r="K16" s="4">
        <f t="shared" si="6"/>
        <v>0.52500000000000002</v>
      </c>
      <c r="L16" s="4">
        <f t="shared" si="6"/>
        <v>0.59499999999999997</v>
      </c>
      <c r="M16" s="4">
        <f t="shared" si="6"/>
        <v>0.65749999999999997</v>
      </c>
    </row>
    <row r="19" spans="3:29" x14ac:dyDescent="0.25">
      <c r="C19" s="9" t="s">
        <v>58</v>
      </c>
      <c r="D19" t="s">
        <v>76</v>
      </c>
    </row>
    <row r="20" spans="3:29" x14ac:dyDescent="0.25">
      <c r="C20" t="s">
        <v>54</v>
      </c>
      <c r="D20">
        <v>0.2</v>
      </c>
    </row>
    <row r="21" spans="3:29" x14ac:dyDescent="0.25">
      <c r="C21" t="s">
        <v>55</v>
      </c>
      <c r="D21">
        <v>0.1</v>
      </c>
    </row>
    <row r="22" spans="3:29" x14ac:dyDescent="0.25">
      <c r="D22">
        <v>2010</v>
      </c>
      <c r="E22">
        <v>2011</v>
      </c>
      <c r="F22">
        <v>2012</v>
      </c>
      <c r="G22">
        <v>2013</v>
      </c>
      <c r="H22">
        <v>2014</v>
      </c>
      <c r="I22">
        <v>2015</v>
      </c>
      <c r="J22">
        <v>2016</v>
      </c>
      <c r="K22">
        <v>2017</v>
      </c>
      <c r="L22">
        <v>2018</v>
      </c>
      <c r="M22">
        <v>2019</v>
      </c>
      <c r="N22">
        <v>2020</v>
      </c>
      <c r="O22">
        <v>2021</v>
      </c>
      <c r="P22">
        <v>2022</v>
      </c>
      <c r="Q22">
        <v>2023</v>
      </c>
      <c r="R22">
        <v>2024</v>
      </c>
      <c r="S22">
        <v>2025</v>
      </c>
      <c r="T22">
        <v>2026</v>
      </c>
      <c r="U22">
        <v>2027</v>
      </c>
      <c r="V22">
        <v>2028</v>
      </c>
      <c r="W22">
        <v>2029</v>
      </c>
      <c r="X22">
        <v>2030</v>
      </c>
      <c r="Y22">
        <v>2031</v>
      </c>
      <c r="Z22">
        <v>2032</v>
      </c>
      <c r="AA22">
        <v>2033</v>
      </c>
      <c r="AB22">
        <v>2034</v>
      </c>
      <c r="AC22">
        <v>2035</v>
      </c>
    </row>
    <row r="23" spans="3:29" x14ac:dyDescent="0.25">
      <c r="C23" t="s">
        <v>78</v>
      </c>
      <c r="D23" s="3">
        <f>D21</f>
        <v>0.1</v>
      </c>
      <c r="E23" s="3">
        <f>(D21*$D$20)*(1-D21)+D21</f>
        <v>0.11800000000000001</v>
      </c>
      <c r="F23" s="3">
        <f t="shared" ref="F23:AC23" si="7">(E23*$D$20)*(1-E23)+E23</f>
        <v>0.1388152</v>
      </c>
      <c r="G23" s="3">
        <f t="shared" si="7"/>
        <v>0.16272430804979199</v>
      </c>
      <c r="H23" s="3">
        <f t="shared" si="7"/>
        <v>0.18997332957369367</v>
      </c>
      <c r="I23" s="3">
        <f t="shared" si="7"/>
        <v>0.22075002229856938</v>
      </c>
      <c r="J23" s="3">
        <f t="shared" si="7"/>
        <v>0.2551539122893195</v>
      </c>
      <c r="K23" s="3">
        <f t="shared" si="7"/>
        <v>0.29316399095587425</v>
      </c>
      <c r="L23" s="3">
        <f t="shared" si="7"/>
        <v>0.33460776402841391</v>
      </c>
      <c r="M23" s="3">
        <f t="shared" si="7"/>
        <v>0.37913684568447775</v>
      </c>
      <c r="N23" s="3">
        <f t="shared" si="7"/>
        <v>0.42621526527025821</v>
      </c>
      <c r="O23" s="3">
        <f t="shared" si="7"/>
        <v>0.47512642785443054</v>
      </c>
      <c r="P23" s="3">
        <f t="shared" si="7"/>
        <v>0.52500268893617441</v>
      </c>
      <c r="Q23" s="3">
        <f t="shared" si="7"/>
        <v>0.57487766204536661</v>
      </c>
      <c r="R23" s="3">
        <f t="shared" si="7"/>
        <v>0.62375632919069057</v>
      </c>
      <c r="S23" s="3">
        <f t="shared" si="7"/>
        <v>0.67069320338773963</v>
      </c>
      <c r="T23" s="3">
        <f t="shared" si="7"/>
        <v>0.71486596945118597</v>
      </c>
      <c r="U23" s="3">
        <f t="shared" si="7"/>
        <v>0.75563249248554643</v>
      </c>
      <c r="V23" s="3">
        <f t="shared" si="7"/>
        <v>0.79256289824267179</v>
      </c>
      <c r="W23" s="3">
        <f t="shared" si="7"/>
        <v>0.82544428835704142</v>
      </c>
      <c r="X23" s="3">
        <f t="shared" si="7"/>
        <v>0.8542614913921972</v>
      </c>
      <c r="Y23">
        <f t="shared" si="7"/>
        <v>0.87916125053551242</v>
      </c>
      <c r="Z23">
        <f t="shared" si="7"/>
        <v>0.90040859975398169</v>
      </c>
      <c r="AA23">
        <f t="shared" si="7"/>
        <v>0.91834319040259282</v>
      </c>
      <c r="AB23">
        <f t="shared" si="7"/>
        <v>0.9333409854113488</v>
      </c>
      <c r="AC23">
        <f t="shared" si="7"/>
        <v>0.94578410348389308</v>
      </c>
    </row>
    <row r="24" spans="3:29" x14ac:dyDescent="0.25">
      <c r="C24" t="s">
        <v>77</v>
      </c>
      <c r="D24" s="3">
        <v>0.38</v>
      </c>
      <c r="E24" s="3">
        <v>0.38</v>
      </c>
      <c r="F24" s="3">
        <v>0.38</v>
      </c>
      <c r="G24" s="3">
        <v>0.38</v>
      </c>
      <c r="H24" s="3">
        <v>0.38</v>
      </c>
      <c r="I24" s="3">
        <v>0.38</v>
      </c>
      <c r="J24" s="3">
        <f>I24*1.02</f>
        <v>0.3876</v>
      </c>
      <c r="K24" s="3">
        <f t="shared" ref="K24:AC24" si="8">J24*1.02</f>
        <v>0.39535199999999998</v>
      </c>
      <c r="L24" s="3">
        <f t="shared" si="8"/>
        <v>0.40325904000000001</v>
      </c>
      <c r="M24" s="3">
        <f t="shared" si="8"/>
        <v>0.41132422080000003</v>
      </c>
      <c r="N24" s="3">
        <f t="shared" si="8"/>
        <v>0.41955070521600002</v>
      </c>
      <c r="O24" s="3">
        <f t="shared" si="8"/>
        <v>0.42794171932032005</v>
      </c>
      <c r="P24" s="3">
        <f t="shared" si="8"/>
        <v>0.43650055370672647</v>
      </c>
      <c r="Q24" s="3">
        <f t="shared" si="8"/>
        <v>0.44523056478086098</v>
      </c>
      <c r="R24" s="3">
        <f t="shared" si="8"/>
        <v>0.45413517607647819</v>
      </c>
      <c r="S24" s="3">
        <f t="shared" si="8"/>
        <v>0.46321787959800775</v>
      </c>
      <c r="T24" s="3">
        <f t="shared" si="8"/>
        <v>0.4724822371899679</v>
      </c>
      <c r="U24" s="3">
        <f t="shared" si="8"/>
        <v>0.48193188193376729</v>
      </c>
      <c r="V24" s="3">
        <f t="shared" si="8"/>
        <v>0.49157051957244263</v>
      </c>
      <c r="W24" s="3">
        <f t="shared" si="8"/>
        <v>0.50140192996389155</v>
      </c>
      <c r="X24" s="3">
        <f t="shared" si="8"/>
        <v>0.51142996856316936</v>
      </c>
      <c r="Y24" s="3">
        <f t="shared" si="8"/>
        <v>0.52165856793443277</v>
      </c>
      <c r="Z24" s="3">
        <f t="shared" si="8"/>
        <v>0.53209173929312148</v>
      </c>
      <c r="AA24" s="3">
        <f t="shared" si="8"/>
        <v>0.54273357407898393</v>
      </c>
      <c r="AB24" s="3">
        <f t="shared" si="8"/>
        <v>0.55358824556056363</v>
      </c>
      <c r="AC24" s="3">
        <f t="shared" si="8"/>
        <v>0.56466001047177494</v>
      </c>
    </row>
    <row r="25" spans="3:29" x14ac:dyDescent="0.25">
      <c r="C25" t="s">
        <v>79</v>
      </c>
      <c r="D25" s="3">
        <f>D24*D23*0.97</f>
        <v>3.6860000000000004E-2</v>
      </c>
      <c r="E25" s="3">
        <f t="shared" ref="E25:AB25" si="9">E24*E23*0.97</f>
        <v>4.34948E-2</v>
      </c>
      <c r="F25" s="3">
        <f t="shared" si="9"/>
        <v>5.1167282719999999E-2</v>
      </c>
      <c r="G25" s="3">
        <f t="shared" si="9"/>
        <v>5.998017994715333E-2</v>
      </c>
      <c r="H25" s="3">
        <f t="shared" si="9"/>
        <v>7.0024169280863482E-2</v>
      </c>
      <c r="I25" s="3">
        <f t="shared" si="9"/>
        <v>8.1368458219252676E-2</v>
      </c>
      <c r="J25" s="3">
        <f t="shared" si="9"/>
        <v>9.5930726711240033E-2</v>
      </c>
      <c r="K25" s="3">
        <f t="shared" si="9"/>
        <v>0.11242588104781519</v>
      </c>
      <c r="L25" s="3">
        <f t="shared" si="9"/>
        <v>0.13088559752768539</v>
      </c>
      <c r="M25" s="3">
        <f t="shared" si="9"/>
        <v>0.15126972259890553</v>
      </c>
      <c r="N25" s="3">
        <f t="shared" si="9"/>
        <v>0.17345434766442253</v>
      </c>
      <c r="O25" s="3">
        <f t="shared" si="9"/>
        <v>0.19722662781763059</v>
      </c>
      <c r="P25" s="3">
        <f t="shared" si="9"/>
        <v>0.22228904548561559</v>
      </c>
      <c r="Q25" s="3">
        <f t="shared" si="9"/>
        <v>0.24827451296778871</v>
      </c>
      <c r="R25" s="3">
        <f t="shared" si="9"/>
        <v>0.27477159967425696</v>
      </c>
      <c r="S25" s="3">
        <f t="shared" si="9"/>
        <v>0.30135677102804215</v>
      </c>
      <c r="T25" s="3">
        <f t="shared" si="9"/>
        <v>0.32762862836115347</v>
      </c>
      <c r="U25" s="3">
        <f t="shared" si="9"/>
        <v>0.35323848747924674</v>
      </c>
      <c r="V25" s="3">
        <f t="shared" si="9"/>
        <v>0.37791253901250138</v>
      </c>
      <c r="W25" s="3">
        <f t="shared" si="9"/>
        <v>0.40146297848209478</v>
      </c>
      <c r="X25" s="3">
        <f t="shared" si="9"/>
        <v>0.42378807985681444</v>
      </c>
      <c r="Y25" s="3">
        <f t="shared" si="9"/>
        <v>0.44486333896966646</v>
      </c>
      <c r="Z25" s="3">
        <f t="shared" si="9"/>
        <v>0.4647269785800528</v>
      </c>
      <c r="AA25" s="3">
        <f t="shared" si="9"/>
        <v>0.48346321149954719</v>
      </c>
      <c r="AB25" s="3">
        <f t="shared" si="9"/>
        <v>0.50118600066492713</v>
      </c>
      <c r="AC25" s="3">
        <f>AC24*AC23*0.97</f>
        <v>0.51802506792393577</v>
      </c>
    </row>
  </sheetData>
  <conditionalFormatting sqref="D23:AI23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58"/>
  <sheetViews>
    <sheetView workbookViewId="0">
      <selection activeCell="D18" sqref="D18"/>
    </sheetView>
  </sheetViews>
  <sheetFormatPr defaultRowHeight="15" x14ac:dyDescent="0.25"/>
  <cols>
    <col min="3" max="3" width="20.42578125" bestFit="1" customWidth="1"/>
    <col min="4" max="12" width="12.5703125" bestFit="1" customWidth="1"/>
  </cols>
  <sheetData>
    <row r="3" spans="1:20" x14ac:dyDescent="0.25">
      <c r="C3">
        <v>2010</v>
      </c>
      <c r="D3">
        <v>2011</v>
      </c>
      <c r="E3">
        <v>2012</v>
      </c>
      <c r="F3">
        <v>2013</v>
      </c>
      <c r="G3">
        <v>2014</v>
      </c>
      <c r="H3">
        <v>2015</v>
      </c>
      <c r="I3">
        <v>2020</v>
      </c>
      <c r="J3">
        <v>2025</v>
      </c>
      <c r="K3">
        <v>2030</v>
      </c>
      <c r="L3">
        <v>2035</v>
      </c>
      <c r="O3">
        <v>2010</v>
      </c>
      <c r="P3">
        <v>2011</v>
      </c>
      <c r="Q3">
        <v>2012</v>
      </c>
      <c r="R3">
        <v>2013</v>
      </c>
      <c r="S3">
        <v>2014</v>
      </c>
    </row>
    <row r="4" spans="1:20" x14ac:dyDescent="0.25">
      <c r="B4" t="s">
        <v>21</v>
      </c>
      <c r="C4" s="2">
        <v>345328</v>
      </c>
      <c r="D4" s="2">
        <v>347779.82880000002</v>
      </c>
      <c r="E4" s="2">
        <v>350249.06558448006</v>
      </c>
      <c r="F4" s="2">
        <v>352735.83395012992</v>
      </c>
      <c r="G4" s="2">
        <v>355240.25837117591</v>
      </c>
      <c r="H4" s="2">
        <v>357768</v>
      </c>
      <c r="I4" s="2">
        <v>371331</v>
      </c>
      <c r="J4" s="2">
        <v>385213</v>
      </c>
      <c r="K4" s="2">
        <v>399230</v>
      </c>
      <c r="L4" s="2">
        <v>412349</v>
      </c>
      <c r="O4" s="1">
        <v>5907</v>
      </c>
      <c r="P4" s="1">
        <v>7031</v>
      </c>
      <c r="Q4" s="1">
        <v>9968</v>
      </c>
      <c r="R4" s="1">
        <v>8290</v>
      </c>
      <c r="S4" s="1">
        <v>8257</v>
      </c>
    </row>
    <row r="5" spans="1:20" x14ac:dyDescent="0.25">
      <c r="A5" t="s">
        <v>8</v>
      </c>
      <c r="B5" t="s">
        <v>23</v>
      </c>
      <c r="C5" s="5">
        <f t="shared" ref="C5:L5" si="0">$D$17</f>
        <v>0.75700000000000001</v>
      </c>
      <c r="D5" s="5">
        <f t="shared" si="0"/>
        <v>0.75700000000000001</v>
      </c>
      <c r="E5" s="5">
        <f t="shared" si="0"/>
        <v>0.75700000000000001</v>
      </c>
      <c r="F5" s="5">
        <f t="shared" si="0"/>
        <v>0.75700000000000001</v>
      </c>
      <c r="G5" s="5">
        <f t="shared" si="0"/>
        <v>0.75700000000000001</v>
      </c>
      <c r="H5" s="5">
        <f t="shared" si="0"/>
        <v>0.75700000000000001</v>
      </c>
      <c r="I5" s="5">
        <f t="shared" si="0"/>
        <v>0.75700000000000001</v>
      </c>
      <c r="J5" s="5">
        <f t="shared" si="0"/>
        <v>0.75700000000000001</v>
      </c>
      <c r="K5" s="5">
        <f t="shared" si="0"/>
        <v>0.75700000000000001</v>
      </c>
      <c r="L5" s="5">
        <f t="shared" si="0"/>
        <v>0.75700000000000001</v>
      </c>
      <c r="O5">
        <v>2010</v>
      </c>
      <c r="P5">
        <v>2011</v>
      </c>
      <c r="Q5">
        <v>2012</v>
      </c>
      <c r="R5">
        <v>2013</v>
      </c>
      <c r="S5">
        <v>2014</v>
      </c>
      <c r="T5">
        <v>2015</v>
      </c>
    </row>
    <row r="6" spans="1:20" x14ac:dyDescent="0.25">
      <c r="B6" t="s">
        <v>30</v>
      </c>
      <c r="C6" s="8">
        <f>$D$25</f>
        <v>0.61099999999999999</v>
      </c>
      <c r="D6" s="8">
        <f t="shared" ref="D6:G6" si="1">$D$25</f>
        <v>0.61099999999999999</v>
      </c>
      <c r="E6" s="8">
        <f t="shared" si="1"/>
        <v>0.61099999999999999</v>
      </c>
      <c r="F6" s="8">
        <f t="shared" si="1"/>
        <v>0.61099999999999999</v>
      </c>
      <c r="G6" s="8">
        <f t="shared" si="1"/>
        <v>0.61099999999999999</v>
      </c>
      <c r="H6" s="8">
        <f t="shared" ref="H6:L6" si="2">$D$25</f>
        <v>0.61099999999999999</v>
      </c>
      <c r="I6" s="8">
        <f t="shared" si="2"/>
        <v>0.61099999999999999</v>
      </c>
      <c r="J6" s="8">
        <f t="shared" si="2"/>
        <v>0.61099999999999999</v>
      </c>
      <c r="K6" s="8">
        <f t="shared" si="2"/>
        <v>0.61099999999999999</v>
      </c>
      <c r="L6" s="8">
        <f t="shared" si="2"/>
        <v>0.61099999999999999</v>
      </c>
      <c r="O6" s="1">
        <v>345328</v>
      </c>
      <c r="P6" s="1">
        <v>347779.82880000002</v>
      </c>
      <c r="Q6" s="1">
        <v>350249.06558448006</v>
      </c>
      <c r="R6" s="1">
        <v>352735.83395012992</v>
      </c>
      <c r="S6" s="1">
        <v>355240.25837117591</v>
      </c>
      <c r="T6" s="1">
        <v>357768</v>
      </c>
    </row>
    <row r="7" spans="1:20" x14ac:dyDescent="0.25">
      <c r="B7" t="s">
        <v>82</v>
      </c>
      <c r="C7" s="2">
        <f>C4-C8</f>
        <v>339421</v>
      </c>
      <c r="D7" s="2">
        <f t="shared" ref="D7:G7" si="3">D4-D8</f>
        <v>340748.82880000002</v>
      </c>
      <c r="E7" s="2">
        <f t="shared" si="3"/>
        <v>340281.06558448006</v>
      </c>
      <c r="F7" s="2">
        <f t="shared" si="3"/>
        <v>344445.83395012992</v>
      </c>
      <c r="G7" s="2">
        <f t="shared" si="3"/>
        <v>346983.25837117591</v>
      </c>
      <c r="H7" s="2">
        <f>H10*H4</f>
        <v>349716.25450563873</v>
      </c>
      <c r="I7" s="2">
        <f t="shared" ref="I7:L7" si="4">I10*I4</f>
        <v>362572.97373365209</v>
      </c>
      <c r="J7" s="2">
        <f t="shared" si="4"/>
        <v>375868.02772308531</v>
      </c>
      <c r="K7" s="2">
        <f t="shared" si="4"/>
        <v>389880.38025546842</v>
      </c>
      <c r="L7" s="2">
        <f t="shared" si="4"/>
        <v>402698.979415935</v>
      </c>
      <c r="O7" s="1"/>
      <c r="P7" s="1"/>
      <c r="Q7" s="1"/>
      <c r="R7" s="1"/>
      <c r="S7" s="1"/>
      <c r="T7" s="1"/>
    </row>
    <row r="8" spans="1:20" x14ac:dyDescent="0.25">
      <c r="B8" t="s">
        <v>81</v>
      </c>
      <c r="C8" s="1">
        <v>5907</v>
      </c>
      <c r="D8" s="1">
        <v>7031</v>
      </c>
      <c r="E8" s="1">
        <v>9968</v>
      </c>
      <c r="F8" s="1">
        <v>8290</v>
      </c>
      <c r="G8" s="1">
        <v>8257</v>
      </c>
      <c r="H8" s="2">
        <f>H9*H4</f>
        <v>8051.7454943612211</v>
      </c>
      <c r="I8" s="2">
        <f t="shared" ref="I8:L8" si="5">I9*I4</f>
        <v>8758.0262663479316</v>
      </c>
      <c r="J8" s="2">
        <f t="shared" si="5"/>
        <v>9344.9722769147211</v>
      </c>
      <c r="K8" s="2">
        <f t="shared" si="5"/>
        <v>9349.6197445315647</v>
      </c>
      <c r="L8" s="2">
        <f t="shared" si="5"/>
        <v>9650.0205840650178</v>
      </c>
      <c r="O8">
        <f>O4/O6</f>
        <v>1.7105476532456098E-2</v>
      </c>
      <c r="P8">
        <f t="shared" ref="P8:S8" si="6">P4/P6</f>
        <v>2.0216813678528095E-2</v>
      </c>
      <c r="Q8">
        <f t="shared" si="6"/>
        <v>2.8459747589521318E-2</v>
      </c>
      <c r="R8">
        <f t="shared" si="6"/>
        <v>2.3502006890437015E-2</v>
      </c>
      <c r="S8">
        <f t="shared" si="6"/>
        <v>2.3243424148657727E-2</v>
      </c>
    </row>
    <row r="9" spans="1:20" x14ac:dyDescent="0.25">
      <c r="B9" t="s">
        <v>83</v>
      </c>
      <c r="C9" s="3">
        <f>C8/C4</f>
        <v>1.7105476532456098E-2</v>
      </c>
      <c r="D9" s="3">
        <f t="shared" ref="D9:G9" si="7">D8/D4</f>
        <v>2.0216813678528095E-2</v>
      </c>
      <c r="E9" s="3">
        <f t="shared" si="7"/>
        <v>2.8459747589521318E-2</v>
      </c>
      <c r="F9" s="3">
        <f t="shared" si="7"/>
        <v>2.3502006890437015E-2</v>
      </c>
      <c r="G9" s="3">
        <f t="shared" si="7"/>
        <v>2.3243424148657727E-2</v>
      </c>
      <c r="H9" s="5">
        <f>AVERAGE(C9:G9)</f>
        <v>2.2505493767920052E-2</v>
      </c>
      <c r="I9" s="5">
        <f t="shared" ref="I9:L9" si="8">AVERAGE(D9:H9)</f>
        <v>2.3585497215012838E-2</v>
      </c>
      <c r="J9" s="5">
        <f t="shared" si="8"/>
        <v>2.4259233922309789E-2</v>
      </c>
      <c r="K9" s="5">
        <f t="shared" si="8"/>
        <v>2.3419131188867483E-2</v>
      </c>
      <c r="L9" s="5">
        <f t="shared" si="8"/>
        <v>2.3402556048553576E-2</v>
      </c>
    </row>
    <row r="10" spans="1:20" x14ac:dyDescent="0.25">
      <c r="B10" t="s">
        <v>84</v>
      </c>
      <c r="C10" s="3">
        <f>1-C9</f>
        <v>0.98289452346754391</v>
      </c>
      <c r="D10" s="3">
        <f t="shared" ref="D10:L10" si="9">1-D9</f>
        <v>0.97978318632147188</v>
      </c>
      <c r="E10" s="3">
        <f t="shared" si="9"/>
        <v>0.9715402524104787</v>
      </c>
      <c r="F10" s="3">
        <f t="shared" si="9"/>
        <v>0.97649799310956298</v>
      </c>
      <c r="G10" s="3">
        <f t="shared" si="9"/>
        <v>0.97675657585134223</v>
      </c>
      <c r="H10" s="3">
        <f t="shared" si="9"/>
        <v>0.9774945062320799</v>
      </c>
      <c r="I10" s="3">
        <f t="shared" si="9"/>
        <v>0.9764145027849872</v>
      </c>
      <c r="J10" s="3">
        <f t="shared" si="9"/>
        <v>0.97574076607769022</v>
      </c>
      <c r="K10" s="3">
        <f t="shared" si="9"/>
        <v>0.97658086881113249</v>
      </c>
      <c r="L10" s="3">
        <f t="shared" si="9"/>
        <v>0.97659744395144643</v>
      </c>
    </row>
    <row r="11" spans="1:20" x14ac:dyDescent="0.25">
      <c r="B11" t="s">
        <v>85</v>
      </c>
      <c r="C11" s="3">
        <f>C10*$D$25+C9</f>
        <v>0.61765403037112543</v>
      </c>
      <c r="D11" s="3">
        <f t="shared" ref="D11:L11" si="10">D10*$D$25+D9</f>
        <v>0.61886434052094741</v>
      </c>
      <c r="E11" s="3">
        <f t="shared" si="10"/>
        <v>0.62207084181232375</v>
      </c>
      <c r="F11" s="3">
        <f t="shared" si="10"/>
        <v>0.62014228068038002</v>
      </c>
      <c r="G11" s="3">
        <f t="shared" si="10"/>
        <v>0.62004169199382786</v>
      </c>
      <c r="H11" s="3">
        <f t="shared" si="10"/>
        <v>0.61975463707572087</v>
      </c>
      <c r="I11" s="3">
        <f t="shared" si="10"/>
        <v>0.62017475841663994</v>
      </c>
      <c r="J11" s="3">
        <f t="shared" si="10"/>
        <v>0.62043684199577853</v>
      </c>
      <c r="K11" s="3">
        <f t="shared" si="10"/>
        <v>0.62011004203246944</v>
      </c>
      <c r="L11" s="3">
        <f t="shared" si="10"/>
        <v>0.62010359430288731</v>
      </c>
    </row>
    <row r="13" spans="1:20" x14ac:dyDescent="0.25">
      <c r="D13" t="s">
        <v>31</v>
      </c>
    </row>
    <row r="14" spans="1:20" x14ac:dyDescent="0.25">
      <c r="C14" t="s">
        <v>1</v>
      </c>
      <c r="D14" t="s">
        <v>51</v>
      </c>
    </row>
    <row r="15" spans="1:20" x14ac:dyDescent="0.25">
      <c r="B15" t="s">
        <v>24</v>
      </c>
      <c r="C15" s="5">
        <v>0.73</v>
      </c>
      <c r="D15" s="5">
        <v>1</v>
      </c>
    </row>
    <row r="16" spans="1:20" x14ac:dyDescent="0.25">
      <c r="B16" t="s">
        <v>25</v>
      </c>
      <c r="C16" s="5">
        <v>0.27</v>
      </c>
      <c r="D16" s="3">
        <f>10%</f>
        <v>0.1</v>
      </c>
    </row>
    <row r="17" spans="2:14" x14ac:dyDescent="0.25">
      <c r="B17" t="s">
        <v>23</v>
      </c>
      <c r="D17" s="5">
        <f>C15+C16*D16</f>
        <v>0.75700000000000001</v>
      </c>
    </row>
    <row r="21" spans="2:14" x14ac:dyDescent="0.25">
      <c r="C21" t="s">
        <v>29</v>
      </c>
      <c r="D21" t="s">
        <v>30</v>
      </c>
    </row>
    <row r="22" spans="2:14" x14ac:dyDescent="0.25">
      <c r="B22" t="s">
        <v>26</v>
      </c>
      <c r="C22" s="5">
        <v>0.09</v>
      </c>
      <c r="D22" s="5">
        <v>1</v>
      </c>
      <c r="E22" t="s">
        <v>32</v>
      </c>
    </row>
    <row r="23" spans="2:14" x14ac:dyDescent="0.25">
      <c r="B23" t="s">
        <v>27</v>
      </c>
      <c r="C23" s="5">
        <v>0.22</v>
      </c>
      <c r="D23" s="5">
        <v>0.8</v>
      </c>
    </row>
    <row r="24" spans="2:14" x14ac:dyDescent="0.25">
      <c r="B24" t="s">
        <v>28</v>
      </c>
      <c r="C24" s="5">
        <f>1-C23-C22</f>
        <v>0.69000000000000006</v>
      </c>
      <c r="D24" s="5">
        <v>0.5</v>
      </c>
    </row>
    <row r="25" spans="2:14" x14ac:dyDescent="0.25">
      <c r="B25" t="s">
        <v>45</v>
      </c>
      <c r="D25" s="8">
        <f>SUMPRODUCT(C22:C24,D22:D24)</f>
        <v>0.61099999999999999</v>
      </c>
    </row>
    <row r="28" spans="2:14" x14ac:dyDescent="0.25">
      <c r="C28" t="s">
        <v>35</v>
      </c>
      <c r="D28">
        <v>2010</v>
      </c>
      <c r="E28">
        <v>2011</v>
      </c>
      <c r="F28">
        <v>2012</v>
      </c>
      <c r="G28">
        <v>2013</v>
      </c>
      <c r="H28">
        <v>2014</v>
      </c>
      <c r="I28">
        <v>2015</v>
      </c>
      <c r="J28">
        <v>2016</v>
      </c>
      <c r="K28">
        <v>2021</v>
      </c>
      <c r="L28">
        <v>2026</v>
      </c>
      <c r="M28">
        <v>2031</v>
      </c>
      <c r="N28">
        <v>2036</v>
      </c>
    </row>
    <row r="29" spans="2:14" x14ac:dyDescent="0.25">
      <c r="B29" t="s">
        <v>33</v>
      </c>
      <c r="C29" s="3">
        <v>0.05</v>
      </c>
      <c r="D29" s="3">
        <v>0.33326893353941267</v>
      </c>
      <c r="E29" s="3">
        <v>0.32974324454274445</v>
      </c>
      <c r="F29" s="3">
        <v>0.32618683001531396</v>
      </c>
      <c r="G29" s="3">
        <v>0.32265140677157839</v>
      </c>
      <c r="H29" s="3">
        <v>0.31851007221588745</v>
      </c>
      <c r="I29" s="3">
        <v>0.31432900842882844</v>
      </c>
      <c r="J29" s="3">
        <v>0.31290657113227116</v>
      </c>
      <c r="K29" s="3">
        <v>0.29905415430267057</v>
      </c>
      <c r="L29" s="3">
        <v>0.29204348223257509</v>
      </c>
      <c r="M29" s="3">
        <v>0.28528907729773606</v>
      </c>
      <c r="N29" s="3">
        <v>0.275307980717729</v>
      </c>
    </row>
    <row r="30" spans="2:14" x14ac:dyDescent="0.25">
      <c r="B30" t="s">
        <v>34</v>
      </c>
      <c r="C30" s="3">
        <v>0.9</v>
      </c>
      <c r="D30" s="3">
        <v>0.32689335394126734</v>
      </c>
      <c r="E30" s="3">
        <v>0.32512741609770168</v>
      </c>
      <c r="F30" s="3">
        <v>0.32341117917304746</v>
      </c>
      <c r="G30" s="3">
        <v>0.32141154029566049</v>
      </c>
      <c r="H30" s="3">
        <v>0.32022044849866965</v>
      </c>
      <c r="I30" s="3">
        <v>0.32010607065062979</v>
      </c>
      <c r="J30" s="3">
        <v>0.31865749033657026</v>
      </c>
      <c r="K30" s="3">
        <v>0.32149480712166167</v>
      </c>
      <c r="L30" s="3">
        <v>0.31762126610030145</v>
      </c>
      <c r="M30" s="3">
        <v>0.30919094434923783</v>
      </c>
      <c r="N30" s="3">
        <v>0.30253526156043564</v>
      </c>
    </row>
    <row r="31" spans="2:14" x14ac:dyDescent="0.25">
      <c r="B31" t="s">
        <v>46</v>
      </c>
      <c r="C31" s="3">
        <v>0.75</v>
      </c>
      <c r="D31" s="3">
        <v>0.19175038639876352</v>
      </c>
      <c r="E31" s="3">
        <v>0.19588421963650351</v>
      </c>
      <c r="F31" s="3">
        <v>0.19860260336906585</v>
      </c>
      <c r="G31" s="3">
        <v>0.20171673819742489</v>
      </c>
      <c r="H31" s="3">
        <v>0.20410490307867729</v>
      </c>
      <c r="I31" s="3">
        <v>0.20551188559522679</v>
      </c>
      <c r="J31" s="3">
        <v>0.20524182143867259</v>
      </c>
      <c r="K31" s="3">
        <v>0.193620178041543</v>
      </c>
      <c r="L31" s="3">
        <v>0.17895313784598521</v>
      </c>
      <c r="M31" s="3">
        <v>0.17317579146748444</v>
      </c>
      <c r="N31" s="3">
        <v>0.18193179789323338</v>
      </c>
    </row>
    <row r="32" spans="2:14" x14ac:dyDescent="0.25">
      <c r="B32" t="s">
        <v>47</v>
      </c>
      <c r="C32" s="3">
        <v>0.25</v>
      </c>
      <c r="D32" s="3">
        <v>0.148087326120556</v>
      </c>
      <c r="E32" s="3">
        <v>0.14924511972305027</v>
      </c>
      <c r="F32" s="3">
        <v>0.15179938744257271</v>
      </c>
      <c r="G32" s="3">
        <v>0.15422031473533621</v>
      </c>
      <c r="H32" s="3">
        <v>0.15716457620676549</v>
      </c>
      <c r="I32" s="3">
        <v>0.16005303532531492</v>
      </c>
      <c r="J32" s="3">
        <v>0.16319411709248616</v>
      </c>
      <c r="K32" s="3">
        <v>0.18583086053412462</v>
      </c>
      <c r="L32" s="3">
        <v>0.21138211382113822</v>
      </c>
      <c r="M32" s="3">
        <v>0.23234418688554159</v>
      </c>
      <c r="N32" s="3">
        <v>0.24022495982860209</v>
      </c>
    </row>
    <row r="33" spans="2:15" x14ac:dyDescent="0.25">
      <c r="C33" t="s">
        <v>10</v>
      </c>
      <c r="D33" s="4">
        <f>SUMPRODUCT($C$29:$C$32,D29:D32)</f>
        <v>0.49170208655332287</v>
      </c>
      <c r="E33" s="4">
        <f t="shared" ref="E33:N33" si="11">SUMPRODUCT($C$29:$C$32,E29:E32)</f>
        <v>0.49332628137320894</v>
      </c>
      <c r="F33" s="4">
        <f t="shared" si="11"/>
        <v>0.49428120214395094</v>
      </c>
      <c r="G33" s="4">
        <f t="shared" si="11"/>
        <v>0.49524558893657611</v>
      </c>
      <c r="H33" s="4">
        <f t="shared" si="11"/>
        <v>0.49649372862029639</v>
      </c>
      <c r="I33" s="4">
        <f t="shared" si="11"/>
        <v>0.49795908703475705</v>
      </c>
      <c r="J33" s="4">
        <f t="shared" si="11"/>
        <v>0.49716696521165277</v>
      </c>
      <c r="K33" s="4">
        <f t="shared" si="11"/>
        <v>0.49597088278931745</v>
      </c>
      <c r="L33" s="4">
        <f t="shared" si="11"/>
        <v>0.48752169544167351</v>
      </c>
      <c r="M33" s="4">
        <f t="shared" si="11"/>
        <v>0.48050419410119954</v>
      </c>
      <c r="N33" s="4">
        <f t="shared" si="11"/>
        <v>0.48255222281735416</v>
      </c>
    </row>
    <row r="35" spans="2:15" x14ac:dyDescent="0.25">
      <c r="C35" t="s">
        <v>35</v>
      </c>
      <c r="D35">
        <v>2010</v>
      </c>
      <c r="E35">
        <v>2011</v>
      </c>
      <c r="F35">
        <v>2012</v>
      </c>
      <c r="G35">
        <v>2013</v>
      </c>
      <c r="H35">
        <v>2014</v>
      </c>
      <c r="I35">
        <v>2015</v>
      </c>
      <c r="J35">
        <v>2016</v>
      </c>
      <c r="K35">
        <v>2021</v>
      </c>
      <c r="L35">
        <v>2026</v>
      </c>
      <c r="M35">
        <v>2031</v>
      </c>
      <c r="N35">
        <v>2036</v>
      </c>
    </row>
    <row r="36" spans="2:15" x14ac:dyDescent="0.25">
      <c r="B36" t="s">
        <v>33</v>
      </c>
      <c r="C36" s="3">
        <v>0.1</v>
      </c>
      <c r="D36" s="3">
        <v>0.33326893353941267</v>
      </c>
      <c r="E36" s="3">
        <v>0.32974324454274445</v>
      </c>
      <c r="F36" s="3">
        <v>0.32618683001531396</v>
      </c>
      <c r="G36" s="3">
        <v>0.32265140677157839</v>
      </c>
      <c r="H36" s="3">
        <v>0.31851007221588745</v>
      </c>
      <c r="I36" s="3">
        <v>0.31432900842882844</v>
      </c>
      <c r="J36" s="3">
        <v>0.31290657113227116</v>
      </c>
      <c r="K36" s="3">
        <v>0.29905415430267057</v>
      </c>
      <c r="L36" s="3">
        <v>0.29204348223257509</v>
      </c>
      <c r="M36" s="3">
        <v>0.28528907729773606</v>
      </c>
      <c r="N36" s="3">
        <v>0.275307980717729</v>
      </c>
    </row>
    <row r="37" spans="2:15" x14ac:dyDescent="0.25">
      <c r="B37" t="s">
        <v>34</v>
      </c>
      <c r="C37" s="3">
        <v>1</v>
      </c>
      <c r="D37" s="3">
        <v>0.32689335394126734</v>
      </c>
      <c r="E37" s="3">
        <v>0.32512741609770168</v>
      </c>
      <c r="F37" s="3">
        <v>0.32341117917304746</v>
      </c>
      <c r="G37" s="3">
        <v>0.32141154029566049</v>
      </c>
      <c r="H37" s="3">
        <v>0.32022044849866965</v>
      </c>
      <c r="I37" s="3">
        <v>0.32010607065062979</v>
      </c>
      <c r="J37" s="3">
        <v>0.31865749033657026</v>
      </c>
      <c r="K37" s="3">
        <v>0.32149480712166167</v>
      </c>
      <c r="L37" s="3">
        <v>0.31762126610030145</v>
      </c>
      <c r="M37" s="3">
        <v>0.30919094434923783</v>
      </c>
      <c r="N37" s="3">
        <v>0.30253526156043564</v>
      </c>
    </row>
    <row r="38" spans="2:15" x14ac:dyDescent="0.25">
      <c r="B38" t="s">
        <v>46</v>
      </c>
      <c r="C38" s="3">
        <v>0.9</v>
      </c>
      <c r="D38" s="3">
        <v>0.19175038639876352</v>
      </c>
      <c r="E38" s="3">
        <v>0.19588421963650351</v>
      </c>
      <c r="F38" s="3">
        <v>0.19860260336906585</v>
      </c>
      <c r="G38" s="3">
        <v>0.20171673819742489</v>
      </c>
      <c r="H38" s="3">
        <v>0.20410490307867729</v>
      </c>
      <c r="I38" s="3">
        <v>0.20551188559522679</v>
      </c>
      <c r="J38" s="3">
        <v>0.20524182143867259</v>
      </c>
      <c r="K38" s="3">
        <v>0.193620178041543</v>
      </c>
      <c r="L38" s="3">
        <v>0.17895313784598521</v>
      </c>
      <c r="M38" s="3">
        <v>0.17317579146748444</v>
      </c>
      <c r="N38" s="3">
        <v>0.18193179789323338</v>
      </c>
    </row>
    <row r="39" spans="2:15" x14ac:dyDescent="0.25">
      <c r="B39" t="s">
        <v>47</v>
      </c>
      <c r="C39" s="3">
        <v>0.5</v>
      </c>
      <c r="D39" s="3">
        <v>0.148087326120556</v>
      </c>
      <c r="E39" s="3">
        <v>0.14924511972305027</v>
      </c>
      <c r="F39" s="3">
        <v>0.15179938744257271</v>
      </c>
      <c r="G39" s="3">
        <v>0.15422031473533621</v>
      </c>
      <c r="H39" s="3">
        <v>0.15716457620676549</v>
      </c>
      <c r="I39" s="3">
        <v>0.16005303532531492</v>
      </c>
      <c r="J39" s="3">
        <v>0.16319411709248616</v>
      </c>
      <c r="K39" s="3">
        <v>0.18583086053412462</v>
      </c>
      <c r="L39" s="3">
        <v>0.21138211382113822</v>
      </c>
      <c r="M39" s="3">
        <v>0.23234418688554159</v>
      </c>
      <c r="N39" s="3">
        <v>0.24022495982860209</v>
      </c>
    </row>
    <row r="40" spans="2:15" x14ac:dyDescent="0.25">
      <c r="C40" t="s">
        <v>10</v>
      </c>
      <c r="D40" s="4">
        <f>SUMPRODUCT($C$36:$C$39,D36:D39)</f>
        <v>0.60683925811437378</v>
      </c>
      <c r="E40" s="4">
        <f t="shared" ref="E40:N40" si="12">SUMPRODUCT($C$36:$C$39,E36:E39)</f>
        <v>0.60902009808635438</v>
      </c>
      <c r="F40" s="4">
        <f t="shared" si="12"/>
        <v>0.61067189892802454</v>
      </c>
      <c r="G40" s="4">
        <f t="shared" si="12"/>
        <v>0.61233190271816884</v>
      </c>
      <c r="H40" s="4">
        <f t="shared" si="12"/>
        <v>0.61434815659445074</v>
      </c>
      <c r="I40" s="4">
        <f t="shared" si="12"/>
        <v>0.61652618619187416</v>
      </c>
      <c r="J40" s="4">
        <f t="shared" si="12"/>
        <v>0.61626284529084585</v>
      </c>
      <c r="K40" s="4">
        <f t="shared" si="12"/>
        <v>0.61857381305637971</v>
      </c>
      <c r="L40" s="4">
        <f t="shared" si="12"/>
        <v>0.61357449529551478</v>
      </c>
      <c r="M40" s="4">
        <f t="shared" si="12"/>
        <v>0.60975015784251818</v>
      </c>
      <c r="N40" s="4">
        <f t="shared" si="12"/>
        <v>0.61391715765041965</v>
      </c>
      <c r="O40" s="4"/>
    </row>
    <row r="42" spans="2:15" x14ac:dyDescent="0.25">
      <c r="C42" t="s">
        <v>35</v>
      </c>
      <c r="D42">
        <v>2010</v>
      </c>
      <c r="E42">
        <v>2011</v>
      </c>
      <c r="F42">
        <v>2012</v>
      </c>
      <c r="G42">
        <v>2013</v>
      </c>
      <c r="H42">
        <v>2014</v>
      </c>
      <c r="I42">
        <v>2015</v>
      </c>
      <c r="J42">
        <v>2016</v>
      </c>
      <c r="K42">
        <v>2021</v>
      </c>
      <c r="L42">
        <v>2026</v>
      </c>
      <c r="M42">
        <v>2031</v>
      </c>
      <c r="N42">
        <v>2036</v>
      </c>
    </row>
    <row r="43" spans="2:15" x14ac:dyDescent="0.25">
      <c r="B43" t="s">
        <v>33</v>
      </c>
      <c r="C43" s="3">
        <v>0.1</v>
      </c>
      <c r="D43" s="3">
        <v>0.33326893353941267</v>
      </c>
      <c r="E43" s="3">
        <v>0.32974324454274445</v>
      </c>
      <c r="F43" s="3">
        <v>0.32618683001531396</v>
      </c>
      <c r="G43" s="3">
        <v>0.32265140677157839</v>
      </c>
      <c r="H43" s="3">
        <v>0.31851007221588745</v>
      </c>
      <c r="I43" s="3">
        <v>0.31432900842882844</v>
      </c>
      <c r="J43" s="3">
        <v>0.31290657113227116</v>
      </c>
      <c r="K43" s="3">
        <v>0.29905415430267057</v>
      </c>
      <c r="L43" s="3">
        <v>0.29204348223257509</v>
      </c>
      <c r="M43" s="3">
        <v>0.28528907729773606</v>
      </c>
      <c r="N43" s="3">
        <v>0.275307980717729</v>
      </c>
    </row>
    <row r="44" spans="2:15" x14ac:dyDescent="0.25">
      <c r="B44" t="s">
        <v>34</v>
      </c>
      <c r="C44" s="3">
        <v>1</v>
      </c>
      <c r="D44" s="3">
        <v>0.32689335394126734</v>
      </c>
      <c r="E44" s="3">
        <v>0.32512741609770168</v>
      </c>
      <c r="F44" s="3">
        <v>0.32341117917304746</v>
      </c>
      <c r="G44" s="3">
        <v>0.32141154029566049</v>
      </c>
      <c r="H44" s="3">
        <v>0.32022044849866965</v>
      </c>
      <c r="I44" s="3">
        <v>0.32010607065062979</v>
      </c>
      <c r="J44" s="3">
        <v>0.31865749033657026</v>
      </c>
      <c r="K44" s="3">
        <v>0.32149480712166167</v>
      </c>
      <c r="L44" s="3">
        <v>0.31762126610030145</v>
      </c>
      <c r="M44" s="3">
        <v>0.30919094434923783</v>
      </c>
      <c r="N44" s="3">
        <v>0.30253526156043564</v>
      </c>
    </row>
    <row r="45" spans="2:15" x14ac:dyDescent="0.25">
      <c r="B45" t="s">
        <v>46</v>
      </c>
      <c r="C45" s="3">
        <v>0.8</v>
      </c>
      <c r="D45" s="3">
        <v>0.19175038639876352</v>
      </c>
      <c r="E45" s="3">
        <v>0.19588421963650351</v>
      </c>
      <c r="F45" s="3">
        <v>0.19860260336906585</v>
      </c>
      <c r="G45" s="3">
        <v>0.20171673819742489</v>
      </c>
      <c r="H45" s="3">
        <v>0.20410490307867729</v>
      </c>
      <c r="I45" s="3">
        <v>0.20551188559522679</v>
      </c>
      <c r="J45" s="3">
        <v>0.20524182143867259</v>
      </c>
      <c r="K45" s="3">
        <v>0.193620178041543</v>
      </c>
      <c r="L45" s="3">
        <v>0.17895313784598521</v>
      </c>
      <c r="M45" s="3">
        <v>0.17317579146748444</v>
      </c>
      <c r="N45" s="3">
        <v>0.18193179789323338</v>
      </c>
    </row>
    <row r="46" spans="2:15" x14ac:dyDescent="0.25">
      <c r="B46" t="s">
        <v>47</v>
      </c>
      <c r="C46" s="3">
        <v>0.3</v>
      </c>
      <c r="D46" s="3">
        <v>0.148087326120556</v>
      </c>
      <c r="E46" s="3">
        <v>0.14924511972305027</v>
      </c>
      <c r="F46" s="3">
        <v>0.15179938744257271</v>
      </c>
      <c r="G46" s="3">
        <v>0.15422031473533621</v>
      </c>
      <c r="H46" s="3">
        <v>0.15716457620676549</v>
      </c>
      <c r="I46" s="3">
        <v>0.16005303532531492</v>
      </c>
      <c r="J46" s="3">
        <v>0.16319411709248616</v>
      </c>
      <c r="K46" s="3">
        <v>0.18583086053412462</v>
      </c>
      <c r="L46" s="3">
        <v>0.21138211382113822</v>
      </c>
      <c r="M46" s="3">
        <v>0.23234418688554159</v>
      </c>
      <c r="N46" s="3">
        <v>0.24022495982860209</v>
      </c>
    </row>
    <row r="47" spans="2:15" x14ac:dyDescent="0.25">
      <c r="C47" t="s">
        <v>10</v>
      </c>
      <c r="D47" s="4">
        <f>SUMPRODUCT($C$43:$C$46,D43:D46)</f>
        <v>0.55804675425038619</v>
      </c>
      <c r="E47" s="4">
        <f t="shared" ref="E47:N47" si="13">SUMPRODUCT($C$43:$C$46,E43:E46)</f>
        <v>0.55958265217809411</v>
      </c>
      <c r="F47" s="4">
        <f t="shared" si="13"/>
        <v>0.56045176110260342</v>
      </c>
      <c r="G47" s="4">
        <f t="shared" si="13"/>
        <v>0.56131616595135903</v>
      </c>
      <c r="H47" s="4">
        <f t="shared" si="13"/>
        <v>0.5625047510452299</v>
      </c>
      <c r="I47" s="4">
        <f t="shared" si="13"/>
        <v>0.56396439056728853</v>
      </c>
      <c r="J47" s="4">
        <f t="shared" si="13"/>
        <v>0.56309983972848132</v>
      </c>
      <c r="K47" s="4">
        <f t="shared" si="13"/>
        <v>0.56204562314540041</v>
      </c>
      <c r="L47" s="4">
        <f t="shared" si="13"/>
        <v>0.55340275874668854</v>
      </c>
      <c r="M47" s="4">
        <f t="shared" si="13"/>
        <v>0.54596374131866154</v>
      </c>
      <c r="N47" s="4">
        <f t="shared" si="13"/>
        <v>0.54767898589537589</v>
      </c>
    </row>
    <row r="50" spans="2:13" x14ac:dyDescent="0.25">
      <c r="C50" t="s">
        <v>48</v>
      </c>
      <c r="D50" t="s">
        <v>49</v>
      </c>
      <c r="E50" t="s">
        <v>50</v>
      </c>
    </row>
    <row r="51" spans="2:13" x14ac:dyDescent="0.25">
      <c r="B51" t="s">
        <v>33</v>
      </c>
      <c r="C51" s="3">
        <v>0.05</v>
      </c>
      <c r="D51" s="3">
        <v>0.1</v>
      </c>
      <c r="E51" s="3">
        <v>0.1</v>
      </c>
    </row>
    <row r="52" spans="2:13" x14ac:dyDescent="0.25">
      <c r="B52" t="s">
        <v>34</v>
      </c>
      <c r="C52" s="3">
        <v>0.9</v>
      </c>
      <c r="D52" s="3">
        <v>1</v>
      </c>
      <c r="E52" s="3">
        <v>1</v>
      </c>
    </row>
    <row r="53" spans="2:13" x14ac:dyDescent="0.25">
      <c r="B53" t="s">
        <v>46</v>
      </c>
      <c r="C53" s="3">
        <v>0.75</v>
      </c>
      <c r="D53" s="3">
        <v>0.8</v>
      </c>
      <c r="E53" s="3">
        <v>0.9</v>
      </c>
    </row>
    <row r="54" spans="2:13" x14ac:dyDescent="0.25">
      <c r="B54" t="s">
        <v>47</v>
      </c>
      <c r="C54" s="3">
        <v>0.25</v>
      </c>
      <c r="D54" s="3">
        <v>0.3</v>
      </c>
      <c r="E54" s="3">
        <v>0.5</v>
      </c>
    </row>
    <row r="55" spans="2:13" x14ac:dyDescent="0.25">
      <c r="D55">
        <v>2010</v>
      </c>
      <c r="E55">
        <v>2011</v>
      </c>
      <c r="F55">
        <v>2012</v>
      </c>
      <c r="G55">
        <v>2013</v>
      </c>
      <c r="H55">
        <v>2014</v>
      </c>
      <c r="I55">
        <v>2015</v>
      </c>
      <c r="J55">
        <v>2021</v>
      </c>
      <c r="K55">
        <v>2026</v>
      </c>
      <c r="L55">
        <v>2031</v>
      </c>
      <c r="M55">
        <v>2036</v>
      </c>
    </row>
    <row r="56" spans="2:13" x14ac:dyDescent="0.25">
      <c r="C56" t="s">
        <v>48</v>
      </c>
      <c r="D56" s="11">
        <f>D33</f>
        <v>0.49170208655332287</v>
      </c>
      <c r="E56" s="11">
        <f t="shared" ref="E56:I56" si="14">E33</f>
        <v>0.49332628137320894</v>
      </c>
      <c r="F56" s="11">
        <f t="shared" si="14"/>
        <v>0.49428120214395094</v>
      </c>
      <c r="G56" s="11">
        <f t="shared" si="14"/>
        <v>0.49524558893657611</v>
      </c>
      <c r="H56" s="11">
        <f t="shared" si="14"/>
        <v>0.49649372862029639</v>
      </c>
      <c r="I56" s="11">
        <f t="shared" si="14"/>
        <v>0.49795908703475705</v>
      </c>
      <c r="J56" s="11">
        <f>K33</f>
        <v>0.49597088278931745</v>
      </c>
      <c r="K56" s="11">
        <f>L33</f>
        <v>0.48752169544167351</v>
      </c>
      <c r="L56" s="11">
        <f>M33</f>
        <v>0.48050419410119954</v>
      </c>
      <c r="M56" s="11">
        <f>N33</f>
        <v>0.48255222281735416</v>
      </c>
    </row>
    <row r="57" spans="2:13" x14ac:dyDescent="0.25">
      <c r="C57" t="s">
        <v>49</v>
      </c>
      <c r="D57" s="11">
        <f>D47</f>
        <v>0.55804675425038619</v>
      </c>
      <c r="E57" s="11">
        <f t="shared" ref="E57:I57" si="15">E47</f>
        <v>0.55958265217809411</v>
      </c>
      <c r="F57" s="11">
        <f t="shared" si="15"/>
        <v>0.56045176110260342</v>
      </c>
      <c r="G57" s="11">
        <f t="shared" si="15"/>
        <v>0.56131616595135903</v>
      </c>
      <c r="H57" s="11">
        <f t="shared" si="15"/>
        <v>0.5625047510452299</v>
      </c>
      <c r="I57" s="11">
        <f t="shared" si="15"/>
        <v>0.56396439056728853</v>
      </c>
      <c r="J57" s="11">
        <f>K47</f>
        <v>0.56204562314540041</v>
      </c>
      <c r="K57" s="11">
        <f>L47</f>
        <v>0.55340275874668854</v>
      </c>
      <c r="L57" s="11">
        <f>M47</f>
        <v>0.54596374131866154</v>
      </c>
      <c r="M57" s="11">
        <f>N47</f>
        <v>0.54767898589537589</v>
      </c>
    </row>
    <row r="58" spans="2:13" x14ac:dyDescent="0.25">
      <c r="C58" t="s">
        <v>50</v>
      </c>
      <c r="D58" s="11">
        <f>D40</f>
        <v>0.60683925811437378</v>
      </c>
      <c r="E58" s="11">
        <f t="shared" ref="E58:I58" si="16">E40</f>
        <v>0.60902009808635438</v>
      </c>
      <c r="F58" s="11">
        <f t="shared" si="16"/>
        <v>0.61067189892802454</v>
      </c>
      <c r="G58" s="11">
        <f t="shared" si="16"/>
        <v>0.61233190271816884</v>
      </c>
      <c r="H58" s="11">
        <f t="shared" si="16"/>
        <v>0.61434815659445074</v>
      </c>
      <c r="I58" s="11">
        <f t="shared" si="16"/>
        <v>0.61652618619187416</v>
      </c>
      <c r="J58" s="11">
        <f>K40</f>
        <v>0.61857381305637971</v>
      </c>
      <c r="K58" s="11">
        <f>L40</f>
        <v>0.61357449529551478</v>
      </c>
      <c r="L58" s="11">
        <f>M40</f>
        <v>0.60975015784251818</v>
      </c>
      <c r="M58" s="11">
        <f>N40</f>
        <v>0.61391715765041965</v>
      </c>
    </row>
  </sheetData>
  <conditionalFormatting sqref="D33:N33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40:O40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47:N47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O6:T7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Overall</vt:lpstr>
      <vt:lpstr>Location</vt:lpstr>
      <vt:lpstr>Attitudinal</vt:lpstr>
      <vt:lpstr>Demographic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Briana Brownell</dc:creator>
  <cp:lastModifiedBy>Briana Brownell</cp:lastModifiedBy>
  <dcterms:created xsi:type="dcterms:W3CDTF">2015-04-27T17:26:23Z</dcterms:created>
  <dcterms:modified xsi:type="dcterms:W3CDTF">2015-10-16T21:56:36Z</dcterms:modified>
</cp:coreProperties>
</file>