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5.xml" ContentType="application/vnd.openxmlformats-officedocument.drawing+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7.xml" ContentType="application/vnd.openxmlformats-officedocument.drawing+xml"/>
  <Override PartName="/xl/charts/chart11.xml" ContentType="application/vnd.openxmlformats-officedocument.drawingml.chart+xml"/>
  <Override PartName="/xl/pivotTables/pivotTable12.xml" ContentType="application/vnd.openxmlformats-officedocument.spreadsheetml.pivotTable+xml"/>
  <Override PartName="/xl/drawings/drawing8.xml" ContentType="application/vnd.openxmlformats-officedocument.drawing+xml"/>
  <Override PartName="/xl/pivotTables/pivotTable13.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1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pivotTables/pivotTable16.xml" ContentType="application/vnd.openxmlformats-officedocument.spreadsheetml.pivotTable+xml"/>
  <Override PartName="/xl/drawings/drawing14.xml" ContentType="application/vnd.openxmlformats-officedocument.drawing+xml"/>
  <Override PartName="/xl/charts/chart21.xml" ContentType="application/vnd.openxmlformats-officedocument.drawingml.chart+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5.xml" ContentType="application/vnd.openxmlformats-officedocument.drawing+xml"/>
  <Override PartName="/xl/pivotTables/pivotTable19.xml" ContentType="application/vnd.openxmlformats-officedocument.spreadsheetml.pivotTable+xml"/>
  <Override PartName="/xl/drawings/drawing16.xml" ContentType="application/vnd.openxmlformats-officedocument.drawing+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7.xml" ContentType="application/vnd.openxmlformats-officedocument.drawing+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18.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156" yWindow="-228" windowWidth="18900" windowHeight="11640" tabRatio="838" firstSheet="2" activeTab="5"/>
  </bookViews>
  <sheets>
    <sheet name="Slicer" sheetId="5" state="hidden" r:id="rId1"/>
    <sheet name="Understanding the data" sheetId="22" r:id="rId2"/>
    <sheet name="Instructions" sheetId="18" r:id="rId3"/>
    <sheet name="Enter Parameters" sheetId="6" r:id="rId4"/>
    <sheet name="Parameter Summary" sheetId="21" r:id="rId5"/>
    <sheet name="Dashboard" sheetId="16" r:id="rId6"/>
    <sheet name="AIC1" sheetId="1" r:id="rId7"/>
    <sheet name="AIC2" sheetId="2" r:id="rId8"/>
    <sheet name="AIC3" sheetId="3" r:id="rId9"/>
    <sheet name="Enquiry - Gateway" sheetId="7" r:id="rId10"/>
    <sheet name="Contacts" sheetId="8" r:id="rId11"/>
    <sheet name="Client_Profile" sheetId="9" r:id="rId12"/>
    <sheet name="Clients" sheetId="23" r:id="rId13"/>
    <sheet name="Ebefs" sheetId="11" r:id="rId14"/>
    <sheet name="LA" sheetId="12" r:id="rId15"/>
    <sheet name="Constituency" sheetId="13" r:id="rId16"/>
    <sheet name="Funder" sheetId="14" r:id="rId17"/>
    <sheet name="Outcomes" sheetId="17" r:id="rId18"/>
    <sheet name="Version" sheetId="19" state="hidden" r:id="rId19"/>
  </sheets>
  <definedNames>
    <definedName name="_xlnm._FilterDatabase" localSheetId="17" hidden="1">Outcomes!$B$82:$F$414</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7">'AIC2'!$A$1:$N$60</definedName>
    <definedName name="_xlnm.Print_Area" localSheetId="8">'AIC3'!$A$1:$G$96</definedName>
    <definedName name="_xlnm.Print_Area" localSheetId="2">Instructions!$A$1:$M$102</definedName>
    <definedName name="_xlnm.Print_Area" localSheetId="14">LA!$A$1:$L$121</definedName>
    <definedName name="_xlnm.Print_Area" localSheetId="17">Outcomes!$A$1:$L$72</definedName>
    <definedName name="Slicer_CAB">#N/A</definedName>
    <definedName name="Slicer_Financial">#N/A</definedName>
    <definedName name="Slicer_Funder">#N/A</definedName>
    <definedName name="Slicer_Monthly_Calendar_Enquiry_Created.Financial">#N/A</definedName>
    <definedName name="Slicer_Monthly_Calendar_Outcome_Date.Financial">#N/A</definedName>
  </definedNames>
  <calcPr calcId="145621"/>
  <pivotCaches>
    <pivotCache cacheId="0" r:id="rId20"/>
    <pivotCache cacheId="1" r:id="rId21"/>
    <pivotCache cacheId="2" r:id="rId22"/>
    <pivotCache cacheId="3" r:id="rId23"/>
    <pivotCache cacheId="4" r:id="rId24"/>
    <pivotCache cacheId="5" r:id="rId25"/>
    <pivotCache cacheId="6" r:id="rId26"/>
    <pivotCache cacheId="7" r:id="rId27"/>
    <pivotCache cacheId="8" r:id="rId28"/>
    <pivotCache cacheId="9" r:id="rId29"/>
    <pivotCache cacheId="10" r:id="rId30"/>
    <pivotCache cacheId="11" r:id="rId31"/>
    <pivotCache cacheId="12" r:id="rId32"/>
    <pivotCache cacheId="13" r:id="rId33"/>
    <pivotCache cacheId="14" r:id="rId34"/>
    <pivotCache cacheId="15" r:id="rId35"/>
    <pivotCache cacheId="16" r:id="rId36"/>
    <pivotCache cacheId="17" r:id="rId37"/>
    <pivotCache cacheId="18" r:id="rId38"/>
    <pivotCache cacheId="19" r:id="rId39"/>
    <pivotCache cacheId="20" r:id="rId40"/>
    <pivotCache cacheId="21" r:id="rId41"/>
    <pivotCache cacheId="22" r:id="rId42"/>
    <pivotCache cacheId="23" r:id="rId43"/>
    <pivotCache cacheId="24" r:id="rId44"/>
    <pivotCache cacheId="25" r:id="rId45"/>
  </pivotCaches>
  <extLst>
    <ext xmlns:x14="http://schemas.microsoft.com/office/spreadsheetml/2009/9/main" uri="{876F7934-8845-4945-9796-88D515C7AA90}">
      <x14:pivotCaches>
        <pivotCache cacheId="26" r:id="rId46"/>
        <pivotCache cacheId="27" r:id="rId47"/>
      </x14:pivotCaches>
    </ext>
    <ext xmlns:x14="http://schemas.microsoft.com/office/spreadsheetml/2009/9/main" uri="{BBE1A952-AA13-448e-AADC-164F8A28A991}">
      <x14:slicerCaches>
        <x14:slicerCache r:id="rId48"/>
        <x14:slicerCache r:id="rId49"/>
        <x14:slicerCache r:id="rId50"/>
        <x14:slicerCache r:id="rId51"/>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AE8" i="1" l="1"/>
  <c r="AE7" i="1"/>
  <c r="AE6" i="1"/>
  <c r="BB7" i="9"/>
  <c r="BB6" i="9"/>
  <c r="BB5" i="9"/>
  <c r="AY7" i="9"/>
  <c r="AY6" i="9"/>
  <c r="AY5" i="9"/>
  <c r="AV7" i="9"/>
  <c r="AV6" i="9"/>
  <c r="AV5" i="9"/>
  <c r="AA13" i="1"/>
  <c r="AA12" i="1"/>
  <c r="AA11" i="1"/>
  <c r="AR12" i="9"/>
  <c r="AR11" i="9"/>
  <c r="AR10" i="9"/>
  <c r="AE9" i="1"/>
  <c r="AR14" i="9"/>
  <c r="AQ21" i="9"/>
  <c r="Z17" i="1"/>
  <c r="AQ16" i="9"/>
  <c r="AQ15" i="9"/>
  <c r="Z16" i="1"/>
  <c r="BA10" i="9"/>
  <c r="AE11" i="1"/>
  <c r="AQ17" i="9"/>
  <c r="AB15" i="1"/>
  <c r="AV8" i="9"/>
  <c r="AQ19" i="9"/>
  <c r="AX10" i="9"/>
  <c r="AQ18" i="9"/>
  <c r="AA15" i="1"/>
  <c r="AQ20" i="9"/>
  <c r="AU10" i="9"/>
  <c r="C19" i="1"/>
  <c r="Z18" i="1"/>
  <c r="AA18" i="1" s="1"/>
  <c r="AY8" i="9"/>
  <c r="BB8" i="9"/>
  <c r="BB10" i="9"/>
  <c r="AB18" i="1"/>
  <c r="AD11" i="1"/>
  <c r="BG432" i="16" l="1"/>
  <c r="BG431" i="16"/>
  <c r="BG430" i="16"/>
  <c r="BG429" i="16"/>
  <c r="BG428" i="16"/>
  <c r="BG427" i="16"/>
  <c r="BG426" i="16"/>
  <c r="BG425" i="16"/>
  <c r="BG424" i="16"/>
  <c r="BG423" i="16"/>
  <c r="BG422" i="16"/>
  <c r="BG421" i="16"/>
  <c r="BG420" i="16"/>
  <c r="BG419" i="16"/>
  <c r="BG418" i="16"/>
  <c r="BG417" i="16"/>
  <c r="BG416" i="16"/>
  <c r="BG415" i="16"/>
  <c r="BG414" i="16"/>
  <c r="BG413" i="16"/>
  <c r="BG412" i="16"/>
  <c r="BG411" i="16"/>
  <c r="BG410" i="16"/>
  <c r="BG409" i="16"/>
  <c r="BG408" i="16"/>
  <c r="BG407" i="16"/>
  <c r="BG406" i="16"/>
  <c r="BG405" i="16"/>
  <c r="BG404" i="16"/>
  <c r="BG403" i="16"/>
  <c r="BG402" i="16"/>
  <c r="BG401" i="16"/>
  <c r="BG400" i="16"/>
  <c r="BG399" i="16"/>
  <c r="BG398" i="16"/>
  <c r="BG397" i="16"/>
  <c r="BG396" i="16"/>
  <c r="BG395" i="16"/>
  <c r="BG394" i="16"/>
  <c r="BG393" i="16"/>
  <c r="BG392" i="16"/>
  <c r="BG391" i="16"/>
  <c r="BG390" i="16"/>
  <c r="BG389" i="16"/>
  <c r="BG388" i="16"/>
  <c r="BG387" i="16"/>
  <c r="BG386" i="16"/>
  <c r="BG385" i="16"/>
  <c r="BG384" i="16"/>
  <c r="BG383" i="16"/>
  <c r="BG382" i="16"/>
  <c r="BG381" i="16"/>
  <c r="BG380" i="16"/>
  <c r="BG379" i="16"/>
  <c r="BG378" i="16"/>
  <c r="BG377" i="16"/>
  <c r="BG376" i="16"/>
  <c r="BG375" i="16"/>
  <c r="BG374" i="16"/>
  <c r="BG373" i="16"/>
  <c r="BG372" i="16"/>
  <c r="BG371" i="16"/>
  <c r="BG370" i="16"/>
  <c r="BG369" i="16"/>
  <c r="BG368" i="16"/>
  <c r="BG367" i="16"/>
  <c r="BG366" i="16"/>
  <c r="BG365" i="16"/>
  <c r="BG364" i="16"/>
  <c r="BG363" i="16"/>
  <c r="BG362" i="16"/>
  <c r="BG361" i="16"/>
  <c r="BG360" i="16"/>
  <c r="BG359" i="16"/>
  <c r="BG358" i="16"/>
  <c r="BG357" i="16"/>
  <c r="BG356" i="16"/>
  <c r="BG355" i="16"/>
  <c r="BG354" i="16"/>
  <c r="BG353" i="16"/>
  <c r="BG352" i="16"/>
  <c r="BG351" i="16"/>
  <c r="BG350" i="16"/>
  <c r="BG349" i="16"/>
  <c r="BG348" i="16"/>
  <c r="BG347" i="16"/>
  <c r="BG346" i="16"/>
  <c r="BG345" i="16"/>
  <c r="BG344" i="16"/>
  <c r="BG343" i="16"/>
  <c r="BG342" i="16"/>
  <c r="BG341" i="16"/>
  <c r="BG340" i="16"/>
  <c r="BG339" i="16"/>
  <c r="BG338" i="16"/>
  <c r="BG337" i="16"/>
  <c r="BG336" i="16"/>
  <c r="BG335" i="16"/>
  <c r="BG334" i="16"/>
  <c r="BG333" i="16"/>
  <c r="BG332" i="16"/>
  <c r="BG331" i="16"/>
  <c r="BG330" i="16"/>
  <c r="BG329" i="16"/>
  <c r="BG328" i="16"/>
  <c r="BG327" i="16"/>
  <c r="BG326" i="16"/>
  <c r="BG325" i="16"/>
  <c r="BG324" i="16"/>
  <c r="BG323" i="16"/>
  <c r="BG322" i="16"/>
  <c r="BG321" i="16"/>
  <c r="BG320" i="16"/>
  <c r="BG319" i="16"/>
  <c r="BG318" i="16"/>
  <c r="BG317" i="16"/>
  <c r="BG316" i="16"/>
  <c r="BG315" i="16"/>
  <c r="BG314" i="16"/>
  <c r="BG313" i="16"/>
  <c r="BG312" i="16"/>
  <c r="BG311" i="16"/>
  <c r="BG310" i="16"/>
  <c r="BG309" i="16"/>
  <c r="BG308" i="16"/>
  <c r="BG307" i="16"/>
  <c r="BG306" i="16"/>
  <c r="BG305" i="16"/>
  <c r="BG304" i="16"/>
  <c r="BG303" i="16"/>
  <c r="BG302" i="16"/>
  <c r="BG301" i="16"/>
  <c r="BG300" i="16"/>
  <c r="BG299" i="16"/>
  <c r="BG298" i="16"/>
  <c r="BG297" i="16"/>
  <c r="BG296" i="16"/>
  <c r="BG295" i="16"/>
  <c r="BG294" i="16"/>
  <c r="BG293" i="16"/>
  <c r="BG292" i="16"/>
  <c r="BG291" i="16"/>
  <c r="BG290" i="16"/>
  <c r="BG289" i="16"/>
  <c r="BG288" i="16"/>
  <c r="BG287" i="16"/>
  <c r="BG286" i="16"/>
  <c r="BG285" i="16"/>
  <c r="BG284" i="16"/>
  <c r="BG283" i="16"/>
  <c r="BG282" i="16"/>
  <c r="BG281" i="16"/>
  <c r="BG280" i="16"/>
  <c r="BG279" i="16"/>
  <c r="BG278" i="16"/>
  <c r="BG277" i="16"/>
  <c r="BG276" i="16"/>
  <c r="BG275" i="16"/>
  <c r="BG274" i="16"/>
  <c r="BG273" i="16"/>
  <c r="BG272" i="16"/>
  <c r="BG271" i="16"/>
  <c r="BG270" i="16"/>
  <c r="BG269" i="16"/>
  <c r="BG268" i="16"/>
  <c r="BG267" i="16"/>
  <c r="BG266" i="16"/>
  <c r="BG265" i="16"/>
  <c r="BG264" i="16"/>
  <c r="BG263" i="16"/>
  <c r="BG262" i="16"/>
  <c r="BG261" i="16"/>
  <c r="BG260" i="16"/>
  <c r="BG259" i="16"/>
  <c r="BG258" i="16"/>
  <c r="BG257" i="16"/>
  <c r="BG256" i="16"/>
  <c r="BG255" i="16"/>
  <c r="BG254" i="16"/>
  <c r="BG253" i="16"/>
  <c r="BG252" i="16"/>
  <c r="BG251" i="16"/>
  <c r="BG250" i="16"/>
  <c r="BG249" i="16"/>
  <c r="BG248" i="16"/>
  <c r="BG247" i="16"/>
  <c r="BG246" i="16"/>
  <c r="BG245" i="16"/>
  <c r="BG244" i="16"/>
  <c r="BG243" i="16"/>
  <c r="BG242" i="16"/>
  <c r="BG241" i="16"/>
  <c r="BG240" i="16"/>
  <c r="BG239" i="16"/>
  <c r="BG238" i="16"/>
  <c r="BG237" i="16"/>
  <c r="BG236" i="16"/>
  <c r="BG235" i="16"/>
  <c r="BG234" i="16"/>
  <c r="BG233" i="16"/>
  <c r="BG232" i="16"/>
  <c r="BG231" i="16"/>
  <c r="BG230" i="16"/>
  <c r="BG229" i="16"/>
  <c r="BG228" i="16"/>
  <c r="BG227" i="16"/>
  <c r="BG226" i="16"/>
  <c r="BG225" i="16"/>
  <c r="BG224" i="16"/>
  <c r="BG223" i="16"/>
  <c r="BG222" i="16"/>
  <c r="BG221" i="16"/>
  <c r="BG220" i="16"/>
  <c r="BG219" i="16"/>
  <c r="BG218" i="16"/>
  <c r="BG217" i="16"/>
  <c r="BG216" i="16"/>
  <c r="BG215" i="16"/>
  <c r="BG214" i="16"/>
  <c r="BG213" i="16"/>
  <c r="BG212" i="16"/>
  <c r="BG211" i="16"/>
  <c r="BG210" i="16"/>
  <c r="BG209" i="16"/>
  <c r="BG208" i="16"/>
  <c r="BG207" i="16"/>
  <c r="BG206" i="16"/>
  <c r="BG205" i="16"/>
  <c r="BG204" i="16"/>
  <c r="BG203" i="16"/>
  <c r="BG202" i="16"/>
  <c r="BG201" i="16"/>
  <c r="BG200" i="16"/>
  <c r="BG199" i="16"/>
  <c r="BG198" i="16"/>
  <c r="BG197" i="16"/>
  <c r="BG196" i="16"/>
  <c r="BG195" i="16"/>
  <c r="BG194" i="16"/>
  <c r="BG193" i="16"/>
  <c r="BG192" i="16"/>
  <c r="BG191" i="16"/>
  <c r="BG190" i="16"/>
  <c r="BG189" i="16"/>
  <c r="BG188" i="16"/>
  <c r="BG187" i="16"/>
  <c r="BG186" i="16"/>
  <c r="BG185" i="16"/>
  <c r="BG184" i="16"/>
  <c r="BG183" i="16"/>
  <c r="BG182" i="16"/>
  <c r="BG181" i="16"/>
  <c r="BG180" i="16"/>
  <c r="BG179" i="16"/>
  <c r="BG178" i="16"/>
  <c r="BG177" i="16"/>
  <c r="BG176" i="16"/>
  <c r="BG175" i="16"/>
  <c r="BG174" i="16"/>
  <c r="BG173" i="16"/>
  <c r="BG172" i="16"/>
  <c r="BG171" i="16"/>
  <c r="BG170" i="16"/>
  <c r="BG169" i="16"/>
  <c r="BG168" i="16"/>
  <c r="BG167" i="16"/>
  <c r="BG166" i="16"/>
  <c r="BG165" i="16"/>
  <c r="BG164" i="16"/>
  <c r="BG163" i="16"/>
  <c r="BG162" i="16"/>
  <c r="BG161" i="16"/>
  <c r="BG160" i="16"/>
  <c r="BG159" i="16"/>
  <c r="BG158" i="16"/>
  <c r="BG157" i="16"/>
  <c r="BG156" i="16"/>
  <c r="BG155" i="16"/>
  <c r="BG154" i="16"/>
  <c r="BG153" i="16"/>
  <c r="BG152" i="16"/>
  <c r="BG151" i="16"/>
  <c r="BG150" i="16"/>
  <c r="BG149" i="16"/>
  <c r="BG148" i="16"/>
  <c r="BG147" i="16"/>
  <c r="BG146" i="16"/>
  <c r="BG145" i="16"/>
  <c r="BG144" i="16"/>
  <c r="BG143" i="16"/>
  <c r="BG142" i="16"/>
  <c r="BG141" i="16"/>
  <c r="BG140" i="16"/>
  <c r="BG139" i="16"/>
  <c r="BG138" i="16"/>
  <c r="BG137" i="16"/>
  <c r="BG136" i="16"/>
  <c r="BG135" i="16"/>
  <c r="BG134" i="16"/>
  <c r="BG133" i="16"/>
  <c r="BG132" i="16"/>
  <c r="BG131" i="16"/>
  <c r="BG130" i="16"/>
  <c r="BG129" i="16"/>
  <c r="BG128" i="16"/>
  <c r="BG127" i="16"/>
  <c r="BG126" i="16"/>
  <c r="BG125" i="16"/>
  <c r="BG124" i="16"/>
  <c r="BG123" i="16"/>
  <c r="BG122" i="16"/>
  <c r="BG121" i="16"/>
  <c r="BG120" i="16"/>
  <c r="BG119" i="16"/>
  <c r="BG118" i="16"/>
  <c r="BG117" i="16"/>
  <c r="BG116" i="16"/>
  <c r="BG115" i="16"/>
  <c r="BG114" i="16"/>
  <c r="BG113" i="16"/>
  <c r="BG112" i="16"/>
  <c r="BG111" i="16"/>
  <c r="BG110" i="16"/>
  <c r="BG109" i="16"/>
  <c r="BG108" i="16"/>
  <c r="BG107" i="16"/>
  <c r="BG106" i="16"/>
  <c r="BG105" i="16"/>
  <c r="BG104" i="16"/>
  <c r="BG103" i="16"/>
  <c r="BG102" i="16"/>
  <c r="BG101" i="16"/>
  <c r="BG100" i="16"/>
  <c r="BG99" i="16"/>
  <c r="BG98" i="16"/>
  <c r="BG97" i="16"/>
  <c r="BG96" i="16"/>
  <c r="BG95" i="16"/>
  <c r="BG94" i="16"/>
  <c r="BG93" i="16"/>
  <c r="BG92" i="16"/>
  <c r="BG91" i="16"/>
  <c r="BG90" i="16"/>
  <c r="BG89" i="16"/>
  <c r="BG88" i="16"/>
  <c r="BG87" i="16"/>
  <c r="BG86" i="16"/>
  <c r="BG85" i="16"/>
  <c r="BG84" i="16"/>
  <c r="BG83" i="16"/>
  <c r="BG82" i="16"/>
  <c r="BG81" i="16"/>
  <c r="BG80" i="16"/>
  <c r="BG79" i="16"/>
  <c r="BG78" i="16"/>
  <c r="BG77" i="16"/>
  <c r="BG76" i="16"/>
  <c r="BG75" i="16"/>
  <c r="BG74" i="16"/>
  <c r="BG73" i="16"/>
  <c r="BG72" i="16"/>
  <c r="BG71" i="16"/>
  <c r="BG70" i="16"/>
  <c r="BG69" i="16"/>
  <c r="BG68" i="16"/>
  <c r="BG67" i="16"/>
  <c r="BG66" i="16"/>
  <c r="BG65" i="16"/>
  <c r="BG64" i="16"/>
  <c r="BG63" i="16"/>
  <c r="BG62" i="16"/>
  <c r="BG61" i="16"/>
  <c r="BG60" i="16"/>
  <c r="BG59" i="16"/>
  <c r="BG58" i="16"/>
  <c r="BG57" i="16"/>
  <c r="BG56" i="16"/>
  <c r="BG55" i="16"/>
  <c r="BG54" i="16"/>
  <c r="BG53" i="16"/>
  <c r="BG52" i="16"/>
  <c r="BG51" i="16"/>
  <c r="BG50" i="16"/>
  <c r="BG49" i="16"/>
  <c r="BG48" i="16"/>
  <c r="BG47" i="16"/>
  <c r="BG46" i="16"/>
  <c r="BG45" i="16"/>
  <c r="BG44" i="16"/>
  <c r="BG43" i="16"/>
  <c r="BG42" i="16"/>
  <c r="BG41" i="16"/>
  <c r="BG40" i="16"/>
  <c r="BG39" i="16"/>
  <c r="BG38" i="16"/>
  <c r="BG37" i="16"/>
  <c r="BG36" i="16"/>
  <c r="BG35" i="16"/>
  <c r="BG34" i="16"/>
  <c r="BG33" i="16"/>
  <c r="BG32" i="16"/>
  <c r="BG31" i="16"/>
  <c r="BG30" i="16"/>
  <c r="BG29" i="16"/>
  <c r="BG28" i="16"/>
  <c r="BG27" i="16"/>
  <c r="BG26" i="16"/>
  <c r="BG25" i="16"/>
  <c r="BG24" i="16"/>
  <c r="BI24" i="16" s="1"/>
  <c r="AA17" i="1"/>
  <c r="AA16" i="1"/>
  <c r="AB16" i="1"/>
  <c r="AR15" i="9"/>
  <c r="AR18" i="9"/>
  <c r="C36" i="1"/>
  <c r="BB11" i="9"/>
  <c r="AX11" i="9"/>
  <c r="AR16" i="9"/>
  <c r="AR19" i="9"/>
  <c r="AU11" i="9"/>
  <c r="AR21" i="9"/>
  <c r="AD12" i="1"/>
  <c r="Z19" i="1"/>
  <c r="AB19" i="1" s="1"/>
  <c r="AA19" i="1"/>
  <c r="AB17" i="1"/>
  <c r="BA11" i="9"/>
  <c r="AR20" i="9"/>
  <c r="AE12" i="1"/>
  <c r="AR17" i="9"/>
  <c r="AQ22" i="9"/>
  <c r="D25" i="23" l="1"/>
  <c r="C24" i="23"/>
  <c r="C16" i="23"/>
  <c r="C14" i="23"/>
  <c r="D24" i="23"/>
  <c r="BH123" i="16"/>
  <c r="BH139" i="16"/>
  <c r="BH155" i="16"/>
  <c r="BH179" i="16"/>
  <c r="BI39" i="16"/>
  <c r="BH39" i="16" s="1"/>
  <c r="BI55" i="16"/>
  <c r="BH55" i="16"/>
  <c r="BI71" i="16"/>
  <c r="BH71" i="16" s="1"/>
  <c r="BI79" i="16"/>
  <c r="BH79" i="16" s="1"/>
  <c r="BI95" i="16"/>
  <c r="BI27" i="16"/>
  <c r="BH27" i="16" s="1"/>
  <c r="BI43" i="16"/>
  <c r="BH43" i="16" s="1"/>
  <c r="BI59" i="16"/>
  <c r="BH59" i="16" s="1"/>
  <c r="BI75" i="16"/>
  <c r="BH75" i="16" s="1"/>
  <c r="BI83" i="16"/>
  <c r="BH83" i="16" s="1"/>
  <c r="BI35" i="16"/>
  <c r="BH35" i="16"/>
  <c r="BI51" i="16"/>
  <c r="BH51" i="16" s="1"/>
  <c r="BI63" i="16"/>
  <c r="BH63" i="16" s="1"/>
  <c r="BI87" i="16"/>
  <c r="BH87" i="16"/>
  <c r="BI31" i="16"/>
  <c r="BH31" i="16" s="1"/>
  <c r="BI47" i="16"/>
  <c r="BH47" i="16" s="1"/>
  <c r="BI67" i="16"/>
  <c r="BH67" i="16" s="1"/>
  <c r="BI91" i="16"/>
  <c r="BH91" i="16" s="1"/>
  <c r="BI33" i="16"/>
  <c r="BI41" i="16"/>
  <c r="BI49" i="16"/>
  <c r="BI57" i="16"/>
  <c r="BH57" i="16" s="1"/>
  <c r="BI65" i="16"/>
  <c r="BI73" i="16"/>
  <c r="BH73" i="16" s="1"/>
  <c r="BI81" i="16"/>
  <c r="BI89" i="16"/>
  <c r="BI97" i="16"/>
  <c r="BI105" i="16"/>
  <c r="BH105" i="16" s="1"/>
  <c r="BI113" i="16"/>
  <c r="BH113" i="16" s="1"/>
  <c r="BI121" i="16"/>
  <c r="BI129" i="16"/>
  <c r="BI133" i="16"/>
  <c r="BH133" i="16" s="1"/>
  <c r="BI141" i="16"/>
  <c r="BI145" i="16"/>
  <c r="BH145" i="16" s="1"/>
  <c r="BI149" i="16"/>
  <c r="BH149" i="16" s="1"/>
  <c r="BI153" i="16"/>
  <c r="BI157" i="16"/>
  <c r="BI161" i="16"/>
  <c r="BI165" i="16"/>
  <c r="BI169" i="16"/>
  <c r="BH169" i="16" s="1"/>
  <c r="BI173" i="16"/>
  <c r="BH173" i="16" s="1"/>
  <c r="BI177" i="16"/>
  <c r="BH177" i="16" s="1"/>
  <c r="BI181" i="16"/>
  <c r="BI185" i="16"/>
  <c r="BI189" i="16"/>
  <c r="BI193" i="16"/>
  <c r="BH193" i="16" s="1"/>
  <c r="BI197" i="16"/>
  <c r="BI201" i="16"/>
  <c r="BH201" i="16" s="1"/>
  <c r="BI205" i="16"/>
  <c r="BH205" i="16" s="1"/>
  <c r="BI209" i="16"/>
  <c r="BH209" i="16" s="1"/>
  <c r="BI213" i="16"/>
  <c r="BI217" i="16"/>
  <c r="BH217" i="16" s="1"/>
  <c r="BI221" i="16"/>
  <c r="BI225" i="16"/>
  <c r="BH225" i="16" s="1"/>
  <c r="BI229" i="16"/>
  <c r="BI233" i="16"/>
  <c r="BH233" i="16" s="1"/>
  <c r="BI237" i="16"/>
  <c r="BI241" i="16"/>
  <c r="BH241" i="16" s="1"/>
  <c r="BI245" i="16"/>
  <c r="BI249" i="16"/>
  <c r="BH249" i="16" s="1"/>
  <c r="BI253" i="16"/>
  <c r="BH253" i="16" s="1"/>
  <c r="BI257" i="16"/>
  <c r="BH257" i="16" s="1"/>
  <c r="BI261" i="16"/>
  <c r="BI265" i="16"/>
  <c r="BH265" i="16" s="1"/>
  <c r="BI269" i="16"/>
  <c r="BH269" i="16" s="1"/>
  <c r="BI273" i="16"/>
  <c r="BH273" i="16" s="1"/>
  <c r="BI277" i="16"/>
  <c r="BI281" i="16"/>
  <c r="BI285" i="16"/>
  <c r="BH285" i="16" s="1"/>
  <c r="BI289" i="16"/>
  <c r="BH289" i="16" s="1"/>
  <c r="BI293" i="16"/>
  <c r="BI297" i="16"/>
  <c r="BH297" i="16" s="1"/>
  <c r="BI301" i="16"/>
  <c r="BI305" i="16"/>
  <c r="BH305" i="16" s="1"/>
  <c r="BI309" i="16"/>
  <c r="BI313" i="16"/>
  <c r="BI317" i="16"/>
  <c r="BH317" i="16" s="1"/>
  <c r="BI321" i="16"/>
  <c r="BH321" i="16" s="1"/>
  <c r="BI325" i="16"/>
  <c r="BI329" i="16"/>
  <c r="BH329" i="16" s="1"/>
  <c r="BI333" i="16"/>
  <c r="BH333" i="16" s="1"/>
  <c r="BI337" i="16"/>
  <c r="BI341" i="16"/>
  <c r="BH341" i="16" s="1"/>
  <c r="BI345" i="16"/>
  <c r="BH345" i="16" s="1"/>
  <c r="BI349" i="16"/>
  <c r="BI353" i="16"/>
  <c r="BH353" i="16" s="1"/>
  <c r="BI357" i="16"/>
  <c r="BH357" i="16" s="1"/>
  <c r="BI361" i="16"/>
  <c r="BH361" i="16" s="1"/>
  <c r="BI365" i="16"/>
  <c r="BH365" i="16" s="1"/>
  <c r="BI369" i="16"/>
  <c r="BH369" i="16" s="1"/>
  <c r="BI373" i="16"/>
  <c r="BH373" i="16" s="1"/>
  <c r="BI377" i="16"/>
  <c r="BH377" i="16" s="1"/>
  <c r="BI381" i="16"/>
  <c r="BH381" i="16" s="1"/>
  <c r="BI385" i="16"/>
  <c r="BH385" i="16" s="1"/>
  <c r="BI389" i="16"/>
  <c r="BH389" i="16" s="1"/>
  <c r="BI393" i="16"/>
  <c r="BH393" i="16" s="1"/>
  <c r="BI397" i="16"/>
  <c r="BH397" i="16" s="1"/>
  <c r="BI401" i="16"/>
  <c r="BH401" i="16" s="1"/>
  <c r="BI405" i="16"/>
  <c r="BH405" i="16" s="1"/>
  <c r="BI409" i="16"/>
  <c r="BH409" i="16" s="1"/>
  <c r="BI413" i="16"/>
  <c r="BH413" i="16" s="1"/>
  <c r="BI417" i="16"/>
  <c r="BH417" i="16" s="1"/>
  <c r="BI421" i="16"/>
  <c r="BH421" i="16" s="1"/>
  <c r="BI425" i="16"/>
  <c r="BH425" i="16" s="1"/>
  <c r="BI429" i="16"/>
  <c r="BH429" i="16" s="1"/>
  <c r="BH24" i="16"/>
  <c r="BH33" i="16"/>
  <c r="BH41" i="16"/>
  <c r="BH49" i="16"/>
  <c r="BH65" i="16"/>
  <c r="BH81" i="16"/>
  <c r="BH89" i="16"/>
  <c r="BH97" i="16"/>
  <c r="BH121" i="16"/>
  <c r="BH129" i="16"/>
  <c r="BH153" i="16"/>
  <c r="BH161" i="16"/>
  <c r="BH185" i="16"/>
  <c r="BH261" i="16"/>
  <c r="BH277" i="16"/>
  <c r="BH293" i="16"/>
  <c r="BH309" i="16"/>
  <c r="BH325" i="16"/>
  <c r="BI103" i="16"/>
  <c r="BI25" i="16"/>
  <c r="BH25" i="16" s="1"/>
  <c r="BI29" i="16"/>
  <c r="BH29" i="16" s="1"/>
  <c r="BI37" i="16"/>
  <c r="BH37" i="16" s="1"/>
  <c r="BI45" i="16"/>
  <c r="BI53" i="16"/>
  <c r="BH53" i="16" s="1"/>
  <c r="BI61" i="16"/>
  <c r="BI69" i="16"/>
  <c r="BI77" i="16"/>
  <c r="BH77" i="16" s="1"/>
  <c r="BI85" i="16"/>
  <c r="BH85" i="16" s="1"/>
  <c r="BI93" i="16"/>
  <c r="BI101" i="16"/>
  <c r="BH101" i="16" s="1"/>
  <c r="BI109" i="16"/>
  <c r="BI117" i="16"/>
  <c r="BH117" i="16" s="1"/>
  <c r="BI125" i="16"/>
  <c r="BI137" i="16"/>
  <c r="BH137" i="16" s="1"/>
  <c r="BI26" i="16"/>
  <c r="BH26" i="16" s="1"/>
  <c r="BI30" i="16"/>
  <c r="BH30" i="16" s="1"/>
  <c r="BI34" i="16"/>
  <c r="BH34" i="16" s="1"/>
  <c r="BI38" i="16"/>
  <c r="BH38" i="16" s="1"/>
  <c r="BI42" i="16"/>
  <c r="BH42" i="16" s="1"/>
  <c r="BI46" i="16"/>
  <c r="BH46" i="16" s="1"/>
  <c r="BI50" i="16"/>
  <c r="BH50" i="16" s="1"/>
  <c r="BI54" i="16"/>
  <c r="BH54" i="16" s="1"/>
  <c r="BI58" i="16"/>
  <c r="BH58" i="16" s="1"/>
  <c r="BI62" i="16"/>
  <c r="BH62" i="16" s="1"/>
  <c r="BI66" i="16"/>
  <c r="BH66" i="16" s="1"/>
  <c r="BI70" i="16"/>
  <c r="BH70" i="16" s="1"/>
  <c r="BI74" i="16"/>
  <c r="BH74" i="16" s="1"/>
  <c r="BI78" i="16"/>
  <c r="BH78" i="16" s="1"/>
  <c r="BI82" i="16"/>
  <c r="BH82" i="16" s="1"/>
  <c r="BI86" i="16"/>
  <c r="BH86" i="16" s="1"/>
  <c r="BI90" i="16"/>
  <c r="BH90" i="16" s="1"/>
  <c r="BI94" i="16"/>
  <c r="BH94" i="16" s="1"/>
  <c r="BI98" i="16"/>
  <c r="BH98" i="16" s="1"/>
  <c r="BI102" i="16"/>
  <c r="BH102" i="16"/>
  <c r="BI106" i="16"/>
  <c r="BH106" i="16" s="1"/>
  <c r="BI110" i="16"/>
  <c r="BH110" i="16" s="1"/>
  <c r="BI114" i="16"/>
  <c r="BH114" i="16" s="1"/>
  <c r="BI118" i="16"/>
  <c r="BH118" i="16" s="1"/>
  <c r="BI122" i="16"/>
  <c r="BH122" i="16"/>
  <c r="BI126" i="16"/>
  <c r="BH126" i="16" s="1"/>
  <c r="BI130" i="16"/>
  <c r="BH130" i="16" s="1"/>
  <c r="BI134" i="16"/>
  <c r="BH134" i="16" s="1"/>
  <c r="BI138" i="16"/>
  <c r="BH138" i="16" s="1"/>
  <c r="BI142" i="16"/>
  <c r="BH142" i="16" s="1"/>
  <c r="BI146" i="16"/>
  <c r="BH146" i="16" s="1"/>
  <c r="BI150" i="16"/>
  <c r="BH150" i="16" s="1"/>
  <c r="BI154" i="16"/>
  <c r="BH154" i="16" s="1"/>
  <c r="BI158" i="16"/>
  <c r="BH158" i="16" s="1"/>
  <c r="BI162" i="16"/>
  <c r="BH162" i="16"/>
  <c r="BI166" i="16"/>
  <c r="BH166" i="16" s="1"/>
  <c r="BI170" i="16"/>
  <c r="BH170" i="16"/>
  <c r="BI174" i="16"/>
  <c r="BH174" i="16" s="1"/>
  <c r="BI178" i="16"/>
  <c r="BH178" i="16" s="1"/>
  <c r="BI182" i="16"/>
  <c r="BH182" i="16" s="1"/>
  <c r="BI186" i="16"/>
  <c r="BH186" i="16" s="1"/>
  <c r="BI190" i="16"/>
  <c r="BH190" i="16" s="1"/>
  <c r="BI194" i="16"/>
  <c r="BH194" i="16"/>
  <c r="BI198" i="16"/>
  <c r="BH198" i="16" s="1"/>
  <c r="BI202" i="16"/>
  <c r="BH202" i="16" s="1"/>
  <c r="BI206" i="16"/>
  <c r="BH206" i="16" s="1"/>
  <c r="BI210" i="16"/>
  <c r="BH210" i="16" s="1"/>
  <c r="BI214" i="16"/>
  <c r="BH214" i="16" s="1"/>
  <c r="BI218" i="16"/>
  <c r="BH218" i="16" s="1"/>
  <c r="BI222" i="16"/>
  <c r="BH222" i="16" s="1"/>
  <c r="BI226" i="16"/>
  <c r="BH226" i="16" s="1"/>
  <c r="BI230" i="16"/>
  <c r="BH230" i="16" s="1"/>
  <c r="BI234" i="16"/>
  <c r="BH234" i="16" s="1"/>
  <c r="BI238" i="16"/>
  <c r="BH238" i="16" s="1"/>
  <c r="BI242" i="16"/>
  <c r="BH242" i="16" s="1"/>
  <c r="BI246" i="16"/>
  <c r="BH246" i="16" s="1"/>
  <c r="BI250" i="16"/>
  <c r="BH250" i="16" s="1"/>
  <c r="BI254" i="16"/>
  <c r="BH254" i="16" s="1"/>
  <c r="BI258" i="16"/>
  <c r="BH258" i="16" s="1"/>
  <c r="BI262" i="16"/>
  <c r="BH262" i="16" s="1"/>
  <c r="BI266" i="16"/>
  <c r="BH266" i="16" s="1"/>
  <c r="BI270" i="16"/>
  <c r="BH270" i="16" s="1"/>
  <c r="BI274" i="16"/>
  <c r="BH274" i="16" s="1"/>
  <c r="BI278" i="16"/>
  <c r="BH278" i="16" s="1"/>
  <c r="BI282" i="16"/>
  <c r="BH282" i="16" s="1"/>
  <c r="BI286" i="16"/>
  <c r="BH286" i="16" s="1"/>
  <c r="BI290" i="16"/>
  <c r="BH290" i="16"/>
  <c r="BI294" i="16"/>
  <c r="BH294" i="16" s="1"/>
  <c r="BI298" i="16"/>
  <c r="BH298" i="16" s="1"/>
  <c r="BI302" i="16"/>
  <c r="BH302" i="16" s="1"/>
  <c r="BI306" i="16"/>
  <c r="BH306" i="16" s="1"/>
  <c r="BI310" i="16"/>
  <c r="BH310" i="16" s="1"/>
  <c r="BI314" i="16"/>
  <c r="BH314" i="16" s="1"/>
  <c r="BI318" i="16"/>
  <c r="BH318" i="16" s="1"/>
  <c r="BI322" i="16"/>
  <c r="BH322" i="16" s="1"/>
  <c r="BI326" i="16"/>
  <c r="BH326" i="16" s="1"/>
  <c r="BI330" i="16"/>
  <c r="BH330" i="16" s="1"/>
  <c r="BI334" i="16"/>
  <c r="BH334" i="16" s="1"/>
  <c r="BI338" i="16"/>
  <c r="BH338" i="16" s="1"/>
  <c r="BI342" i="16"/>
  <c r="BH342" i="16" s="1"/>
  <c r="BI346" i="16"/>
  <c r="BH346" i="16" s="1"/>
  <c r="BI350" i="16"/>
  <c r="BH350" i="16" s="1"/>
  <c r="BI354" i="16"/>
  <c r="BH354" i="16" s="1"/>
  <c r="BI358" i="16"/>
  <c r="BH358" i="16" s="1"/>
  <c r="BI362" i="16"/>
  <c r="BH362" i="16"/>
  <c r="BI366" i="16"/>
  <c r="BH366" i="16" s="1"/>
  <c r="BI370" i="16"/>
  <c r="BH370" i="16" s="1"/>
  <c r="BI374" i="16"/>
  <c r="BH374" i="16" s="1"/>
  <c r="BI378" i="16"/>
  <c r="BH378" i="16" s="1"/>
  <c r="BI382" i="16"/>
  <c r="BH382" i="16" s="1"/>
  <c r="BI386" i="16"/>
  <c r="BH386" i="16" s="1"/>
  <c r="BI390" i="16"/>
  <c r="BH390" i="16" s="1"/>
  <c r="BI394" i="16"/>
  <c r="BH394" i="16" s="1"/>
  <c r="BI398" i="16"/>
  <c r="BH398" i="16" s="1"/>
  <c r="BI402" i="16"/>
  <c r="BH402" i="16" s="1"/>
  <c r="BI406" i="16"/>
  <c r="BH406" i="16" s="1"/>
  <c r="BI410" i="16"/>
  <c r="BH410" i="16" s="1"/>
  <c r="BI414" i="16"/>
  <c r="BH414" i="16"/>
  <c r="BI418" i="16"/>
  <c r="BH418" i="16"/>
  <c r="BI422" i="16"/>
  <c r="BH422" i="16" s="1"/>
  <c r="BI426" i="16"/>
  <c r="BH426" i="16" s="1"/>
  <c r="BI430" i="16"/>
  <c r="BH430" i="16" s="1"/>
  <c r="BH281" i="16"/>
  <c r="BH313" i="16"/>
  <c r="BI99" i="16"/>
  <c r="BH99" i="16" s="1"/>
  <c r="BI107" i="16"/>
  <c r="BH107" i="16" s="1"/>
  <c r="BI111" i="16"/>
  <c r="BH111" i="16" s="1"/>
  <c r="BI115" i="16"/>
  <c r="BH115" i="16" s="1"/>
  <c r="BI119" i="16"/>
  <c r="BI123" i="16"/>
  <c r="BI127" i="16"/>
  <c r="BH127" i="16" s="1"/>
  <c r="BI131" i="16"/>
  <c r="BH131" i="16" s="1"/>
  <c r="BI135" i="16"/>
  <c r="BI139" i="16"/>
  <c r="BI143" i="16"/>
  <c r="BH143" i="16" s="1"/>
  <c r="BI147" i="16"/>
  <c r="BH147" i="16" s="1"/>
  <c r="BI151" i="16"/>
  <c r="BI155" i="16"/>
  <c r="BI159" i="16"/>
  <c r="BI163" i="16"/>
  <c r="BH163" i="16" s="1"/>
  <c r="BI167" i="16"/>
  <c r="BI171" i="16"/>
  <c r="BH171" i="16" s="1"/>
  <c r="BI175" i="16"/>
  <c r="BH175" i="16" s="1"/>
  <c r="BI179" i="16"/>
  <c r="BI183" i="16"/>
  <c r="BH183" i="16" s="1"/>
  <c r="BI187" i="16"/>
  <c r="BH187" i="16" s="1"/>
  <c r="BI191" i="16"/>
  <c r="BH191" i="16" s="1"/>
  <c r="BI195" i="16"/>
  <c r="BH195" i="16" s="1"/>
  <c r="BI199" i="16"/>
  <c r="BH199" i="16" s="1"/>
  <c r="BI203" i="16"/>
  <c r="BH203" i="16" s="1"/>
  <c r="BI207" i="16"/>
  <c r="BI211" i="16"/>
  <c r="BH211" i="16" s="1"/>
  <c r="BI215" i="16"/>
  <c r="BH215" i="16" s="1"/>
  <c r="BI219" i="16"/>
  <c r="BH219" i="16" s="1"/>
  <c r="BI223" i="16"/>
  <c r="BI227" i="16"/>
  <c r="BH227" i="16" s="1"/>
  <c r="BI231" i="16"/>
  <c r="BH231" i="16" s="1"/>
  <c r="BI235" i="16"/>
  <c r="BH235" i="16" s="1"/>
  <c r="BI239" i="16"/>
  <c r="BH239" i="16" s="1"/>
  <c r="BI243" i="16"/>
  <c r="BH243" i="16" s="1"/>
  <c r="BI247" i="16"/>
  <c r="BH247" i="16" s="1"/>
  <c r="BI251" i="16"/>
  <c r="BH251" i="16" s="1"/>
  <c r="BI255" i="16"/>
  <c r="BH255" i="16" s="1"/>
  <c r="BI259" i="16"/>
  <c r="BH259" i="16" s="1"/>
  <c r="BI263" i="16"/>
  <c r="BH263" i="16" s="1"/>
  <c r="BI267" i="16"/>
  <c r="BH267" i="16" s="1"/>
  <c r="BI271" i="16"/>
  <c r="BH271" i="16" s="1"/>
  <c r="BI275" i="16"/>
  <c r="BH275" i="16" s="1"/>
  <c r="BI279" i="16"/>
  <c r="BH279" i="16" s="1"/>
  <c r="BI283" i="16"/>
  <c r="BH283" i="16"/>
  <c r="BI287" i="16"/>
  <c r="BH287" i="16"/>
  <c r="BI291" i="16"/>
  <c r="BH291" i="16" s="1"/>
  <c r="BI295" i="16"/>
  <c r="BH295" i="16"/>
  <c r="BI299" i="16"/>
  <c r="BH299" i="16" s="1"/>
  <c r="BI303" i="16"/>
  <c r="BH303" i="16" s="1"/>
  <c r="BI307" i="16"/>
  <c r="BH307" i="16" s="1"/>
  <c r="BI311" i="16"/>
  <c r="BH311" i="16" s="1"/>
  <c r="BI315" i="16"/>
  <c r="BH315" i="16" s="1"/>
  <c r="BI319" i="16"/>
  <c r="BH319" i="16" s="1"/>
  <c r="BI323" i="16"/>
  <c r="BH323" i="16" s="1"/>
  <c r="BI327" i="16"/>
  <c r="BH327" i="16" s="1"/>
  <c r="BI331" i="16"/>
  <c r="BH331" i="16" s="1"/>
  <c r="BI335" i="16"/>
  <c r="BH335" i="16" s="1"/>
  <c r="BI339" i="16"/>
  <c r="BH339" i="16"/>
  <c r="BI343" i="16"/>
  <c r="BH343" i="16" s="1"/>
  <c r="BI347" i="16"/>
  <c r="BH347" i="16" s="1"/>
  <c r="BI351" i="16"/>
  <c r="BH351" i="16"/>
  <c r="BI355" i="16"/>
  <c r="BH355" i="16" s="1"/>
  <c r="BI359" i="16"/>
  <c r="BH359" i="16" s="1"/>
  <c r="BI363" i="16"/>
  <c r="BH363" i="16" s="1"/>
  <c r="BI367" i="16"/>
  <c r="BH367" i="16" s="1"/>
  <c r="BI371" i="16"/>
  <c r="BH371" i="16"/>
  <c r="BI375" i="16"/>
  <c r="BH375" i="16"/>
  <c r="BI379" i="16"/>
  <c r="BH379" i="16" s="1"/>
  <c r="BI383" i="16"/>
  <c r="BH383" i="16" s="1"/>
  <c r="BI387" i="16"/>
  <c r="BH387" i="16" s="1"/>
  <c r="BI391" i="16"/>
  <c r="BH391" i="16" s="1"/>
  <c r="BI395" i="16"/>
  <c r="BH395" i="16" s="1"/>
  <c r="BI399" i="16"/>
  <c r="BH399" i="16" s="1"/>
  <c r="BI403" i="16"/>
  <c r="BH403" i="16"/>
  <c r="BI407" i="16"/>
  <c r="BH407" i="16" s="1"/>
  <c r="BI411" i="16"/>
  <c r="BH411" i="16" s="1"/>
  <c r="BI415" i="16"/>
  <c r="BH415" i="16" s="1"/>
  <c r="BI419" i="16"/>
  <c r="BH419" i="16" s="1"/>
  <c r="BI423" i="16"/>
  <c r="BH423" i="16" s="1"/>
  <c r="BI427" i="16"/>
  <c r="BH427" i="16" s="1"/>
  <c r="BI431" i="16"/>
  <c r="BH431" i="16"/>
  <c r="BH45" i="16"/>
  <c r="BH61" i="16"/>
  <c r="BH69" i="16"/>
  <c r="BH93" i="16"/>
  <c r="BH109" i="16"/>
  <c r="BH125" i="16"/>
  <c r="BH141" i="16"/>
  <c r="BH157" i="16"/>
  <c r="BH165" i="16"/>
  <c r="BH181" i="16"/>
  <c r="BH189" i="16"/>
  <c r="BH197" i="16"/>
  <c r="BH213" i="16"/>
  <c r="BH221" i="16"/>
  <c r="BH229" i="16"/>
  <c r="BH237" i="16"/>
  <c r="BH245" i="16"/>
  <c r="BH301" i="16"/>
  <c r="BH349" i="16"/>
  <c r="BI28" i="16"/>
  <c r="BH28" i="16" s="1"/>
  <c r="BI32" i="16"/>
  <c r="BH32" i="16" s="1"/>
  <c r="BI36" i="16"/>
  <c r="BH36" i="16" s="1"/>
  <c r="BI40" i="16"/>
  <c r="BH40" i="16" s="1"/>
  <c r="BI44" i="16"/>
  <c r="BH44" i="16" s="1"/>
  <c r="BI48" i="16"/>
  <c r="BH48" i="16" s="1"/>
  <c r="BI52" i="16"/>
  <c r="BH52" i="16" s="1"/>
  <c r="BI56" i="16"/>
  <c r="BH56" i="16"/>
  <c r="BI60" i="16"/>
  <c r="BH60" i="16" s="1"/>
  <c r="BI64" i="16"/>
  <c r="BH64" i="16" s="1"/>
  <c r="BI68" i="16"/>
  <c r="BH68" i="16" s="1"/>
  <c r="BI72" i="16"/>
  <c r="BH72" i="16" s="1"/>
  <c r="BI76" i="16"/>
  <c r="BH76" i="16" s="1"/>
  <c r="BI80" i="16"/>
  <c r="BH80" i="16" s="1"/>
  <c r="BI84" i="16"/>
  <c r="BH84" i="16" s="1"/>
  <c r="BI88" i="16"/>
  <c r="BH88" i="16" s="1"/>
  <c r="BI92" i="16"/>
  <c r="BH92" i="16" s="1"/>
  <c r="BI96" i="16"/>
  <c r="BH96" i="16" s="1"/>
  <c r="BI100" i="16"/>
  <c r="BH100" i="16"/>
  <c r="BI104" i="16"/>
  <c r="BH104" i="16" s="1"/>
  <c r="BI108" i="16"/>
  <c r="BH108" i="16" s="1"/>
  <c r="BI112" i="16"/>
  <c r="BH112" i="16"/>
  <c r="BI116" i="16"/>
  <c r="BH116" i="16" s="1"/>
  <c r="BI120" i="16"/>
  <c r="BH120" i="16"/>
  <c r="BI124" i="16"/>
  <c r="BH124" i="16"/>
  <c r="BI128" i="16"/>
  <c r="BH128" i="16"/>
  <c r="BI132" i="16"/>
  <c r="BH132" i="16"/>
  <c r="BI136" i="16"/>
  <c r="BH136" i="16" s="1"/>
  <c r="BI140" i="16"/>
  <c r="BH140" i="16"/>
  <c r="BI144" i="16"/>
  <c r="BH144" i="16" s="1"/>
  <c r="BI148" i="16"/>
  <c r="BH148" i="16" s="1"/>
  <c r="BI152" i="16"/>
  <c r="BH152" i="16"/>
  <c r="BI156" i="16"/>
  <c r="BH156" i="16"/>
  <c r="BI160" i="16"/>
  <c r="BH160" i="16" s="1"/>
  <c r="BI164" i="16"/>
  <c r="BH164" i="16" s="1"/>
  <c r="BI168" i="16"/>
  <c r="BH168" i="16" s="1"/>
  <c r="BI172" i="16"/>
  <c r="BH172" i="16" s="1"/>
  <c r="BI176" i="16"/>
  <c r="BH176" i="16" s="1"/>
  <c r="BI180" i="16"/>
  <c r="BH180" i="16"/>
  <c r="BI184" i="16"/>
  <c r="BH184" i="16" s="1"/>
  <c r="BI188" i="16"/>
  <c r="BH188" i="16"/>
  <c r="BI192" i="16"/>
  <c r="BH192" i="16" s="1"/>
  <c r="BI196" i="16"/>
  <c r="BH196" i="16" s="1"/>
  <c r="BI200" i="16"/>
  <c r="BH200" i="16" s="1"/>
  <c r="BI204" i="16"/>
  <c r="BH204" i="16" s="1"/>
  <c r="BI208" i="16"/>
  <c r="BH208" i="16" s="1"/>
  <c r="BI212" i="16"/>
  <c r="BH212" i="16" s="1"/>
  <c r="BI216" i="16"/>
  <c r="BH216" i="16" s="1"/>
  <c r="BI220" i="16"/>
  <c r="BH220" i="16" s="1"/>
  <c r="BI224" i="16"/>
  <c r="BH224" i="16" s="1"/>
  <c r="BI228" i="16"/>
  <c r="BH228" i="16" s="1"/>
  <c r="BI232" i="16"/>
  <c r="BH232" i="16" s="1"/>
  <c r="BI236" i="16"/>
  <c r="BH236" i="16" s="1"/>
  <c r="BI240" i="16"/>
  <c r="BH240" i="16" s="1"/>
  <c r="BI244" i="16"/>
  <c r="BH244" i="16" s="1"/>
  <c r="BI248" i="16"/>
  <c r="BH248" i="16" s="1"/>
  <c r="BI252" i="16"/>
  <c r="BH252" i="16" s="1"/>
  <c r="BI256" i="16"/>
  <c r="BH256" i="16" s="1"/>
  <c r="BI260" i="16"/>
  <c r="BH260" i="16" s="1"/>
  <c r="BI264" i="16"/>
  <c r="BH264" i="16" s="1"/>
  <c r="BI268" i="16"/>
  <c r="BH268" i="16" s="1"/>
  <c r="BI272" i="16"/>
  <c r="BH272" i="16" s="1"/>
  <c r="BI276" i="16"/>
  <c r="BH276" i="16" s="1"/>
  <c r="BI280" i="16"/>
  <c r="BH280" i="16" s="1"/>
  <c r="BI284" i="16"/>
  <c r="BH284" i="16" s="1"/>
  <c r="BI288" i="16"/>
  <c r="BH288" i="16" s="1"/>
  <c r="BI292" i="16"/>
  <c r="BH292" i="16" s="1"/>
  <c r="BI296" i="16"/>
  <c r="BH296" i="16" s="1"/>
  <c r="BI300" i="16"/>
  <c r="BH300" i="16" s="1"/>
  <c r="BI304" i="16"/>
  <c r="BH304" i="16" s="1"/>
  <c r="BI308" i="16"/>
  <c r="BH308" i="16" s="1"/>
  <c r="BI312" i="16"/>
  <c r="BH312" i="16" s="1"/>
  <c r="BI316" i="16"/>
  <c r="BH316" i="16" s="1"/>
  <c r="BI320" i="16"/>
  <c r="BH320" i="16" s="1"/>
  <c r="BI324" i="16"/>
  <c r="BH324" i="16"/>
  <c r="BI328" i="16"/>
  <c r="BH328" i="16" s="1"/>
  <c r="BI332" i="16"/>
  <c r="BH332" i="16" s="1"/>
  <c r="BI336" i="16"/>
  <c r="BH336" i="16" s="1"/>
  <c r="BI340" i="16"/>
  <c r="BH340" i="16" s="1"/>
  <c r="BI344" i="16"/>
  <c r="BH344" i="16"/>
  <c r="BI348" i="16"/>
  <c r="BH348" i="16" s="1"/>
  <c r="BI352" i="16"/>
  <c r="BH352" i="16" s="1"/>
  <c r="BI356" i="16"/>
  <c r="BH356" i="16" s="1"/>
  <c r="BI360" i="16"/>
  <c r="BH360" i="16" s="1"/>
  <c r="BI364" i="16"/>
  <c r="BH364" i="16" s="1"/>
  <c r="BI368" i="16"/>
  <c r="BH368" i="16" s="1"/>
  <c r="BI372" i="16"/>
  <c r="BH372" i="16"/>
  <c r="BI376" i="16"/>
  <c r="BH376" i="16"/>
  <c r="BI380" i="16"/>
  <c r="BH380" i="16" s="1"/>
  <c r="BI384" i="16"/>
  <c r="BH384" i="16"/>
  <c r="BI388" i="16"/>
  <c r="BH388" i="16" s="1"/>
  <c r="BI392" i="16"/>
  <c r="BH392" i="16" s="1"/>
  <c r="BI396" i="16"/>
  <c r="BH396" i="16" s="1"/>
  <c r="BI400" i="16"/>
  <c r="BH400" i="16" s="1"/>
  <c r="BI404" i="16"/>
  <c r="BH404" i="16" s="1"/>
  <c r="BI408" i="16"/>
  <c r="BH408" i="16" s="1"/>
  <c r="BI412" i="16"/>
  <c r="BH412" i="16" s="1"/>
  <c r="BI416" i="16"/>
  <c r="BH416" i="16" s="1"/>
  <c r="BI420" i="16"/>
  <c r="BH420" i="16" s="1"/>
  <c r="BI424" i="16"/>
  <c r="BH424" i="16" s="1"/>
  <c r="BI428" i="16"/>
  <c r="BH428" i="16" s="1"/>
  <c r="BH95" i="16"/>
  <c r="BH103" i="16"/>
  <c r="BH119" i="16"/>
  <c r="BH135" i="16"/>
  <c r="BH151" i="16"/>
  <c r="BH159" i="16"/>
  <c r="BH167" i="16"/>
  <c r="BH207" i="16"/>
  <c r="BH223" i="16"/>
  <c r="BH337" i="16"/>
  <c r="BI432" i="16"/>
  <c r="BH432" i="16" s="1"/>
  <c r="C80" i="17"/>
  <c r="C79" i="17"/>
  <c r="C78" i="17"/>
  <c r="C77" i="17"/>
  <c r="T30" i="7"/>
  <c r="T29" i="7"/>
  <c r="T28" i="7"/>
  <c r="CI78" i="17"/>
  <c r="CI77" i="17"/>
  <c r="CI76" i="17"/>
  <c r="L7" i="16"/>
  <c r="L6" i="16"/>
  <c r="L5" i="16"/>
  <c r="AH9" i="17"/>
  <c r="AH8" i="17"/>
  <c r="AH7" i="17"/>
  <c r="AH6" i="17"/>
  <c r="AB90" i="17"/>
  <c r="AB87" i="17"/>
  <c r="AB15" i="17"/>
  <c r="AB14" i="17"/>
  <c r="AB16" i="17"/>
  <c r="AB13" i="17"/>
  <c r="BF18" i="16"/>
  <c r="BF17" i="16"/>
  <c r="BF16" i="16"/>
  <c r="AU29" i="16"/>
  <c r="BA29" i="16" s="1"/>
  <c r="AU28" i="16"/>
  <c r="BA28" i="16" s="1"/>
  <c r="AU27" i="16"/>
  <c r="BA27" i="16" s="1"/>
  <c r="AU26" i="16"/>
  <c r="BA26" i="16" s="1"/>
  <c r="AU25" i="16"/>
  <c r="BA25" i="16" s="1"/>
  <c r="AU24" i="16"/>
  <c r="BA24" i="16" s="1"/>
  <c r="AD44" i="16"/>
  <c r="AD43" i="16"/>
  <c r="AD42" i="16"/>
  <c r="AD15" i="16"/>
  <c r="AD14" i="16"/>
  <c r="AD13" i="16"/>
  <c r="O22" i="11"/>
  <c r="O21" i="11"/>
  <c r="O20" i="11"/>
  <c r="X29" i="9"/>
  <c r="X28" i="9"/>
  <c r="X27" i="9"/>
  <c r="X26" i="9"/>
  <c r="U118" i="9"/>
  <c r="U117" i="9"/>
  <c r="U116" i="9"/>
  <c r="U115" i="9"/>
  <c r="U78" i="9"/>
  <c r="U77" i="9"/>
  <c r="U76" i="9"/>
  <c r="U75" i="9"/>
  <c r="U28" i="9"/>
  <c r="U27" i="9"/>
  <c r="U26" i="9"/>
  <c r="U29" i="9"/>
  <c r="U12" i="9"/>
  <c r="U11" i="9"/>
  <c r="U10" i="9"/>
  <c r="U13" i="9"/>
  <c r="W25" i="8"/>
  <c r="W24" i="8"/>
  <c r="W23" i="8"/>
  <c r="W8" i="8"/>
  <c r="W7" i="8"/>
  <c r="W6" i="8"/>
  <c r="T9" i="8"/>
  <c r="T8" i="8"/>
  <c r="T7" i="8"/>
  <c r="Q76" i="7"/>
  <c r="Q75" i="7"/>
  <c r="Q74" i="7"/>
  <c r="Q57" i="7"/>
  <c r="Q56" i="7"/>
  <c r="Q55" i="7"/>
  <c r="Q35" i="7"/>
  <c r="Q34" i="7"/>
  <c r="Q33" i="7"/>
  <c r="Q12" i="7"/>
  <c r="Q11" i="7"/>
  <c r="Q10" i="7"/>
  <c r="B36" i="9"/>
  <c r="B48" i="9"/>
  <c r="AA60" i="17"/>
  <c r="B64" i="17"/>
  <c r="B44" i="9"/>
  <c r="AA54" i="17"/>
  <c r="AA63" i="17"/>
  <c r="B52" i="17"/>
  <c r="B39" i="9"/>
  <c r="AA51" i="17"/>
  <c r="B32" i="9"/>
  <c r="AA55" i="17"/>
  <c r="B29" i="9"/>
  <c r="B65" i="17"/>
  <c r="B57" i="17"/>
  <c r="B67" i="17"/>
  <c r="AA52" i="17"/>
  <c r="B63" i="17"/>
  <c r="AA62" i="17"/>
  <c r="B66" i="17"/>
  <c r="AA19" i="17"/>
  <c r="B35" i="9"/>
  <c r="AA61" i="17"/>
  <c r="B46" i="9"/>
  <c r="P71" i="7"/>
  <c r="P69" i="7"/>
  <c r="B45" i="9"/>
  <c r="AA53" i="17"/>
  <c r="P70" i="7"/>
  <c r="B38" i="9"/>
  <c r="B43" i="9"/>
  <c r="B33" i="9"/>
  <c r="AA57" i="17"/>
  <c r="B49" i="9"/>
  <c r="B37" i="9"/>
  <c r="AA58" i="17"/>
  <c r="B31" i="9"/>
  <c r="T25" i="9"/>
  <c r="B58" i="17"/>
  <c r="AA50" i="17"/>
  <c r="B59" i="17"/>
  <c r="B41" i="9"/>
  <c r="B61" i="17"/>
  <c r="AA56" i="17"/>
  <c r="B60" i="17"/>
  <c r="B56" i="17"/>
  <c r="B30" i="9"/>
  <c r="AA59" i="17"/>
  <c r="T24" i="9"/>
  <c r="B53" i="17"/>
  <c r="B62" i="17"/>
  <c r="B47" i="9"/>
  <c r="B55" i="17"/>
  <c r="B54" i="17"/>
  <c r="B42" i="9"/>
  <c r="B34" i="9"/>
  <c r="B40" i="9"/>
  <c r="T23" i="9"/>
  <c r="AR22" i="9"/>
  <c r="D26" i="23" l="1"/>
  <c r="C18" i="23"/>
  <c r="C15" i="23" s="1"/>
  <c r="D15" i="23" s="1"/>
  <c r="C25" i="23"/>
  <c r="C26" i="23" s="1"/>
  <c r="BO29" i="16"/>
  <c r="BU29" i="16" s="1"/>
  <c r="BO25" i="16"/>
  <c r="BO28" i="16"/>
  <c r="BU28" i="16" s="1"/>
  <c r="BO24" i="16"/>
  <c r="BT24" i="16" s="1"/>
  <c r="BO27" i="16"/>
  <c r="BO26" i="16"/>
  <c r="BU26" i="16" s="1"/>
  <c r="AZ24" i="16"/>
  <c r="AZ25" i="16" s="1"/>
  <c r="D14" i="23" l="1"/>
  <c r="D16" i="23"/>
  <c r="BT25" i="16"/>
  <c r="BU25" i="16"/>
  <c r="BU27" i="16"/>
  <c r="AZ26" i="16"/>
  <c r="AZ27" i="16" s="1"/>
  <c r="D18" i="23" l="1"/>
  <c r="BT26" i="16"/>
  <c r="BT27" i="16" s="1"/>
  <c r="BT28" i="16" s="1"/>
  <c r="BT29" i="16" s="1"/>
  <c r="AZ28" i="16"/>
  <c r="AZ29" i="16" l="1"/>
  <c r="BB24" i="16" s="1"/>
  <c r="BC24" i="16" s="1"/>
  <c r="BB28" i="16" l="1"/>
  <c r="BC28" i="16" s="1"/>
  <c r="BB25" i="16"/>
  <c r="BC25" i="16" s="1"/>
  <c r="BB26" i="16"/>
  <c r="BC26" i="16" s="1"/>
  <c r="BB27" i="16"/>
  <c r="BC27" i="16" s="1"/>
  <c r="BU24" i="16" l="1"/>
  <c r="BV24" i="16" l="1"/>
  <c r="BW24" i="16" s="1"/>
  <c r="BV25" i="16"/>
  <c r="BW25" i="16" s="1"/>
  <c r="BV29" i="16" l="1"/>
  <c r="BW29" i="16" s="1"/>
  <c r="BV26" i="16" l="1"/>
  <c r="BW26" i="16" s="1"/>
  <c r="BV27" i="16"/>
  <c r="BW27" i="16" s="1"/>
  <c r="BV28" i="16"/>
  <c r="BW28" i="16" s="1"/>
  <c r="C118" i="17" l="1"/>
  <c r="O24" i="11"/>
  <c r="C338" i="17"/>
  <c r="AL12" i="17"/>
  <c r="B433" i="17"/>
  <c r="AD189" i="16"/>
  <c r="C443" i="17"/>
  <c r="P64" i="7"/>
  <c r="B230" i="17"/>
  <c r="B221" i="17"/>
  <c r="AC107" i="16"/>
  <c r="C316" i="17"/>
  <c r="C299" i="17"/>
  <c r="AC180" i="16"/>
  <c r="AC207" i="16"/>
  <c r="B306" i="17"/>
  <c r="B391" i="17"/>
  <c r="AD244" i="16"/>
  <c r="AJ12" i="17"/>
  <c r="B264" i="17"/>
  <c r="U163" i="9"/>
  <c r="B299" i="17"/>
  <c r="AC111" i="16"/>
  <c r="B440" i="17"/>
  <c r="B106" i="17"/>
  <c r="C366" i="17"/>
  <c r="AC227" i="16"/>
  <c r="C223" i="17"/>
  <c r="AD54" i="16"/>
  <c r="C394" i="17"/>
  <c r="W151" i="9"/>
  <c r="B414" i="17"/>
  <c r="AC29" i="16"/>
  <c r="B445" i="17"/>
  <c r="B401" i="17"/>
  <c r="AD81" i="16"/>
  <c r="AD274" i="16"/>
  <c r="B301" i="17"/>
  <c r="B198" i="17"/>
  <c r="B223" i="17"/>
  <c r="AC244" i="16"/>
  <c r="AD238" i="16"/>
  <c r="C298" i="17"/>
  <c r="S19" i="8"/>
  <c r="AA95" i="17"/>
  <c r="T61" i="9"/>
  <c r="S35" i="7"/>
  <c r="C311" i="17"/>
  <c r="B272" i="17"/>
  <c r="C267" i="17"/>
  <c r="W94" i="9"/>
  <c r="B298" i="17"/>
  <c r="AC286" i="16"/>
  <c r="AD76" i="16"/>
  <c r="B384" i="17"/>
  <c r="AC145" i="16"/>
  <c r="E20" i="1"/>
  <c r="S12" i="8"/>
  <c r="AD104" i="16"/>
  <c r="P20" i="7"/>
  <c r="C124" i="17"/>
  <c r="U152" i="9"/>
  <c r="B236" i="17"/>
  <c r="AD261" i="16"/>
  <c r="T98" i="9"/>
  <c r="AD173" i="16"/>
  <c r="AC324" i="16"/>
  <c r="C319" i="17"/>
  <c r="T90" i="9"/>
  <c r="T53" i="9"/>
  <c r="C203" i="17"/>
  <c r="T159" i="9"/>
  <c r="AD324" i="16"/>
  <c r="U141" i="9"/>
  <c r="W103" i="9"/>
  <c r="B199" i="17"/>
  <c r="U136" i="9"/>
  <c r="AC235" i="16"/>
  <c r="AC293" i="16"/>
  <c r="B265" i="17"/>
  <c r="T89" i="9"/>
  <c r="B95" i="17"/>
  <c r="C302" i="17"/>
  <c r="B377" i="17"/>
  <c r="C212" i="17"/>
  <c r="B100" i="17"/>
  <c r="W137" i="9"/>
  <c r="P66" i="7"/>
  <c r="AD179" i="16"/>
  <c r="W139" i="9"/>
  <c r="B412" i="17"/>
  <c r="U144" i="9"/>
  <c r="C297" i="17"/>
  <c r="B248" i="17"/>
  <c r="W95" i="9"/>
  <c r="S33" i="8"/>
  <c r="C99" i="17"/>
  <c r="B204" i="17"/>
  <c r="T147" i="9"/>
  <c r="P68" i="7"/>
  <c r="AD102" i="16"/>
  <c r="B370" i="17"/>
  <c r="C448" i="17"/>
  <c r="AC218" i="16"/>
  <c r="AC255" i="16"/>
  <c r="W161" i="9"/>
  <c r="W135" i="9"/>
  <c r="C414" i="17"/>
  <c r="AC178" i="16"/>
  <c r="AD123" i="16"/>
  <c r="B186" i="17"/>
  <c r="B454" i="17"/>
  <c r="AD284" i="16"/>
  <c r="B286" i="17"/>
  <c r="C159" i="17"/>
  <c r="B202" i="17"/>
  <c r="AC319" i="16"/>
  <c r="AD263" i="16"/>
  <c r="W85" i="9"/>
  <c r="W68" i="9"/>
  <c r="U131" i="9"/>
  <c r="B143" i="17"/>
  <c r="B142" i="17"/>
  <c r="C286" i="17"/>
  <c r="AD41" i="16"/>
  <c r="U159" i="9"/>
  <c r="V19" i="8"/>
  <c r="W150" i="9"/>
  <c r="B85" i="17"/>
  <c r="B295" i="17"/>
  <c r="AG11" i="17"/>
  <c r="B33" i="1"/>
  <c r="B283" i="17"/>
  <c r="AC102" i="16"/>
  <c r="C341" i="17"/>
  <c r="AC137" i="16"/>
  <c r="AC168" i="16"/>
  <c r="C429" i="17"/>
  <c r="B413" i="17"/>
  <c r="C184" i="17"/>
  <c r="AC213" i="16"/>
  <c r="B131" i="17"/>
  <c r="AD328" i="16"/>
  <c r="C354" i="17"/>
  <c r="C110" i="17"/>
  <c r="AC155" i="16"/>
  <c r="AM12" i="17"/>
  <c r="Q58" i="7"/>
  <c r="B250" i="17"/>
  <c r="T142" i="9"/>
  <c r="C238" i="17"/>
  <c r="AD200" i="16"/>
  <c r="B441" i="17"/>
  <c r="AD59" i="16"/>
  <c r="B123" i="17"/>
  <c r="AD144" i="16"/>
  <c r="W131" i="9"/>
  <c r="C196" i="17"/>
  <c r="B288" i="17"/>
  <c r="W108" i="9"/>
  <c r="T156" i="9"/>
  <c r="AC81" i="16"/>
  <c r="B451" i="17"/>
  <c r="AD303" i="16"/>
  <c r="B211" i="17"/>
  <c r="AD126" i="16"/>
  <c r="P83" i="7"/>
  <c r="AD86" i="16"/>
  <c r="C228" i="17"/>
  <c r="C217" i="17"/>
  <c r="C424" i="17"/>
  <c r="B164" i="17"/>
  <c r="W119" i="9"/>
  <c r="C164" i="17"/>
  <c r="AG16" i="17"/>
  <c r="C239" i="17"/>
  <c r="C251" i="17"/>
  <c r="C418" i="17"/>
  <c r="AD232" i="16"/>
  <c r="C130" i="17"/>
  <c r="C387" i="17"/>
  <c r="U155" i="9"/>
  <c r="W45" i="9"/>
  <c r="AC192" i="16"/>
  <c r="AD61" i="16"/>
  <c r="AC315" i="16"/>
  <c r="AC92" i="16"/>
  <c r="AD280" i="16"/>
  <c r="C428" i="17"/>
  <c r="U80" i="9"/>
  <c r="S30" i="8"/>
  <c r="B444" i="17"/>
  <c r="AR12" i="17"/>
  <c r="W55" i="9"/>
  <c r="AC203" i="16"/>
  <c r="AC136" i="16"/>
  <c r="AC110" i="16"/>
  <c r="C324" i="17"/>
  <c r="B206" i="17"/>
  <c r="AD159" i="16"/>
  <c r="C195" i="17"/>
  <c r="S24" i="8"/>
  <c r="AD305" i="16"/>
  <c r="B280" i="17"/>
  <c r="AC276" i="16"/>
  <c r="W136" i="9"/>
  <c r="C254" i="17"/>
  <c r="AD50" i="16"/>
  <c r="AD96" i="16"/>
  <c r="U150" i="9"/>
  <c r="C269" i="17"/>
  <c r="U134" i="9"/>
  <c r="AC176" i="16"/>
  <c r="C132" i="17"/>
  <c r="U153" i="9"/>
  <c r="B182" i="17"/>
  <c r="N39" i="11"/>
  <c r="W58" i="9"/>
  <c r="B237" i="17"/>
  <c r="W149" i="9"/>
  <c r="T69" i="9"/>
  <c r="AI12" i="17"/>
  <c r="C455" i="17"/>
  <c r="B297" i="17"/>
  <c r="AD315" i="16"/>
  <c r="C389" i="17"/>
  <c r="C273" i="17"/>
  <c r="Q17" i="7"/>
  <c r="AC105" i="16"/>
  <c r="AC53" i="16"/>
  <c r="B209" i="17"/>
  <c r="C91" i="17"/>
  <c r="B278" i="17"/>
  <c r="W128" i="9"/>
  <c r="T33" i="7"/>
  <c r="B460" i="17"/>
  <c r="AD331" i="16"/>
  <c r="AA93" i="17"/>
  <c r="AD145" i="16"/>
  <c r="AD298" i="16"/>
  <c r="C236" i="17"/>
  <c r="AD150" i="16"/>
  <c r="C357" i="17"/>
  <c r="B351" i="17"/>
  <c r="U138" i="9"/>
  <c r="AC133" i="16"/>
  <c r="C274" i="17"/>
  <c r="AC259" i="16"/>
  <c r="U129" i="9"/>
  <c r="AD240" i="16"/>
  <c r="AD143" i="16"/>
  <c r="T82" i="9"/>
  <c r="C234" i="17"/>
  <c r="T91" i="9"/>
  <c r="C278" i="17"/>
  <c r="B388" i="17"/>
  <c r="AD201" i="16"/>
  <c r="B158" i="17"/>
  <c r="AD187" i="16"/>
  <c r="S17" i="7"/>
  <c r="AC310" i="16"/>
  <c r="B316" i="17"/>
  <c r="AC325" i="16"/>
  <c r="W134" i="9"/>
  <c r="S34" i="8"/>
  <c r="C138" i="17"/>
  <c r="U151" i="9"/>
  <c r="AC240" i="16"/>
  <c r="B268" i="17"/>
  <c r="AD302" i="16"/>
  <c r="B275" i="17"/>
  <c r="C404" i="17"/>
  <c r="B178" i="17"/>
  <c r="AC208" i="16"/>
  <c r="C153" i="17"/>
  <c r="AD279" i="16"/>
  <c r="W146" i="9"/>
  <c r="W101" i="9"/>
  <c r="AC49" i="16"/>
  <c r="T95" i="9"/>
  <c r="B274" i="17"/>
  <c r="B222" i="17"/>
  <c r="T64" i="9"/>
  <c r="B352" i="17"/>
  <c r="C107" i="17"/>
  <c r="AC28" i="16"/>
  <c r="C255" i="17"/>
  <c r="B424" i="17"/>
  <c r="B333" i="17"/>
  <c r="B356" i="17"/>
  <c r="B210" i="17"/>
  <c r="AD243" i="16"/>
  <c r="B114" i="17"/>
  <c r="C165" i="17"/>
  <c r="AC316" i="16"/>
  <c r="C396" i="17"/>
  <c r="AC261" i="16"/>
  <c r="C139" i="17"/>
  <c r="AC231" i="16"/>
  <c r="AC233" i="16"/>
  <c r="AD318" i="16"/>
  <c r="AC278" i="16"/>
  <c r="AC242" i="16"/>
  <c r="C104" i="17"/>
  <c r="U149" i="9"/>
  <c r="T97" i="9"/>
  <c r="C433" i="17"/>
  <c r="AG17" i="17"/>
  <c r="C284" i="17"/>
  <c r="AC318" i="16"/>
  <c r="AD255" i="16"/>
  <c r="C259" i="17"/>
  <c r="AN12" i="17"/>
  <c r="C378" i="17"/>
  <c r="V29" i="8"/>
  <c r="T106" i="9"/>
  <c r="T162" i="9"/>
  <c r="B323" i="17"/>
  <c r="AD51" i="16"/>
  <c r="AD247" i="16"/>
  <c r="AC312" i="16"/>
  <c r="AD165" i="16"/>
  <c r="C143" i="17"/>
  <c r="AC177" i="16"/>
  <c r="B400" i="17"/>
  <c r="AC30" i="16"/>
  <c r="W67" i="9"/>
  <c r="T122" i="9"/>
  <c r="S26" i="8"/>
  <c r="C231" i="17"/>
  <c r="AD192" i="16"/>
  <c r="W84" i="9"/>
  <c r="CI75" i="17"/>
  <c r="AD154" i="16"/>
  <c r="C137" i="17"/>
  <c r="B432" i="17"/>
  <c r="B326" i="17"/>
  <c r="C440" i="17"/>
  <c r="W124" i="9"/>
  <c r="AC264" i="16"/>
  <c r="AD253" i="16"/>
  <c r="C211" i="17"/>
  <c r="U145" i="9"/>
  <c r="AC51" i="16"/>
  <c r="C131" i="17"/>
  <c r="AC150" i="16"/>
  <c r="AD66" i="16"/>
  <c r="AD230" i="16"/>
  <c r="AC141" i="16"/>
  <c r="B245" i="17"/>
  <c r="B249" i="17"/>
  <c r="T105" i="9"/>
  <c r="B348" i="17"/>
  <c r="U130" i="9"/>
  <c r="AD167" i="16"/>
  <c r="AC98" i="16"/>
  <c r="AD155" i="16"/>
  <c r="AC106" i="16"/>
  <c r="C279" i="17"/>
  <c r="AD223" i="16"/>
  <c r="C200" i="17"/>
  <c r="T99" i="9"/>
  <c r="B410" i="17"/>
  <c r="B281" i="17"/>
  <c r="B395" i="17"/>
  <c r="AC91" i="16"/>
  <c r="W46" i="9"/>
  <c r="C233" i="17"/>
  <c r="B322" i="17"/>
  <c r="U121" i="9"/>
  <c r="AC21" i="16"/>
  <c r="C209" i="17"/>
  <c r="C427" i="17"/>
  <c r="AC72" i="16"/>
  <c r="B154" i="17"/>
  <c r="AC70" i="16"/>
  <c r="W116" i="9"/>
  <c r="O19" i="11"/>
  <c r="U124" i="9"/>
  <c r="AC59" i="16"/>
  <c r="S20" i="8"/>
  <c r="B126" i="17"/>
  <c r="AC296" i="16"/>
  <c r="B343" i="17"/>
  <c r="AD317" i="16"/>
  <c r="W77" i="9"/>
  <c r="E82" i="17"/>
  <c r="B443" i="17"/>
  <c r="T150" i="9"/>
  <c r="AC54" i="16"/>
  <c r="B119" i="17"/>
  <c r="AC262" i="16"/>
  <c r="C261" i="17"/>
  <c r="B153" i="17"/>
  <c r="AC281" i="16"/>
  <c r="C227" i="17"/>
  <c r="AD134" i="16"/>
  <c r="B111" i="17"/>
  <c r="B195" i="17"/>
  <c r="W130" i="9"/>
  <c r="AD285" i="16"/>
  <c r="S34" i="7"/>
  <c r="C336" i="17"/>
  <c r="T143" i="9"/>
  <c r="B367" i="17"/>
  <c r="AD286" i="16"/>
  <c r="AD203" i="16"/>
  <c r="T125" i="9"/>
  <c r="B378" i="17"/>
  <c r="W71" i="9"/>
  <c r="V32" i="8"/>
  <c r="C292" i="17"/>
  <c r="AD47" i="16"/>
  <c r="AD98" i="16"/>
  <c r="AC123" i="16"/>
  <c r="B355" i="17"/>
  <c r="C350" i="17"/>
  <c r="AC302" i="16"/>
  <c r="AC142" i="16"/>
  <c r="C391" i="17"/>
  <c r="B332" i="17"/>
  <c r="B32" i="1"/>
  <c r="W74" i="9"/>
  <c r="B136" i="17"/>
  <c r="B448" i="17"/>
  <c r="U133" i="9"/>
  <c r="AD55" i="16"/>
  <c r="C304" i="17"/>
  <c r="AC144" i="16"/>
  <c r="C135" i="17"/>
  <c r="AC85" i="16"/>
  <c r="C280" i="17"/>
  <c r="N27" i="11"/>
  <c r="AC225" i="16"/>
  <c r="AD252" i="16"/>
  <c r="C317" i="17"/>
  <c r="AC199" i="16"/>
  <c r="W65" i="9"/>
  <c r="B130" i="17"/>
  <c r="C249" i="17"/>
  <c r="B313" i="17"/>
  <c r="B105" i="17"/>
  <c r="W76" i="9"/>
  <c r="B227" i="17"/>
  <c r="AC173" i="16"/>
  <c r="B290" i="17"/>
  <c r="AD183" i="16"/>
  <c r="C416" i="17"/>
  <c r="T127" i="9"/>
  <c r="U156" i="9"/>
  <c r="B224" i="17"/>
  <c r="T11" i="8"/>
  <c r="B90" i="17"/>
  <c r="B93" i="17"/>
  <c r="W75" i="9"/>
  <c r="B284" i="17"/>
  <c r="AD105" i="16"/>
  <c r="V16" i="8"/>
  <c r="B25" i="1"/>
  <c r="AD198" i="16"/>
  <c r="B461" i="17"/>
  <c r="W102" i="9"/>
  <c r="C199" i="17"/>
  <c r="AC64" i="16"/>
  <c r="C421" i="17"/>
  <c r="AD157" i="16"/>
  <c r="C260" i="17"/>
  <c r="AC210" i="16"/>
  <c r="W143" i="9"/>
  <c r="B166" i="17"/>
  <c r="C187" i="17"/>
  <c r="AC112" i="16"/>
  <c r="P85" i="7"/>
  <c r="V30" i="8"/>
  <c r="B271" i="17"/>
  <c r="AD221" i="16"/>
  <c r="AD69" i="16"/>
  <c r="AD214" i="16"/>
  <c r="W110" i="9"/>
  <c r="W73" i="9"/>
  <c r="B334" i="17"/>
  <c r="B446" i="17"/>
  <c r="AC333" i="16"/>
  <c r="B169" i="17"/>
  <c r="T137" i="9"/>
  <c r="AC122" i="16"/>
  <c r="AC229" i="16"/>
  <c r="C157" i="17"/>
  <c r="AD162" i="16"/>
  <c r="W48" i="9"/>
  <c r="W115" i="9"/>
  <c r="B167" i="17"/>
  <c r="AC326" i="16"/>
  <c r="P19" i="7"/>
  <c r="AD267" i="16"/>
  <c r="AC97" i="16"/>
  <c r="C85" i="17"/>
  <c r="B157" i="17"/>
  <c r="AD169" i="16"/>
  <c r="C189" i="17"/>
  <c r="AC323" i="16"/>
  <c r="B246" i="17"/>
  <c r="AC314" i="16"/>
  <c r="B37" i="1"/>
  <c r="AC101" i="16"/>
  <c r="T51" i="9"/>
  <c r="B425" i="17"/>
  <c r="B242" i="17"/>
  <c r="C422" i="17"/>
  <c r="X31" i="9"/>
  <c r="AC307" i="16"/>
  <c r="B359" i="17"/>
  <c r="B217" i="17"/>
  <c r="AD310" i="16"/>
  <c r="T153" i="9"/>
  <c r="Q61" i="7"/>
  <c r="AC95" i="16"/>
  <c r="C288" i="17"/>
  <c r="B399" i="17"/>
  <c r="C183" i="17"/>
  <c r="AD158" i="16"/>
  <c r="AD112" i="16"/>
  <c r="AD299" i="16"/>
  <c r="C106" i="17"/>
  <c r="B289" i="17"/>
  <c r="C96" i="17"/>
  <c r="B148" i="17"/>
  <c r="P44" i="7"/>
  <c r="C87" i="17"/>
  <c r="B353" i="17"/>
  <c r="B214" i="17"/>
  <c r="S61" i="7"/>
  <c r="N29" i="11"/>
  <c r="AC61" i="16"/>
  <c r="AC146" i="16"/>
  <c r="B138" i="17"/>
  <c r="AC170" i="16"/>
  <c r="AD101" i="16"/>
  <c r="B335" i="17"/>
  <c r="T18" i="9"/>
  <c r="B22" i="1"/>
  <c r="AD114" i="16"/>
  <c r="B134" i="17"/>
  <c r="AC322" i="16"/>
  <c r="C248" i="17"/>
  <c r="AC165" i="16"/>
  <c r="C171" i="17"/>
  <c r="C393" i="17"/>
  <c r="C362" i="17"/>
  <c r="C386" i="17"/>
  <c r="AD275" i="16"/>
  <c r="B197" i="17"/>
  <c r="C309" i="17"/>
  <c r="AC238" i="16"/>
  <c r="AD125" i="16"/>
  <c r="AT12" i="17"/>
  <c r="C244" i="17"/>
  <c r="AD301" i="16"/>
  <c r="B320" i="17"/>
  <c r="AC270" i="16"/>
  <c r="C169" i="17"/>
  <c r="C291" i="17"/>
  <c r="C98" i="17"/>
  <c r="AD87" i="16"/>
  <c r="AA94" i="17"/>
  <c r="AC24" i="16"/>
  <c r="C399" i="17"/>
  <c r="N28" i="11"/>
  <c r="B205" i="17"/>
  <c r="AD204" i="16"/>
  <c r="B110" i="17"/>
  <c r="AD64" i="16"/>
  <c r="C224" i="17"/>
  <c r="R17" i="7"/>
  <c r="AC236" i="16"/>
  <c r="B387" i="17"/>
  <c r="AD277" i="16"/>
  <c r="C337" i="17"/>
  <c r="C216" i="17"/>
  <c r="AD237" i="16"/>
  <c r="AD94" i="16"/>
  <c r="B300" i="17"/>
  <c r="AA97" i="17"/>
  <c r="C160" i="17"/>
  <c r="AD119" i="16"/>
  <c r="AD176" i="16"/>
  <c r="B172" i="17"/>
  <c r="AC129" i="16"/>
  <c r="AC221" i="16"/>
  <c r="AD164" i="16"/>
  <c r="AC317" i="16"/>
  <c r="B282" i="17"/>
  <c r="C346" i="17"/>
  <c r="AD70" i="16"/>
  <c r="C221" i="17"/>
  <c r="AC118" i="16"/>
  <c r="B240" i="17"/>
  <c r="C129" i="17"/>
  <c r="W66" i="9"/>
  <c r="AD12" i="16"/>
  <c r="B389" i="17"/>
  <c r="AC273" i="16"/>
  <c r="B122" i="17"/>
  <c r="C232" i="17"/>
  <c r="AC331" i="16"/>
  <c r="AD209" i="16"/>
  <c r="AD142" i="16"/>
  <c r="AC172" i="16"/>
  <c r="AC73" i="16"/>
  <c r="S13" i="8"/>
  <c r="AC183" i="16"/>
  <c r="C461" i="17"/>
  <c r="B331" i="17"/>
  <c r="T59" i="9"/>
  <c r="P60" i="7"/>
  <c r="AD311" i="16"/>
  <c r="C344" i="17"/>
  <c r="U126" i="9"/>
  <c r="AC159" i="16"/>
  <c r="AD225" i="16"/>
  <c r="AD294" i="16"/>
  <c r="W83" i="9"/>
  <c r="C83" i="17"/>
  <c r="B203" i="17"/>
  <c r="AD160" i="16"/>
  <c r="C136" i="17"/>
  <c r="B394" i="17"/>
  <c r="B415" i="17"/>
  <c r="C374" i="17"/>
  <c r="B398" i="17"/>
  <c r="T55" i="9"/>
  <c r="AC297" i="16"/>
  <c r="AD141" i="16"/>
  <c r="AD118" i="16"/>
  <c r="N26" i="11"/>
  <c r="C431" i="17"/>
  <c r="B431" i="17"/>
  <c r="T161" i="9"/>
  <c r="B416" i="17"/>
  <c r="C97" i="17"/>
  <c r="AD156" i="16"/>
  <c r="C282" i="17"/>
  <c r="B24" i="1"/>
  <c r="C360" i="17"/>
  <c r="B253" i="17"/>
  <c r="AB92" i="17"/>
  <c r="T133" i="9"/>
  <c r="B176" i="17"/>
  <c r="B421" i="17"/>
  <c r="W148" i="9"/>
  <c r="AC338" i="16"/>
  <c r="B364" i="17"/>
  <c r="AD71" i="16"/>
  <c r="AC23" i="16"/>
  <c r="B34" i="1"/>
  <c r="C103" i="17"/>
  <c r="S32" i="8"/>
  <c r="AD215" i="16"/>
  <c r="AC26" i="16"/>
  <c r="C318" i="17"/>
  <c r="AD84" i="16"/>
  <c r="AC58" i="16"/>
  <c r="C458" i="17"/>
  <c r="B349" i="17"/>
  <c r="C134" i="17"/>
  <c r="AD249" i="16"/>
  <c r="C219" i="17"/>
  <c r="AD222" i="16"/>
  <c r="V18" i="8"/>
  <c r="AG13" i="17"/>
  <c r="B165" i="17"/>
  <c r="B347" i="17"/>
  <c r="C371" i="17"/>
  <c r="AC234" i="16"/>
  <c r="U15" i="9"/>
  <c r="AC19" i="16"/>
  <c r="B302" i="17"/>
  <c r="AC60" i="16"/>
  <c r="W26" i="8"/>
  <c r="B344" i="17"/>
  <c r="AD323" i="16"/>
  <c r="B374" i="17"/>
  <c r="B449" i="17"/>
  <c r="AC31" i="16"/>
  <c r="T52" i="9"/>
  <c r="AD241" i="16"/>
  <c r="C245" i="17"/>
  <c r="V33" i="8"/>
  <c r="AC327" i="16"/>
  <c r="AC288" i="16"/>
  <c r="AC80" i="16"/>
  <c r="B273" i="17"/>
  <c r="AC205" i="16"/>
  <c r="AD319" i="16"/>
  <c r="AD110" i="16"/>
  <c r="C459" i="17"/>
  <c r="AD153" i="16"/>
  <c r="AD88" i="16"/>
  <c r="AC311" i="16"/>
  <c r="AC321" i="16"/>
  <c r="AC291" i="16"/>
  <c r="C207" i="17"/>
  <c r="C384" i="17"/>
  <c r="C449" i="17"/>
  <c r="C379" i="17"/>
  <c r="AD184" i="16"/>
  <c r="AD272" i="16"/>
  <c r="B405" i="17"/>
  <c r="AD334" i="16"/>
  <c r="B132" i="17"/>
  <c r="B89" i="17"/>
  <c r="W152" i="9"/>
  <c r="C392" i="17"/>
  <c r="W105" i="9"/>
  <c r="B219" i="17"/>
  <c r="AD278" i="16"/>
  <c r="AD276" i="16"/>
  <c r="AC104" i="16"/>
  <c r="AC265" i="16"/>
  <c r="P84" i="7"/>
  <c r="B190" i="17"/>
  <c r="B256" i="17"/>
  <c r="T19" i="9"/>
  <c r="C154" i="17"/>
  <c r="C268" i="17"/>
  <c r="B458" i="17"/>
  <c r="B163" i="17"/>
  <c r="P43" i="7"/>
  <c r="AW12" i="17"/>
  <c r="B87" i="17"/>
  <c r="AA96" i="17"/>
  <c r="W123" i="9"/>
  <c r="W51" i="9"/>
  <c r="AC184" i="16"/>
  <c r="C252" i="17"/>
  <c r="B462" i="17"/>
  <c r="U161" i="9"/>
  <c r="C175" i="17"/>
  <c r="AD233" i="16"/>
  <c r="AA20" i="17"/>
  <c r="U162" i="9"/>
  <c r="C204" i="17"/>
  <c r="C442" i="17"/>
  <c r="U143" i="9"/>
  <c r="C325" i="17"/>
  <c r="W54" i="9"/>
  <c r="AC115" i="16"/>
  <c r="B430" i="17"/>
  <c r="B117" i="17"/>
  <c r="AD75" i="16"/>
  <c r="W11" i="8"/>
  <c r="C149" i="17"/>
  <c r="W50" i="9"/>
  <c r="B192" i="17"/>
  <c r="C327" i="17"/>
  <c r="T101" i="9"/>
  <c r="P47" i="7"/>
  <c r="AC230" i="16"/>
  <c r="T103" i="9"/>
  <c r="B141" i="17"/>
  <c r="C332" i="17"/>
  <c r="W80" i="9"/>
  <c r="C322" i="17"/>
  <c r="C382" i="17"/>
  <c r="W70" i="9"/>
  <c r="B319" i="17"/>
  <c r="AC336" i="16"/>
  <c r="B325" i="17"/>
  <c r="T151" i="9"/>
  <c r="AC116" i="16"/>
  <c r="AD177" i="16"/>
  <c r="AC306" i="16"/>
  <c r="AC174" i="16"/>
  <c r="U142" i="9"/>
  <c r="B337" i="17"/>
  <c r="C125" i="17"/>
  <c r="AC93" i="16"/>
  <c r="T132" i="9"/>
  <c r="AC211" i="16"/>
  <c r="AD163" i="16"/>
  <c r="B137" i="17"/>
  <c r="W97" i="9"/>
  <c r="B457" i="17"/>
  <c r="C162" i="17"/>
  <c r="C177" i="17"/>
  <c r="C145" i="17"/>
  <c r="T134" i="9"/>
  <c r="AD202" i="16"/>
  <c r="W156" i="9"/>
  <c r="B84" i="17"/>
  <c r="C348" i="17"/>
  <c r="C294" i="17"/>
  <c r="V17" i="8"/>
  <c r="AC94" i="16"/>
  <c r="C90" i="17"/>
  <c r="B162" i="17"/>
  <c r="C115" i="17"/>
  <c r="AD58" i="16"/>
  <c r="C126" i="17"/>
  <c r="C32" i="1"/>
  <c r="AC275" i="16"/>
  <c r="B453" i="17"/>
  <c r="V31" i="8"/>
  <c r="C355" i="17"/>
  <c r="C430" i="17"/>
  <c r="C22" i="1"/>
  <c r="C179" i="17"/>
  <c r="W145" i="9"/>
  <c r="AC75" i="16"/>
  <c r="AD289" i="16"/>
  <c r="C33" i="1"/>
  <c r="AD80" i="16"/>
  <c r="E32" i="1"/>
  <c r="AD129" i="16"/>
  <c r="AC47" i="16"/>
  <c r="B369" i="17"/>
  <c r="T160" i="9"/>
  <c r="B303" i="17"/>
  <c r="T50" i="9"/>
  <c r="AD211" i="16"/>
  <c r="AC258" i="16"/>
  <c r="AB18" i="17"/>
  <c r="T148" i="9"/>
  <c r="B381" i="17"/>
  <c r="AD166" i="16"/>
  <c r="AC166" i="16"/>
  <c r="AD174" i="16"/>
  <c r="U147" i="9"/>
  <c r="B437" i="17"/>
  <c r="B296" i="17"/>
  <c r="B435" i="17"/>
  <c r="B376" i="17"/>
  <c r="T31" i="7"/>
  <c r="AC171" i="16"/>
  <c r="AC126" i="16"/>
  <c r="AD314" i="16"/>
  <c r="AC153" i="16"/>
  <c r="C168" i="17"/>
  <c r="AD265" i="16"/>
  <c r="B194" i="17"/>
  <c r="C276" i="17"/>
  <c r="S22" i="8"/>
  <c r="T154" i="9"/>
  <c r="T62" i="9"/>
  <c r="T129" i="9"/>
  <c r="AD332" i="16"/>
  <c r="AC82" i="16"/>
  <c r="C425" i="17"/>
  <c r="B392" i="17"/>
  <c r="T54" i="9"/>
  <c r="AC108" i="16"/>
  <c r="B452" i="17"/>
  <c r="B371" i="17"/>
  <c r="C420" i="17"/>
  <c r="C170" i="17"/>
  <c r="AD133" i="16"/>
  <c r="W90" i="9"/>
  <c r="AD235" i="16"/>
  <c r="AC124" i="16"/>
  <c r="S27" i="8"/>
  <c r="C451" i="17"/>
  <c r="AC86" i="16"/>
  <c r="AC209" i="16"/>
  <c r="T141" i="9"/>
  <c r="AC267" i="16"/>
  <c r="B149" i="17"/>
  <c r="AC139" i="16"/>
  <c r="C194" i="17"/>
  <c r="T68" i="9"/>
  <c r="C339" i="17"/>
  <c r="N38" i="11"/>
  <c r="C408" i="17"/>
  <c r="AC138" i="16"/>
  <c r="AC164" i="16"/>
  <c r="W154" i="9"/>
  <c r="AD236" i="16"/>
  <c r="W142" i="9"/>
  <c r="AC304" i="16"/>
  <c r="AD271" i="16"/>
  <c r="AC313" i="16"/>
  <c r="B175" i="17"/>
  <c r="AC131" i="16"/>
  <c r="B345" i="17"/>
  <c r="AC224" i="16"/>
  <c r="C283" i="17"/>
  <c r="AS12" i="17"/>
  <c r="B307" i="17"/>
  <c r="AC188" i="16"/>
  <c r="T17" i="7"/>
  <c r="AC254" i="16"/>
  <c r="AD95" i="16"/>
  <c r="AD330" i="16"/>
  <c r="C436" i="17"/>
  <c r="W96" i="9"/>
  <c r="V14" i="8"/>
  <c r="C101" i="17"/>
  <c r="AC56" i="16"/>
  <c r="B418" i="17"/>
  <c r="B375" i="17"/>
  <c r="AC226" i="16"/>
  <c r="AC175" i="16"/>
  <c r="C381" i="17"/>
  <c r="AC132" i="16"/>
  <c r="AD74" i="16"/>
  <c r="AD107" i="16"/>
  <c r="W98" i="9"/>
  <c r="C250" i="17"/>
  <c r="B423" i="17"/>
  <c r="W86" i="9"/>
  <c r="AC220" i="16"/>
  <c r="AD82" i="16"/>
  <c r="B189" i="17"/>
  <c r="AD72" i="16"/>
  <c r="B321" i="17"/>
  <c r="AC285" i="16"/>
  <c r="N32" i="11"/>
  <c r="AC335" i="16"/>
  <c r="AC182" i="16"/>
  <c r="B127" i="17"/>
  <c r="C271" i="17"/>
  <c r="W89" i="9"/>
  <c r="AC66" i="16"/>
  <c r="C210" i="17"/>
  <c r="W127" i="9"/>
  <c r="B310" i="17"/>
  <c r="B380" i="17"/>
  <c r="AC294" i="16"/>
  <c r="B241" i="17"/>
  <c r="AD56" i="16"/>
  <c r="U125" i="9"/>
  <c r="P46" i="7"/>
  <c r="AD250" i="16"/>
  <c r="N41" i="11"/>
  <c r="AC277" i="16"/>
  <c r="AD219" i="16"/>
  <c r="C108" i="17"/>
  <c r="B161" i="17"/>
  <c r="AC320" i="16"/>
  <c r="B304" i="17"/>
  <c r="C166" i="17"/>
  <c r="AD130" i="16"/>
  <c r="B31" i="1"/>
  <c r="AE46" i="16"/>
  <c r="B287" i="17"/>
  <c r="AD231" i="16"/>
  <c r="AC215" i="16"/>
  <c r="C413" i="17"/>
  <c r="W92" i="9"/>
  <c r="AC89" i="16"/>
  <c r="N35" i="11"/>
  <c r="C320" i="17"/>
  <c r="B305" i="17"/>
  <c r="W91" i="9"/>
  <c r="W87" i="9"/>
  <c r="B107" i="17"/>
  <c r="AC198" i="16"/>
  <c r="C198" i="17"/>
  <c r="AC308" i="16"/>
  <c r="C359" i="17"/>
  <c r="B393" i="17"/>
  <c r="B404" i="17"/>
  <c r="S31" i="8"/>
  <c r="AD283" i="16"/>
  <c r="AC78" i="16"/>
  <c r="C122" i="17"/>
  <c r="B200" i="17"/>
  <c r="B21" i="1"/>
  <c r="B255" i="17"/>
  <c r="C345" i="17"/>
  <c r="C218" i="17"/>
  <c r="B373" i="17"/>
  <c r="C285" i="17"/>
  <c r="W72" i="9"/>
  <c r="AD136" i="16"/>
  <c r="AC246" i="16"/>
  <c r="T138" i="9"/>
  <c r="AD131" i="16"/>
  <c r="AD127" i="16"/>
  <c r="B279" i="17"/>
  <c r="T58" i="9"/>
  <c r="B434" i="17"/>
  <c r="U140" i="9"/>
  <c r="AD124" i="16"/>
  <c r="B220" i="17"/>
  <c r="AD287" i="16"/>
  <c r="B28" i="1"/>
  <c r="AC223" i="16"/>
  <c r="C37" i="1"/>
  <c r="E24" i="1"/>
  <c r="T155" i="9"/>
  <c r="AC309" i="16"/>
  <c r="C34" i="1"/>
  <c r="C353" i="17"/>
  <c r="B191" i="17"/>
  <c r="C312" i="17"/>
  <c r="B83" i="17"/>
  <c r="C361" i="17"/>
  <c r="AD282" i="16"/>
  <c r="AD49" i="16"/>
  <c r="B201" i="17"/>
  <c r="C114" i="17"/>
  <c r="AD297" i="16"/>
  <c r="C172" i="17"/>
  <c r="U139" i="9"/>
  <c r="AD67" i="16"/>
  <c r="AC27" i="16"/>
  <c r="AC206" i="16"/>
  <c r="B173" i="17"/>
  <c r="AD313" i="16"/>
  <c r="AD320" i="16"/>
  <c r="W52" i="9"/>
  <c r="C308" i="17"/>
  <c r="AD290" i="16"/>
  <c r="T102" i="9"/>
  <c r="B156" i="17"/>
  <c r="T70" i="9"/>
  <c r="C230" i="17"/>
  <c r="T20" i="9"/>
  <c r="B124" i="17"/>
  <c r="C191" i="17"/>
  <c r="C176" i="17"/>
  <c r="C119" i="17"/>
  <c r="AD248" i="16"/>
  <c r="C163" i="17"/>
  <c r="AD196" i="16"/>
  <c r="AC202" i="16"/>
  <c r="AC334" i="16"/>
  <c r="W62" i="9"/>
  <c r="W56" i="9"/>
  <c r="V15" i="8"/>
  <c r="AD333" i="16"/>
  <c r="AD53" i="16"/>
  <c r="S17" i="8"/>
  <c r="B160" i="17"/>
  <c r="B27" i="1"/>
  <c r="E27" i="1" s="1"/>
  <c r="T81" i="9"/>
  <c r="C215" i="17"/>
  <c r="C417" i="17"/>
  <c r="B125" i="17"/>
  <c r="B239" i="17"/>
  <c r="C197" i="17"/>
  <c r="B261" i="17"/>
  <c r="C246" i="17"/>
  <c r="U148" i="9"/>
  <c r="W81" i="9"/>
  <c r="AD251" i="16"/>
  <c r="B368" i="17"/>
  <c r="C182" i="17"/>
  <c r="S23" i="8"/>
  <c r="AA21" i="17"/>
  <c r="B251" i="17"/>
  <c r="E33" i="1"/>
  <c r="AD257" i="16"/>
  <c r="AC117" i="16"/>
  <c r="C201" i="17"/>
  <c r="AD291" i="16"/>
  <c r="T87" i="9"/>
  <c r="AC330" i="16"/>
  <c r="AC190" i="16"/>
  <c r="B291" i="17"/>
  <c r="W126" i="9"/>
  <c r="U127" i="9"/>
  <c r="B266" i="17"/>
  <c r="B228" i="17"/>
  <c r="C372" i="17"/>
  <c r="T83" i="9"/>
  <c r="C412" i="17"/>
  <c r="AD170" i="16"/>
  <c r="W153" i="9"/>
  <c r="S28" i="8"/>
  <c r="C415" i="17"/>
  <c r="B318" i="17"/>
  <c r="C270" i="17"/>
  <c r="AD281" i="16"/>
  <c r="C120" i="17"/>
  <c r="AD147" i="16"/>
  <c r="T65" i="9"/>
  <c r="AD135" i="16"/>
  <c r="AC298" i="16"/>
  <c r="T158" i="9"/>
  <c r="AC134" i="16"/>
  <c r="AC260" i="16"/>
  <c r="C121" i="17"/>
  <c r="AC87" i="16"/>
  <c r="C444" i="17"/>
  <c r="B262" i="17"/>
  <c r="C407" i="17"/>
  <c r="C287" i="17"/>
  <c r="AD161" i="16"/>
  <c r="V12" i="8"/>
  <c r="B152" i="17"/>
  <c r="W99" i="9"/>
  <c r="AO12" i="17"/>
  <c r="B159" i="17"/>
  <c r="P45" i="7"/>
  <c r="AC125" i="16"/>
  <c r="AC99" i="16"/>
  <c r="S18" i="8"/>
  <c r="W113" i="9"/>
  <c r="F82" i="17"/>
  <c r="U160" i="9"/>
  <c r="C257" i="17"/>
  <c r="B208" i="17"/>
  <c r="B396" i="17"/>
  <c r="B407" i="17"/>
  <c r="B35" i="1"/>
  <c r="AD181" i="16"/>
  <c r="B257" i="17"/>
  <c r="AV12" i="17"/>
  <c r="B184" i="17"/>
  <c r="S14" i="8"/>
  <c r="AD122" i="16"/>
  <c r="B330" i="17"/>
  <c r="AD213" i="16"/>
  <c r="B386" i="17"/>
  <c r="AH12" i="17"/>
  <c r="AD309" i="16"/>
  <c r="N34" i="11"/>
  <c r="C144" i="17"/>
  <c r="W79" i="9"/>
  <c r="C225" i="17"/>
  <c r="T84" i="9"/>
  <c r="AD117" i="16"/>
  <c r="AC181" i="16"/>
  <c r="B427" i="17"/>
  <c r="T22" i="9"/>
  <c r="C300" i="17"/>
  <c r="AU12" i="17"/>
  <c r="AD273" i="16"/>
  <c r="U154" i="9"/>
  <c r="AC194" i="16"/>
  <c r="AD79" i="16"/>
  <c r="C111" i="17"/>
  <c r="AC185" i="16"/>
  <c r="C105" i="17"/>
  <c r="W107" i="9"/>
  <c r="W140" i="9"/>
  <c r="AD60" i="16"/>
  <c r="AD308" i="16"/>
  <c r="AC248" i="16"/>
  <c r="C293" i="17"/>
  <c r="C358" i="17"/>
  <c r="AD296" i="16"/>
  <c r="C290" i="17"/>
  <c r="T56" i="9"/>
  <c r="AD312" i="16"/>
  <c r="T63" i="9"/>
  <c r="B29" i="1"/>
  <c r="AD168" i="16"/>
  <c r="C335" i="17"/>
  <c r="W69" i="9"/>
  <c r="AD90" i="16"/>
  <c r="T123" i="9"/>
  <c r="AD306" i="16"/>
  <c r="AD242" i="16"/>
  <c r="AC263" i="16"/>
  <c r="C356" i="17"/>
  <c r="B181" i="17"/>
  <c r="C127" i="17"/>
  <c r="N40" i="11"/>
  <c r="C295" i="17"/>
  <c r="AD108" i="16"/>
  <c r="Q78" i="7"/>
  <c r="T60" i="9"/>
  <c r="AD207" i="16"/>
  <c r="W100" i="9"/>
  <c r="B26" i="1"/>
  <c r="AC152" i="16"/>
  <c r="P62" i="7"/>
  <c r="C193" i="17"/>
  <c r="B324" i="17"/>
  <c r="AC252" i="16"/>
  <c r="C390" i="17"/>
  <c r="B168" i="17"/>
  <c r="B99" i="17"/>
  <c r="AD73" i="16"/>
  <c r="AD195" i="16"/>
  <c r="U128" i="9"/>
  <c r="AC163" i="16"/>
  <c r="C377" i="17"/>
  <c r="AD146" i="16"/>
  <c r="AD260" i="16"/>
  <c r="AD137" i="16"/>
  <c r="AC283" i="16"/>
  <c r="B354" i="17"/>
  <c r="AD321" i="16"/>
  <c r="AC337" i="16"/>
  <c r="AD172" i="16"/>
  <c r="T88" i="9"/>
  <c r="C388" i="17"/>
  <c r="B235" i="17"/>
  <c r="W63" i="9"/>
  <c r="AD199" i="16"/>
  <c r="C305" i="17"/>
  <c r="AD322" i="16"/>
  <c r="AC127" i="16"/>
  <c r="S36" i="7"/>
  <c r="B207" i="17"/>
  <c r="AC161" i="16"/>
  <c r="C403" i="17"/>
  <c r="AD304" i="16"/>
  <c r="C192" i="17"/>
  <c r="P18" i="7"/>
  <c r="AD224" i="16"/>
  <c r="P82" i="7"/>
  <c r="C25" i="1"/>
  <c r="AC249" i="16"/>
  <c r="T152" i="9"/>
  <c r="T140" i="9"/>
  <c r="C185" i="17"/>
  <c r="B234" i="17"/>
  <c r="U157" i="9"/>
  <c r="AC214" i="16"/>
  <c r="N36" i="11"/>
  <c r="C86" i="17"/>
  <c r="AC239" i="16"/>
  <c r="AD65" i="16"/>
  <c r="W49" i="9"/>
  <c r="U137" i="9"/>
  <c r="B438" i="17"/>
  <c r="C128" i="17"/>
  <c r="B174" i="17"/>
  <c r="P79" i="7"/>
  <c r="C450" i="17"/>
  <c r="B270" i="17"/>
  <c r="B196" i="17"/>
  <c r="C88" i="17"/>
  <c r="AD259" i="16"/>
  <c r="C411" i="17"/>
  <c r="AC193" i="16"/>
  <c r="C152" i="17"/>
  <c r="C151" i="17"/>
  <c r="B383" i="17"/>
  <c r="W88" i="9"/>
  <c r="AC84" i="16"/>
  <c r="AD270" i="16"/>
  <c r="B450" i="17"/>
  <c r="U146" i="9"/>
  <c r="AD85" i="16"/>
  <c r="C306" i="17"/>
  <c r="AD307" i="16"/>
  <c r="B411" i="17"/>
  <c r="AG14" i="17"/>
  <c r="AC162" i="16"/>
  <c r="C373" i="17"/>
  <c r="AD212" i="16"/>
  <c r="AC83" i="16"/>
  <c r="B276" i="17"/>
  <c r="AC88" i="16"/>
  <c r="B101" i="17"/>
  <c r="AD185" i="16"/>
  <c r="AC295" i="16"/>
  <c r="AD269" i="16"/>
  <c r="AD190" i="16"/>
  <c r="B147" i="17"/>
  <c r="AC300" i="16"/>
  <c r="B346" i="17"/>
  <c r="C303" i="17"/>
  <c r="AD182" i="16"/>
  <c r="C140" i="17"/>
  <c r="C423" i="17"/>
  <c r="C340" i="17"/>
  <c r="AD151" i="16"/>
  <c r="W121" i="9"/>
  <c r="C402" i="17"/>
  <c r="AC50" i="16"/>
  <c r="U122" i="9"/>
  <c r="T100" i="9"/>
  <c r="C156" i="17"/>
  <c r="B340" i="17"/>
  <c r="B238" i="17"/>
  <c r="T126" i="9"/>
  <c r="AD68" i="16"/>
  <c r="AC196" i="16"/>
  <c r="W122" i="9"/>
  <c r="B252" i="17"/>
  <c r="T131" i="9"/>
  <c r="R61" i="7"/>
  <c r="T21" i="9"/>
  <c r="B422" i="17"/>
  <c r="AD52" i="16"/>
  <c r="AD91" i="16"/>
  <c r="AC329" i="16"/>
  <c r="C351" i="17"/>
  <c r="B358" i="17"/>
  <c r="B327" i="17"/>
  <c r="AC179" i="16"/>
  <c r="B97" i="17"/>
  <c r="C240" i="17"/>
  <c r="T104" i="9"/>
  <c r="T92" i="9"/>
  <c r="B336" i="17"/>
  <c r="AD17" i="16"/>
  <c r="AD300" i="16"/>
  <c r="B417" i="17"/>
  <c r="W158" i="9"/>
  <c r="E29" i="1"/>
  <c r="W47" i="9"/>
  <c r="S16" i="8"/>
  <c r="C208" i="17"/>
  <c r="AC119" i="16"/>
  <c r="C452" i="17"/>
  <c r="W141" i="9"/>
  <c r="C202" i="17"/>
  <c r="C447" i="17"/>
  <c r="W159" i="9"/>
  <c r="B151" i="17"/>
  <c r="B146" i="17"/>
  <c r="AD239" i="16"/>
  <c r="T163" i="9"/>
  <c r="W147" i="9"/>
  <c r="C365" i="17"/>
  <c r="B86" i="17"/>
  <c r="AD78" i="16"/>
  <c r="AC148" i="16"/>
  <c r="B341" i="17"/>
  <c r="B360" i="17"/>
  <c r="AC201" i="16"/>
  <c r="AC251" i="16"/>
  <c r="C161" i="17"/>
  <c r="AD99" i="16"/>
  <c r="C264" i="17"/>
  <c r="AC90" i="16"/>
  <c r="U132" i="9"/>
  <c r="E22" i="1"/>
  <c r="B150" i="17"/>
  <c r="AD193" i="16"/>
  <c r="B155" i="17"/>
  <c r="AC186" i="16"/>
  <c r="AD327" i="16"/>
  <c r="C363" i="17"/>
  <c r="AC114" i="16"/>
  <c r="AC222" i="16"/>
  <c r="AD113" i="16"/>
  <c r="C265" i="17"/>
  <c r="B311" i="17"/>
  <c r="V120" i="9"/>
  <c r="C93" i="17"/>
  <c r="AC140" i="16"/>
  <c r="C398" i="17"/>
  <c r="C24" i="1"/>
  <c r="AC71" i="16"/>
  <c r="E36" i="1"/>
  <c r="D82" i="17"/>
  <c r="AC96" i="16"/>
  <c r="AC195" i="16"/>
  <c r="N30" i="11"/>
  <c r="C310" i="17"/>
  <c r="AD206" i="16"/>
  <c r="B145" i="17"/>
  <c r="AD92" i="16"/>
  <c r="B385" i="17"/>
  <c r="AD205" i="16"/>
  <c r="C342" i="17"/>
  <c r="AP12" i="17"/>
  <c r="B260" i="17"/>
  <c r="T136" i="9"/>
  <c r="B121" i="17"/>
  <c r="AC232" i="16"/>
  <c r="Q36" i="7"/>
  <c r="AD234" i="16"/>
  <c r="AC149" i="16"/>
  <c r="AC216" i="16"/>
  <c r="AC266" i="16"/>
  <c r="B218" i="17"/>
  <c r="BE20" i="16"/>
  <c r="AC143" i="16"/>
  <c r="P67" i="7"/>
  <c r="C426" i="17"/>
  <c r="AC169" i="16"/>
  <c r="B92" i="17"/>
  <c r="C102" i="17"/>
  <c r="C167" i="17"/>
  <c r="AC52" i="16"/>
  <c r="W93" i="9"/>
  <c r="AD335" i="16"/>
  <c r="C146" i="17"/>
  <c r="AD116" i="16"/>
  <c r="AC328" i="16"/>
  <c r="B406" i="17"/>
  <c r="AC187" i="16"/>
  <c r="AD218" i="16"/>
  <c r="AC18" i="17"/>
  <c r="B363" i="17"/>
  <c r="B366" i="17"/>
  <c r="C188" i="17"/>
  <c r="C247" i="17"/>
  <c r="B96" i="17"/>
  <c r="C133" i="17"/>
  <c r="C242" i="17"/>
  <c r="AC18" i="16"/>
  <c r="B113" i="17"/>
  <c r="CH80" i="17"/>
  <c r="C438" i="17"/>
  <c r="AD178" i="16"/>
  <c r="AD268" i="16"/>
  <c r="C155" i="17"/>
  <c r="AQ12" i="17"/>
  <c r="AD229" i="16"/>
  <c r="C277" i="17"/>
  <c r="C186" i="17"/>
  <c r="B329" i="17"/>
  <c r="B98" i="17"/>
  <c r="AD316" i="16"/>
  <c r="AD48" i="16"/>
  <c r="AD197" i="16"/>
  <c r="AC290" i="16"/>
  <c r="B212" i="17"/>
  <c r="T146" i="9"/>
  <c r="AC79" i="16"/>
  <c r="B428" i="17"/>
  <c r="C258" i="17"/>
  <c r="AC257" i="16"/>
  <c r="AD148" i="16"/>
  <c r="AD288" i="16"/>
  <c r="C100" i="17"/>
  <c r="C266" i="17"/>
  <c r="C397" i="17"/>
  <c r="B317" i="17"/>
  <c r="B171" i="17"/>
  <c r="C235" i="17"/>
  <c r="AC287" i="16"/>
  <c r="AC57" i="16"/>
  <c r="B247" i="17"/>
  <c r="AD77" i="16"/>
  <c r="C190" i="17"/>
  <c r="C147" i="17"/>
  <c r="B285" i="17"/>
  <c r="B144" i="17"/>
  <c r="C330" i="17"/>
  <c r="C307" i="17"/>
  <c r="B103" i="17"/>
  <c r="B409" i="17"/>
  <c r="C331" i="17"/>
  <c r="C301" i="17"/>
  <c r="B232" i="17"/>
  <c r="T145" i="9"/>
  <c r="AC33" i="16"/>
  <c r="C313" i="17"/>
  <c r="C364" i="17"/>
  <c r="W104" i="9"/>
  <c r="AD191" i="16"/>
  <c r="BF15" i="16"/>
  <c r="B357" i="17"/>
  <c r="B447" i="17"/>
  <c r="T66" i="9"/>
  <c r="C275" i="17"/>
  <c r="W157" i="9"/>
  <c r="C296" i="17"/>
  <c r="AD226" i="16"/>
  <c r="B233" i="17"/>
  <c r="AD89" i="16"/>
  <c r="AC151" i="16"/>
  <c r="C445" i="17"/>
  <c r="AC121" i="16"/>
  <c r="AC189" i="16"/>
  <c r="AC120" i="16"/>
  <c r="P65" i="7"/>
  <c r="C92" i="17"/>
  <c r="B456" i="17"/>
  <c r="C94" i="17"/>
  <c r="C117" i="17"/>
  <c r="P42" i="7"/>
  <c r="W106" i="9"/>
  <c r="AD227" i="16"/>
  <c r="W138" i="9"/>
  <c r="B439" i="17"/>
  <c r="C439" i="17"/>
  <c r="B115" i="17"/>
  <c r="C272" i="17"/>
  <c r="AC25" i="16"/>
  <c r="B269" i="17"/>
  <c r="S25" i="8"/>
  <c r="AD152" i="16"/>
  <c r="C89" i="17"/>
  <c r="W28" i="8"/>
  <c r="C28" i="1"/>
  <c r="AC217" i="16"/>
  <c r="B177" i="17"/>
  <c r="C367" i="17"/>
  <c r="C419" i="17"/>
  <c r="B263" i="17"/>
  <c r="C460" i="17"/>
  <c r="AD63" i="16"/>
  <c r="B180" i="17"/>
  <c r="C262" i="17"/>
  <c r="AC55" i="16"/>
  <c r="AC204" i="16"/>
  <c r="B309" i="17"/>
  <c r="AD132" i="16"/>
  <c r="S36" i="8"/>
  <c r="AC219" i="16"/>
  <c r="B179" i="17"/>
  <c r="C385" i="17"/>
  <c r="B277" i="17"/>
  <c r="U123" i="9"/>
  <c r="B408" i="17"/>
  <c r="T49" i="9"/>
  <c r="AD292" i="16"/>
  <c r="C334" i="17"/>
  <c r="AC62" i="16"/>
  <c r="AG15" i="17"/>
  <c r="C321" i="17"/>
  <c r="U158" i="9"/>
  <c r="N37" i="11"/>
  <c r="E34" i="1"/>
  <c r="B293" i="17"/>
  <c r="W117" i="9"/>
  <c r="C326" i="17"/>
  <c r="C314" i="17"/>
  <c r="B339" i="17"/>
  <c r="T121" i="9"/>
  <c r="AD220" i="16"/>
  <c r="P86" i="7"/>
  <c r="C116" i="17"/>
  <c r="C454" i="17"/>
  <c r="B23" i="1"/>
  <c r="B362" i="17"/>
  <c r="AC280" i="16"/>
  <c r="AC301" i="16"/>
  <c r="C441" i="17"/>
  <c r="B133" i="17"/>
  <c r="S15" i="8"/>
  <c r="W57" i="9"/>
  <c r="B185" i="17"/>
  <c r="B372" i="17"/>
  <c r="C281" i="17"/>
  <c r="AD258" i="16"/>
  <c r="W129" i="9"/>
  <c r="AD109" i="16"/>
  <c r="C253" i="17"/>
  <c r="C142" i="17"/>
  <c r="C289" i="17"/>
  <c r="AD83" i="16"/>
  <c r="AC130" i="16"/>
  <c r="C323" i="17"/>
  <c r="C141" i="17"/>
  <c r="C328" i="17"/>
  <c r="AD210" i="16"/>
  <c r="AD228" i="16"/>
  <c r="B118" i="17"/>
  <c r="C435" i="17"/>
  <c r="AC68" i="16"/>
  <c r="B109" i="17"/>
  <c r="W133" i="9"/>
  <c r="N31" i="11"/>
  <c r="B30" i="1"/>
  <c r="C30" i="1" s="1"/>
  <c r="AD186" i="16"/>
  <c r="B328" i="17"/>
  <c r="B426" i="17"/>
  <c r="AX12" i="17"/>
  <c r="B390" i="17"/>
  <c r="C401" i="17"/>
  <c r="S29" i="8"/>
  <c r="U164" i="9"/>
  <c r="AC279" i="16"/>
  <c r="C180" i="17"/>
  <c r="B116" i="17"/>
  <c r="B135" i="17"/>
  <c r="AC77" i="16"/>
  <c r="AC289" i="16"/>
  <c r="C383" i="17"/>
  <c r="C205" i="17"/>
  <c r="AD140" i="16"/>
  <c r="B244" i="17"/>
  <c r="C243" i="17"/>
  <c r="AD171" i="16"/>
  <c r="B104" i="17"/>
  <c r="AC200" i="16"/>
  <c r="C222" i="17"/>
  <c r="AC32" i="16"/>
  <c r="AC299" i="16"/>
  <c r="B213" i="17"/>
  <c r="AG18" i="17"/>
  <c r="AC237" i="16"/>
  <c r="B193" i="17"/>
  <c r="AC274" i="16"/>
  <c r="C437" i="17"/>
  <c r="AD293" i="16"/>
  <c r="B294" i="17"/>
  <c r="B258" i="17"/>
  <c r="C406" i="17"/>
  <c r="AD57" i="16"/>
  <c r="B225" i="17"/>
  <c r="AC158" i="16"/>
  <c r="C29" i="1"/>
  <c r="C432" i="17"/>
  <c r="C333" i="17"/>
  <c r="AD216" i="16"/>
  <c r="B402" i="17"/>
  <c r="T67" i="9"/>
  <c r="C343" i="17"/>
  <c r="B442" i="17"/>
  <c r="AC256" i="16"/>
  <c r="B129" i="17"/>
  <c r="B170" i="17"/>
  <c r="W53" i="9"/>
  <c r="AD175" i="16"/>
  <c r="Q73" i="7"/>
  <c r="AC65" i="16"/>
  <c r="C148" i="17"/>
  <c r="AD139" i="16"/>
  <c r="Q41" i="7"/>
  <c r="AD295" i="16"/>
  <c r="AD93" i="16"/>
  <c r="T157" i="9"/>
  <c r="E384" i="17"/>
  <c r="E358" i="17"/>
  <c r="E239" i="17"/>
  <c r="AW16" i="17"/>
  <c r="Z69" i="9"/>
  <c r="T35" i="7"/>
  <c r="E160" i="17"/>
  <c r="AE298" i="16"/>
  <c r="E277" i="17"/>
  <c r="E98" i="17"/>
  <c r="AE215" i="16"/>
  <c r="E364" i="17"/>
  <c r="AE124" i="16"/>
  <c r="F235" i="17"/>
  <c r="F135" i="17"/>
  <c r="F162" i="17"/>
  <c r="E233" i="17"/>
  <c r="AE187" i="16"/>
  <c r="E234" i="17"/>
  <c r="D287" i="17"/>
  <c r="D200" i="17"/>
  <c r="V162" i="9"/>
  <c r="E389" i="17"/>
  <c r="F450" i="17"/>
  <c r="E273" i="17"/>
  <c r="E202" i="17"/>
  <c r="AE127" i="16"/>
  <c r="D205" i="17"/>
  <c r="F215" i="17"/>
  <c r="D87" i="17"/>
  <c r="E192" i="17"/>
  <c r="AE190" i="16"/>
  <c r="D245" i="17"/>
  <c r="AN15" i="17"/>
  <c r="AE130" i="16"/>
  <c r="AX17" i="17"/>
  <c r="AE52" i="16"/>
  <c r="D121" i="17"/>
  <c r="D338" i="17"/>
  <c r="D274" i="17"/>
  <c r="AB61" i="17"/>
  <c r="AR14" i="17"/>
  <c r="AE112" i="16"/>
  <c r="AE86" i="16"/>
  <c r="D160" i="17"/>
  <c r="AC20" i="17"/>
  <c r="F394" i="17"/>
  <c r="E228" i="17"/>
  <c r="E164" i="17"/>
  <c r="U23" i="9"/>
  <c r="T32" i="8"/>
  <c r="Z94" i="9"/>
  <c r="E163" i="17"/>
  <c r="Z79" i="9"/>
  <c r="F308" i="17"/>
  <c r="E440" i="17"/>
  <c r="AE203" i="16"/>
  <c r="AE273" i="16"/>
  <c r="AE316" i="16"/>
  <c r="E455" i="17"/>
  <c r="F223" i="17"/>
  <c r="F125" i="17"/>
  <c r="F300" i="17"/>
  <c r="F358" i="17"/>
  <c r="T30" i="8"/>
  <c r="D447" i="17"/>
  <c r="AE313" i="16"/>
  <c r="D169" i="17"/>
  <c r="D275" i="17"/>
  <c r="AE60" i="16"/>
  <c r="E360" i="17"/>
  <c r="F282" i="17"/>
  <c r="F373" i="17"/>
  <c r="D459" i="17"/>
  <c r="AE108" i="16"/>
  <c r="AE307" i="16"/>
  <c r="U84" i="9"/>
  <c r="E99" i="17"/>
  <c r="D307" i="17"/>
  <c r="AE220" i="16"/>
  <c r="D362" i="17"/>
  <c r="F423" i="17"/>
  <c r="AX14" i="17"/>
  <c r="Z74" i="9"/>
  <c r="F164" i="17"/>
  <c r="AE94" i="16"/>
  <c r="Z98" i="9"/>
  <c r="AE321" i="16"/>
  <c r="AE210" i="16"/>
  <c r="E146" i="17"/>
  <c r="D314" i="17"/>
  <c r="E353" i="17"/>
  <c r="D429" i="17"/>
  <c r="AE275" i="16"/>
  <c r="F141" i="17"/>
  <c r="E260" i="17"/>
  <c r="D309" i="17"/>
  <c r="E449" i="17"/>
  <c r="AE213" i="16"/>
  <c r="D185" i="17"/>
  <c r="F289" i="17"/>
  <c r="F153" i="17"/>
  <c r="AU16" i="17"/>
  <c r="V140" i="9"/>
  <c r="D147" i="17"/>
  <c r="D324" i="17"/>
  <c r="D372" i="17"/>
  <c r="E338" i="17"/>
  <c r="T26" i="8"/>
  <c r="E316" i="17"/>
  <c r="AM16" i="17"/>
  <c r="R71" i="7"/>
  <c r="AW17" i="17"/>
  <c r="E249" i="17"/>
  <c r="Z110" i="9"/>
  <c r="E254" i="17"/>
  <c r="E372" i="17"/>
  <c r="E115" i="17"/>
  <c r="AE119" i="16"/>
  <c r="F201" i="17"/>
  <c r="E377" i="17"/>
  <c r="F415" i="17"/>
  <c r="AD27" i="16"/>
  <c r="F408" i="17"/>
  <c r="F166" i="17"/>
  <c r="F86" i="17"/>
  <c r="D297" i="17"/>
  <c r="D235" i="17"/>
  <c r="Z146" i="9"/>
  <c r="AE102" i="16"/>
  <c r="V154" i="9"/>
  <c r="AE170" i="16"/>
  <c r="E313" i="17"/>
  <c r="F321" i="17"/>
  <c r="D145" i="17"/>
  <c r="S68" i="7"/>
  <c r="F391" i="17"/>
  <c r="AH16" i="17"/>
  <c r="AE140" i="16"/>
  <c r="F267" i="17"/>
  <c r="AD266" i="16"/>
  <c r="C315" i="17"/>
  <c r="C434" i="17"/>
  <c r="C462" i="17"/>
  <c r="C173" i="17"/>
  <c r="T57" i="9"/>
  <c r="T96" i="9"/>
  <c r="U96" i="9" s="1"/>
  <c r="C109" i="17"/>
  <c r="F109" i="17" s="1"/>
  <c r="C113" i="17"/>
  <c r="AC332" i="16"/>
  <c r="B312" i="17"/>
  <c r="B382" i="17"/>
  <c r="AD256" i="16"/>
  <c r="AE256" i="16" s="1"/>
  <c r="AC167" i="16"/>
  <c r="B259" i="17"/>
  <c r="C400" i="17"/>
  <c r="AD325" i="16"/>
  <c r="S21" i="8"/>
  <c r="AD100" i="16"/>
  <c r="E26" i="1"/>
  <c r="W64" i="9"/>
  <c r="B342" i="17"/>
  <c r="AD337" i="16"/>
  <c r="AC113" i="16"/>
  <c r="B183" i="17"/>
  <c r="C226" i="17"/>
  <c r="C214" i="17"/>
  <c r="W125" i="9"/>
  <c r="T85" i="9"/>
  <c r="U85" i="9" s="1"/>
  <c r="P81" i="7"/>
  <c r="C35" i="1"/>
  <c r="B229" i="17"/>
  <c r="B350" i="17"/>
  <c r="B315" i="17"/>
  <c r="AC157" i="16"/>
  <c r="AD336" i="16"/>
  <c r="AC268" i="16"/>
  <c r="AK12" i="17"/>
  <c r="AD194" i="16"/>
  <c r="C181" i="17"/>
  <c r="E21" i="1"/>
  <c r="E30" i="1"/>
  <c r="C369" i="17"/>
  <c r="N33" i="11"/>
  <c r="AC22" i="16"/>
  <c r="C220" i="17"/>
  <c r="B308" i="17"/>
  <c r="C178" i="17"/>
  <c r="W60" i="9"/>
  <c r="P80" i="7"/>
  <c r="B455" i="17"/>
  <c r="C329" i="17"/>
  <c r="C21" i="1"/>
  <c r="AD338" i="16"/>
  <c r="AC212" i="16"/>
  <c r="AD246" i="16"/>
  <c r="C241" i="17"/>
  <c r="B112" i="17"/>
  <c r="B397" i="17"/>
  <c r="AC284" i="16"/>
  <c r="AC160" i="16"/>
  <c r="AD97" i="16"/>
  <c r="B436" i="17"/>
  <c r="B187" i="17"/>
  <c r="C409" i="17"/>
  <c r="T93" i="9"/>
  <c r="B140" i="17"/>
  <c r="B215" i="17"/>
  <c r="AC241" i="16"/>
  <c r="B226" i="17"/>
  <c r="E332" i="17"/>
  <c r="E153" i="17"/>
  <c r="Z85" i="9"/>
  <c r="Z130" i="9"/>
  <c r="W34" i="8"/>
  <c r="AE95" i="16"/>
  <c r="E295" i="17"/>
  <c r="AM17" i="17"/>
  <c r="O38" i="11"/>
  <c r="AE332" i="16"/>
  <c r="F260" i="17"/>
  <c r="F249" i="17"/>
  <c r="AE126" i="16"/>
  <c r="E355" i="17"/>
  <c r="AE177" i="16"/>
  <c r="U83" i="9"/>
  <c r="F250" i="17"/>
  <c r="Z83" i="9"/>
  <c r="F397" i="17"/>
  <c r="F317" i="17"/>
  <c r="E180" i="17"/>
  <c r="AB52" i="17"/>
  <c r="AE328" i="16"/>
  <c r="D209" i="17"/>
  <c r="AE132" i="16"/>
  <c r="Z88" i="9"/>
  <c r="T36" i="7"/>
  <c r="F345" i="17"/>
  <c r="D442" i="17"/>
  <c r="D319" i="17"/>
  <c r="D397" i="17"/>
  <c r="D290" i="17"/>
  <c r="F138" i="17"/>
  <c r="AJ13" i="17"/>
  <c r="S69" i="7"/>
  <c r="AE250" i="16"/>
  <c r="D313" i="17"/>
  <c r="Z123" i="9"/>
  <c r="AC51" i="17"/>
  <c r="F176" i="17"/>
  <c r="D218" i="17"/>
  <c r="F407" i="17"/>
  <c r="AE91" i="16"/>
  <c r="D321" i="17"/>
  <c r="V158" i="9"/>
  <c r="AP15" i="17"/>
  <c r="E177" i="17"/>
  <c r="AD28" i="16"/>
  <c r="E331" i="17"/>
  <c r="F325" i="17"/>
  <c r="E187" i="17"/>
  <c r="AE238" i="16"/>
  <c r="AE305" i="16"/>
  <c r="AR17" i="17"/>
  <c r="E417" i="17"/>
  <c r="AB57" i="17"/>
  <c r="E366" i="17"/>
  <c r="F207" i="17"/>
  <c r="F298" i="17"/>
  <c r="E132" i="17"/>
  <c r="AD24" i="16"/>
  <c r="F318" i="17"/>
  <c r="AB19" i="17"/>
  <c r="E307" i="17"/>
  <c r="E294" i="17"/>
  <c r="F363" i="17"/>
  <c r="F398" i="17"/>
  <c r="D224" i="17"/>
  <c r="D103" i="17"/>
  <c r="E120" i="17"/>
  <c r="V142" i="9"/>
  <c r="AE243" i="16"/>
  <c r="D90" i="17"/>
  <c r="AE297" i="16"/>
  <c r="AE237" i="16"/>
  <c r="U91" i="9"/>
  <c r="D342" i="17"/>
  <c r="Z50" i="9"/>
  <c r="D401" i="17"/>
  <c r="D323" i="17"/>
  <c r="E391" i="17"/>
  <c r="F259" i="17"/>
  <c r="F366" i="17"/>
  <c r="E397" i="17"/>
  <c r="F313" i="17"/>
  <c r="D137" i="17"/>
  <c r="AN14" i="17"/>
  <c r="D161" i="17"/>
  <c r="D262" i="17"/>
  <c r="E381" i="17"/>
  <c r="F440" i="17"/>
  <c r="D365" i="17"/>
  <c r="Q68" i="7"/>
  <c r="D379" i="17"/>
  <c r="F290" i="17"/>
  <c r="O33" i="11"/>
  <c r="AE272" i="16"/>
  <c r="D454" i="17"/>
  <c r="F312" i="17"/>
  <c r="F168" i="17"/>
  <c r="F332" i="17"/>
  <c r="AE66" i="16"/>
  <c r="E135" i="17"/>
  <c r="AO16" i="17"/>
  <c r="S70" i="7"/>
  <c r="AD31" i="16"/>
  <c r="F217" i="17"/>
  <c r="S65" i="7"/>
  <c r="V156" i="9"/>
  <c r="D149" i="17"/>
  <c r="D330" i="17"/>
  <c r="D239" i="17"/>
  <c r="O29" i="11"/>
  <c r="AR13" i="17"/>
  <c r="Z46" i="9"/>
  <c r="E227" i="17"/>
  <c r="Z72" i="9"/>
  <c r="AB88" i="17"/>
  <c r="T18" i="8"/>
  <c r="E408" i="17"/>
  <c r="E176" i="17"/>
  <c r="E302" i="17"/>
  <c r="AE49" i="16"/>
  <c r="F97" i="17"/>
  <c r="AE291" i="16"/>
  <c r="AE241" i="16"/>
  <c r="AE71" i="16"/>
  <c r="F392" i="17"/>
  <c r="E378" i="17"/>
  <c r="E86" i="17"/>
  <c r="R70" i="7"/>
  <c r="AE73" i="16"/>
  <c r="AE289" i="16"/>
  <c r="AE255" i="16"/>
  <c r="D207" i="17"/>
  <c r="AE280" i="16"/>
  <c r="D328" i="17"/>
  <c r="F460" i="17"/>
  <c r="AE319" i="16"/>
  <c r="D308" i="17"/>
  <c r="E365" i="17"/>
  <c r="AE247" i="16"/>
  <c r="F350" i="17"/>
  <c r="E111" i="17"/>
  <c r="AE286" i="16"/>
  <c r="T27" i="8"/>
  <c r="E90" i="17"/>
  <c r="D398" i="17"/>
  <c r="E88" i="17"/>
  <c r="T15" i="8"/>
  <c r="F418" i="17"/>
  <c r="W32" i="8"/>
  <c r="V144" i="9"/>
  <c r="AE227" i="16"/>
  <c r="D234" i="17"/>
  <c r="AC21" i="17"/>
  <c r="F286" i="17"/>
  <c r="AE293" i="16"/>
  <c r="R66" i="7"/>
  <c r="D108" i="17"/>
  <c r="D425" i="17"/>
  <c r="F212" i="17"/>
  <c r="AE175" i="16"/>
  <c r="D219" i="17"/>
  <c r="AE268" i="16"/>
  <c r="E223" i="17"/>
  <c r="E119" i="17"/>
  <c r="E374" i="17"/>
  <c r="E211" i="17"/>
  <c r="T34" i="8"/>
  <c r="Z90" i="9"/>
  <c r="F327" i="17"/>
  <c r="O26" i="11"/>
  <c r="E447" i="17"/>
  <c r="AE231" i="16"/>
  <c r="AE70" i="16"/>
  <c r="AE80" i="16"/>
  <c r="AC292" i="16"/>
  <c r="C352" i="17"/>
  <c r="AD329" i="16"/>
  <c r="AE329" i="16" s="1"/>
  <c r="B361" i="17"/>
  <c r="V13" i="8"/>
  <c r="T164" i="9"/>
  <c r="B231" i="17"/>
  <c r="C375" i="17"/>
  <c r="AC271" i="16"/>
  <c r="AC128" i="16"/>
  <c r="C206" i="17"/>
  <c r="AD121" i="16"/>
  <c r="N25" i="11"/>
  <c r="B108" i="17"/>
  <c r="W144" i="9"/>
  <c r="B420" i="17"/>
  <c r="AC250" i="16"/>
  <c r="P16" i="7"/>
  <c r="C95" i="17"/>
  <c r="E95" i="17" s="1"/>
  <c r="C150" i="17"/>
  <c r="W82" i="9"/>
  <c r="AD208" i="16"/>
  <c r="AC74" i="16"/>
  <c r="B128" i="17"/>
  <c r="T86" i="9"/>
  <c r="T48" i="9"/>
  <c r="W61" i="9"/>
  <c r="C457" i="17"/>
  <c r="B102" i="17"/>
  <c r="B188" i="17"/>
  <c r="W112" i="9"/>
  <c r="AD262" i="16"/>
  <c r="AD180" i="16"/>
  <c r="AE180" i="16" s="1"/>
  <c r="C410" i="17"/>
  <c r="W160" i="9"/>
  <c r="AD18" i="17"/>
  <c r="W109" i="9"/>
  <c r="AD188" i="16"/>
  <c r="AE188" i="16" s="1"/>
  <c r="AC135" i="16"/>
  <c r="B267" i="17"/>
  <c r="T144" i="9"/>
  <c r="E23" i="1"/>
  <c r="AC20" i="16"/>
  <c r="AC100" i="16"/>
  <c r="C453" i="17"/>
  <c r="C395" i="17"/>
  <c r="T71" i="9"/>
  <c r="AD264" i="16"/>
  <c r="U135" i="9"/>
  <c r="W9" i="8"/>
  <c r="C123" i="17"/>
  <c r="AC269" i="16"/>
  <c r="AC197" i="16"/>
  <c r="B120" i="17"/>
  <c r="B419" i="17"/>
  <c r="U31" i="9"/>
  <c r="C263" i="17"/>
  <c r="T149" i="9"/>
  <c r="B379" i="17"/>
  <c r="T130" i="9"/>
  <c r="AC191" i="16"/>
  <c r="AD245" i="16"/>
  <c r="B429" i="17"/>
  <c r="AD103" i="16"/>
  <c r="C376" i="17"/>
  <c r="W114" i="9"/>
  <c r="AC247" i="16"/>
  <c r="B94" i="17"/>
  <c r="B243" i="17"/>
  <c r="C31" i="1"/>
  <c r="AI13" i="17"/>
  <c r="E458" i="17"/>
  <c r="E189" i="17"/>
  <c r="E107" i="17"/>
  <c r="U87" i="9"/>
  <c r="AE110" i="16"/>
  <c r="F189" i="17"/>
  <c r="O34" i="11"/>
  <c r="F421" i="17"/>
  <c r="Z134" i="9"/>
  <c r="E157" i="17"/>
  <c r="AE143" i="16"/>
  <c r="AE300" i="16"/>
  <c r="F365" i="17"/>
  <c r="F186" i="17"/>
  <c r="F324" i="17"/>
  <c r="E346" i="17"/>
  <c r="AE279" i="16"/>
  <c r="W31" i="8"/>
  <c r="D166" i="17"/>
  <c r="AE133" i="16"/>
  <c r="AE222" i="16"/>
  <c r="AE199" i="16"/>
  <c r="F203" i="17"/>
  <c r="F448" i="17"/>
  <c r="E429" i="17"/>
  <c r="D363" i="17"/>
  <c r="E345" i="17"/>
  <c r="Z143" i="9"/>
  <c r="D195" i="17"/>
  <c r="AO15" i="17"/>
  <c r="E258" i="17"/>
  <c r="AE142" i="16"/>
  <c r="AE181" i="16"/>
  <c r="AE182" i="16"/>
  <c r="F414" i="17"/>
  <c r="AE262" i="16"/>
  <c r="O28" i="11"/>
  <c r="F202" i="17"/>
  <c r="V138" i="9"/>
  <c r="F412" i="17"/>
  <c r="E253" i="17"/>
  <c r="AD19" i="16"/>
  <c r="U101" i="9"/>
  <c r="D439" i="17"/>
  <c r="D114" i="17"/>
  <c r="F436" i="17"/>
  <c r="Z60" i="9"/>
  <c r="V161" i="9"/>
  <c r="AB89" i="17"/>
  <c r="AB94" i="17" s="1"/>
  <c r="E299" i="17"/>
  <c r="E85" i="17"/>
  <c r="E197" i="17"/>
  <c r="U92" i="9"/>
  <c r="U89" i="9"/>
  <c r="E280" i="17"/>
  <c r="E114" i="17"/>
  <c r="F99" i="17"/>
  <c r="F352" i="17"/>
  <c r="AE160" i="16"/>
  <c r="AE55" i="16"/>
  <c r="Z116" i="9"/>
  <c r="AE236" i="16"/>
  <c r="E285" i="17"/>
  <c r="E183" i="17"/>
  <c r="E268" i="17"/>
  <c r="F85" i="17"/>
  <c r="AO13" i="17"/>
  <c r="AE155" i="16"/>
  <c r="Z81" i="9"/>
  <c r="D139" i="17"/>
  <c r="E125" i="17"/>
  <c r="D411" i="17"/>
  <c r="T22" i="8"/>
  <c r="Z100" i="9"/>
  <c r="F304" i="17"/>
  <c r="E138" i="17"/>
  <c r="D355" i="17"/>
  <c r="D204" i="17"/>
  <c r="D371" i="17"/>
  <c r="D228" i="17"/>
  <c r="AE87" i="16"/>
  <c r="F457" i="17"/>
  <c r="F328" i="17"/>
  <c r="Z62" i="9"/>
  <c r="D300" i="17"/>
  <c r="AD18" i="16"/>
  <c r="F403" i="17"/>
  <c r="Z121" i="9"/>
  <c r="D315" i="17"/>
  <c r="D280" i="17"/>
  <c r="AE174" i="16"/>
  <c r="D378" i="17"/>
  <c r="D252" i="17"/>
  <c r="F102" i="17"/>
  <c r="F152" i="17"/>
  <c r="AC57" i="17"/>
  <c r="F146" i="17"/>
  <c r="D115" i="17"/>
  <c r="F390" i="17"/>
  <c r="AE330" i="16"/>
  <c r="F140" i="17"/>
  <c r="W33" i="8"/>
  <c r="AE285" i="16"/>
  <c r="AQ15" i="17"/>
  <c r="E247" i="17"/>
  <c r="Q65" i="7"/>
  <c r="F378" i="17"/>
  <c r="F119" i="17"/>
  <c r="F265" i="17"/>
  <c r="R19" i="7"/>
  <c r="D352" i="17"/>
  <c r="D97" i="17"/>
  <c r="Z67" i="9"/>
  <c r="E87" i="17"/>
  <c r="E131" i="17"/>
  <c r="E461" i="17"/>
  <c r="E251" i="17"/>
  <c r="AE278" i="16"/>
  <c r="E261" i="17"/>
  <c r="Q70" i="7"/>
  <c r="Z89" i="9"/>
  <c r="AT17" i="17"/>
  <c r="F98" i="17"/>
  <c r="AE96" i="16"/>
  <c r="E436" i="17"/>
  <c r="E200" i="17"/>
  <c r="AE84" i="16"/>
  <c r="F295" i="17"/>
  <c r="E224" i="17"/>
  <c r="F355" i="17"/>
  <c r="U24" i="9"/>
  <c r="V139" i="9"/>
  <c r="D331" i="17"/>
  <c r="F204" i="17"/>
  <c r="D444" i="17"/>
  <c r="D231" i="17"/>
  <c r="AE249" i="16"/>
  <c r="D284" i="17"/>
  <c r="E359" i="17"/>
  <c r="F91" i="17"/>
  <c r="AE292" i="16"/>
  <c r="AE322" i="16"/>
  <c r="F315" i="17"/>
  <c r="E186" i="17"/>
  <c r="F196" i="17"/>
  <c r="AE172" i="16"/>
  <c r="AC56" i="17"/>
  <c r="AX16" i="17"/>
  <c r="E173" i="17"/>
  <c r="E379" i="17"/>
  <c r="D140" i="17"/>
  <c r="F183" i="17"/>
  <c r="F293" i="17"/>
  <c r="E118" i="17"/>
  <c r="D236" i="17"/>
  <c r="D172" i="17"/>
  <c r="D217" i="17"/>
  <c r="Z151" i="9"/>
  <c r="E142" i="17"/>
  <c r="F411" i="17"/>
  <c r="T12" i="8"/>
  <c r="AE201" i="16"/>
  <c r="E350" i="17"/>
  <c r="F333" i="17"/>
  <c r="Z115" i="9"/>
  <c r="F127" i="17"/>
  <c r="F222" i="17"/>
  <c r="E284" i="17"/>
  <c r="E215" i="17"/>
  <c r="Z136" i="9"/>
  <c r="AT16" i="17"/>
  <c r="Z131" i="9"/>
  <c r="E315" i="17"/>
  <c r="F268" i="17"/>
  <c r="E145" i="17"/>
  <c r="E443" i="17"/>
  <c r="F233" i="17"/>
  <c r="F374" i="17"/>
  <c r="O32" i="11"/>
  <c r="AE308" i="16"/>
  <c r="B216" i="17"/>
  <c r="AC69" i="16"/>
  <c r="C112" i="17"/>
  <c r="B254" i="17"/>
  <c r="AC243" i="16"/>
  <c r="AD326" i="16"/>
  <c r="AD120" i="16"/>
  <c r="AE120" i="16" s="1"/>
  <c r="C158" i="17"/>
  <c r="C229" i="17"/>
  <c r="AC63" i="16"/>
  <c r="AD62" i="16"/>
  <c r="C84" i="17"/>
  <c r="B365" i="17"/>
  <c r="AC245" i="16"/>
  <c r="B403" i="17"/>
  <c r="AD106" i="16"/>
  <c r="W78" i="9"/>
  <c r="AD254" i="16"/>
  <c r="E171" i="17"/>
  <c r="E444" i="17"/>
  <c r="F193" i="17"/>
  <c r="AE260" i="16"/>
  <c r="D449" i="17"/>
  <c r="AE79" i="16"/>
  <c r="Z128" i="9"/>
  <c r="AE167" i="16"/>
  <c r="F305" i="17"/>
  <c r="E388" i="17"/>
  <c r="D299" i="17"/>
  <c r="Z53" i="9"/>
  <c r="AJ16" i="17"/>
  <c r="E291" i="17"/>
  <c r="AE314" i="16"/>
  <c r="Z54" i="9"/>
  <c r="E311" i="17"/>
  <c r="F228" i="17"/>
  <c r="E286" i="17"/>
  <c r="E265" i="17"/>
  <c r="D294" i="17"/>
  <c r="F218" i="17"/>
  <c r="D125" i="17"/>
  <c r="Z117" i="9"/>
  <c r="AE270" i="16"/>
  <c r="F353" i="17"/>
  <c r="F252" i="17"/>
  <c r="D168" i="17"/>
  <c r="E344" i="17"/>
  <c r="E203" i="17"/>
  <c r="Z149" i="9"/>
  <c r="S71" i="7"/>
  <c r="E139" i="17"/>
  <c r="D257" i="17"/>
  <c r="D208" i="17"/>
  <c r="AM14" i="17"/>
  <c r="D150" i="17"/>
  <c r="F157" i="17"/>
  <c r="E169" i="17"/>
  <c r="F280" i="17"/>
  <c r="AE271" i="16"/>
  <c r="O27" i="11"/>
  <c r="AE230" i="16"/>
  <c r="U25" i="9"/>
  <c r="AE315" i="16"/>
  <c r="AT18" i="17"/>
  <c r="D409" i="17"/>
  <c r="U97" i="9"/>
  <c r="E199" i="17"/>
  <c r="Z99" i="9"/>
  <c r="E212" i="17"/>
  <c r="Z91" i="9"/>
  <c r="AE165" i="16"/>
  <c r="AE302" i="16"/>
  <c r="AE123" i="16"/>
  <c r="E282" i="17"/>
  <c r="E398" i="17"/>
  <c r="F316" i="17"/>
  <c r="E201" i="17"/>
  <c r="D202" i="17"/>
  <c r="F117" i="17"/>
  <c r="AE65" i="16"/>
  <c r="V152" i="9"/>
  <c r="F185" i="17"/>
  <c r="D357" i="17"/>
  <c r="AE221" i="16"/>
  <c r="F266" i="17"/>
  <c r="E319" i="17"/>
  <c r="D345" i="17"/>
  <c r="AE223" i="16"/>
  <c r="AE206" i="16"/>
  <c r="W30" i="8"/>
  <c r="D292" i="17"/>
  <c r="F356" i="17"/>
  <c r="E230" i="17"/>
  <c r="D266" i="17"/>
  <c r="D404" i="17"/>
  <c r="E314" i="17"/>
  <c r="D180" i="17"/>
  <c r="AE258" i="16"/>
  <c r="D144" i="17"/>
  <c r="E225" i="17"/>
  <c r="AE304" i="16"/>
  <c r="AE68" i="16"/>
  <c r="D423" i="17"/>
  <c r="D170" i="17"/>
  <c r="D128" i="17"/>
  <c r="AD22" i="16"/>
  <c r="F278" i="17"/>
  <c r="D238" i="17"/>
  <c r="U20" i="9"/>
  <c r="F169" i="17"/>
  <c r="E235" i="17"/>
  <c r="E323" i="17"/>
  <c r="F428" i="17"/>
  <c r="D414" i="17"/>
  <c r="E335" i="17"/>
  <c r="AE185" i="16"/>
  <c r="F372" i="17"/>
  <c r="F200" i="17"/>
  <c r="D192" i="17"/>
  <c r="D272" i="17"/>
  <c r="E96" i="17"/>
  <c r="E392" i="17"/>
  <c r="Z68" i="9"/>
  <c r="E394" i="17"/>
  <c r="Z139" i="9"/>
  <c r="E218" i="17"/>
  <c r="F139" i="17"/>
  <c r="E130" i="17"/>
  <c r="E269" i="17"/>
  <c r="E108" i="17"/>
  <c r="F427" i="17"/>
  <c r="AE166" i="16"/>
  <c r="Z97" i="9"/>
  <c r="O39" i="11"/>
  <c r="AE225" i="16"/>
  <c r="AE47" i="16"/>
  <c r="T20" i="8"/>
  <c r="E185" i="17"/>
  <c r="F211" i="17"/>
  <c r="F128" i="17"/>
  <c r="AE229" i="16"/>
  <c r="Z161" i="9"/>
  <c r="AE81" i="16"/>
  <c r="F255" i="17"/>
  <c r="F173" i="17"/>
  <c r="Z126" i="9"/>
  <c r="V160" i="9"/>
  <c r="F330" i="17"/>
  <c r="E401" i="17"/>
  <c r="D434" i="17"/>
  <c r="D130" i="17"/>
  <c r="AE333" i="16"/>
  <c r="D382" i="17"/>
  <c r="E150" i="17"/>
  <c r="D305" i="17"/>
  <c r="AE323" i="16"/>
  <c r="U95" i="9"/>
  <c r="F382" i="17"/>
  <c r="F297" i="17"/>
  <c r="F239" i="17"/>
  <c r="F454" i="17"/>
  <c r="AE109" i="16"/>
  <c r="F155" i="17"/>
  <c r="E140" i="17"/>
  <c r="D311" i="17"/>
  <c r="AE207" i="16"/>
  <c r="Z124" i="9"/>
  <c r="F455" i="17"/>
  <c r="AE57" i="16"/>
  <c r="D344" i="17"/>
  <c r="D403" i="17"/>
  <c r="F275" i="17"/>
  <c r="F279" i="17"/>
  <c r="AB21" i="17"/>
  <c r="U93" i="9"/>
  <c r="D291" i="17"/>
  <c r="Q85" i="7"/>
  <c r="AE310" i="16"/>
  <c r="AE254" i="16"/>
  <c r="F351" i="17"/>
  <c r="F458" i="17"/>
  <c r="F92" i="17"/>
  <c r="D93" i="17"/>
  <c r="E322" i="17"/>
  <c r="Z84" i="9"/>
  <c r="E442" i="17"/>
  <c r="E317" i="17"/>
  <c r="E100" i="17"/>
  <c r="E427" i="17"/>
  <c r="Z119" i="9"/>
  <c r="F277" i="17"/>
  <c r="E274" i="17"/>
  <c r="F387" i="17"/>
  <c r="AE309" i="16"/>
  <c r="AE303" i="16"/>
  <c r="F434" i="17"/>
  <c r="Z157" i="9"/>
  <c r="AE327" i="16"/>
  <c r="D105" i="17"/>
  <c r="T19" i="8"/>
  <c r="D422" i="17"/>
  <c r="D119" i="17"/>
  <c r="F301" i="17"/>
  <c r="D212" i="17"/>
  <c r="F106" i="17"/>
  <c r="AB50" i="17"/>
  <c r="E312" i="17"/>
  <c r="AE189" i="16"/>
  <c r="AE173" i="16"/>
  <c r="AE274" i="16"/>
  <c r="D418" i="17"/>
  <c r="F426" i="17"/>
  <c r="F357" i="17"/>
  <c r="D268" i="17"/>
  <c r="AI14" i="17"/>
  <c r="T128" i="9"/>
  <c r="AC109" i="16"/>
  <c r="W120" i="9"/>
  <c r="B338" i="17"/>
  <c r="C368" i="17"/>
  <c r="AC48" i="16"/>
  <c r="B139" i="17"/>
  <c r="B314" i="17"/>
  <c r="C347" i="17"/>
  <c r="AD115" i="16"/>
  <c r="W111" i="9"/>
  <c r="B459" i="17"/>
  <c r="AD111" i="16"/>
  <c r="AE111" i="16" s="1"/>
  <c r="C446" i="17"/>
  <c r="T124" i="9"/>
  <c r="C405" i="17"/>
  <c r="F405" i="17" s="1"/>
  <c r="W132" i="9"/>
  <c r="W118" i="9"/>
  <c r="Z150" i="9"/>
  <c r="AJ17" i="17"/>
  <c r="F160" i="17"/>
  <c r="E126" i="17"/>
  <c r="D190" i="17"/>
  <c r="D211" i="17"/>
  <c r="F224" i="17"/>
  <c r="D104" i="17"/>
  <c r="AE168" i="16"/>
  <c r="E182" i="17"/>
  <c r="V128" i="9"/>
  <c r="F100" i="17"/>
  <c r="E113" i="17"/>
  <c r="U102" i="9"/>
  <c r="F129" i="17"/>
  <c r="F210" i="17"/>
  <c r="AR16" i="17"/>
  <c r="AB56" i="17"/>
  <c r="AE195" i="16"/>
  <c r="BE21" i="16"/>
  <c r="D443" i="17"/>
  <c r="AE311" i="16"/>
  <c r="F151" i="17"/>
  <c r="D347" i="17"/>
  <c r="D450" i="17"/>
  <c r="E386" i="17"/>
  <c r="D109" i="17"/>
  <c r="F234" i="17"/>
  <c r="D451" i="17"/>
  <c r="E129" i="17"/>
  <c r="F271" i="17"/>
  <c r="AE288" i="16"/>
  <c r="F171" i="17"/>
  <c r="D98" i="17"/>
  <c r="F159" i="17"/>
  <c r="E348" i="17"/>
  <c r="AE74" i="16"/>
  <c r="V134" i="9"/>
  <c r="AX13" i="17"/>
  <c r="AH14" i="17"/>
  <c r="D332" i="17"/>
  <c r="AE176" i="16"/>
  <c r="AE136" i="16"/>
  <c r="AE191" i="16"/>
  <c r="E210" i="17"/>
  <c r="AE205" i="16"/>
  <c r="F276" i="17"/>
  <c r="D458" i="17"/>
  <c r="E293" i="17"/>
  <c r="U103" i="9"/>
  <c r="T14" i="8"/>
  <c r="F231" i="17"/>
  <c r="AE107" i="16"/>
  <c r="F299" i="17"/>
  <c r="AE145" i="16"/>
  <c r="AE137" i="16"/>
  <c r="F131" i="17"/>
  <c r="F254" i="17"/>
  <c r="D101" i="17"/>
  <c r="D278" i="17"/>
  <c r="D416" i="17"/>
  <c r="F339" i="17"/>
  <c r="AE257" i="16"/>
  <c r="D255" i="17"/>
  <c r="AE157" i="16"/>
  <c r="E361" i="17"/>
  <c r="AE259" i="16"/>
  <c r="Q71" i="7"/>
  <c r="F208" i="17"/>
  <c r="AE184" i="16"/>
  <c r="AE98" i="16"/>
  <c r="AE51" i="16"/>
  <c r="AC50" i="17"/>
  <c r="D413" i="17"/>
  <c r="AH15" i="17"/>
  <c r="F154" i="17"/>
  <c r="E175" i="17"/>
  <c r="D457" i="17"/>
  <c r="F197" i="17"/>
  <c r="D358" i="17"/>
  <c r="AE134" i="16"/>
  <c r="D83" i="17"/>
  <c r="D312" i="17"/>
  <c r="AE54" i="16"/>
  <c r="D111" i="17"/>
  <c r="E264" i="17"/>
  <c r="F232" i="17"/>
  <c r="U22" i="9"/>
  <c r="AB95" i="17"/>
  <c r="D322" i="17"/>
  <c r="D375" i="17"/>
  <c r="F251" i="17"/>
  <c r="E208" i="17"/>
  <c r="Z52" i="9"/>
  <c r="D417" i="17"/>
  <c r="AE284" i="16"/>
  <c r="D131" i="17"/>
  <c r="D277" i="17"/>
  <c r="F269" i="17"/>
  <c r="F245" i="17"/>
  <c r="AL16" i="17"/>
  <c r="E297" i="17"/>
  <c r="AM13" i="17"/>
  <c r="E165" i="17"/>
  <c r="Z86" i="9"/>
  <c r="AE101" i="16"/>
  <c r="AE196" i="16"/>
  <c r="E259" i="17"/>
  <c r="F442" i="17"/>
  <c r="E195" i="17"/>
  <c r="F83" i="17"/>
  <c r="AB60" i="17"/>
  <c r="AE169" i="16"/>
  <c r="AB54" i="17"/>
  <c r="AE277" i="16"/>
  <c r="AE267" i="16"/>
  <c r="F336" i="17"/>
  <c r="AE113" i="16"/>
  <c r="F354" i="17"/>
  <c r="E154" i="17"/>
  <c r="D359" i="17"/>
  <c r="E276" i="17"/>
  <c r="AI17" i="17"/>
  <c r="AE88" i="16"/>
  <c r="F118" i="17"/>
  <c r="AE232" i="16"/>
  <c r="D183" i="17"/>
  <c r="E339" i="17"/>
  <c r="F262" i="17"/>
  <c r="Z92" i="9"/>
  <c r="F462" i="17"/>
  <c r="F194" i="17"/>
  <c r="AE72" i="16"/>
  <c r="E460" i="17"/>
  <c r="F143" i="17"/>
  <c r="AE114" i="16"/>
  <c r="AE251" i="16"/>
  <c r="AE61" i="16"/>
  <c r="E450" i="17"/>
  <c r="F362" i="17"/>
  <c r="E205" i="17"/>
  <c r="E363" i="17"/>
  <c r="Z148" i="9"/>
  <c r="Z109" i="9"/>
  <c r="AB58" i="17"/>
  <c r="D146" i="17"/>
  <c r="AE153" i="16"/>
  <c r="AE147" i="16"/>
  <c r="E356" i="17"/>
  <c r="E104" i="17"/>
  <c r="AD55" i="17"/>
  <c r="E328" i="17"/>
  <c r="F368" i="17"/>
  <c r="AE245" i="16"/>
  <c r="E162" i="17"/>
  <c r="D233" i="17"/>
  <c r="E325" i="17"/>
  <c r="AH18" i="17"/>
  <c r="D107" i="17"/>
  <c r="F335" i="17"/>
  <c r="F399" i="17"/>
  <c r="E97" i="17"/>
  <c r="E217" i="17"/>
  <c r="E298" i="17"/>
  <c r="E236" i="17"/>
  <c r="AE183" i="16"/>
  <c r="T31" i="8"/>
  <c r="F163" i="17"/>
  <c r="E147" i="17"/>
  <c r="E196" i="17"/>
  <c r="F359" i="17"/>
  <c r="AE331" i="16"/>
  <c r="AU13" i="17"/>
  <c r="F284" i="17"/>
  <c r="F206" i="17"/>
  <c r="O41" i="11"/>
  <c r="E288" i="17"/>
  <c r="E400" i="17"/>
  <c r="D407" i="17"/>
  <c r="AE118" i="16"/>
  <c r="D436" i="17"/>
  <c r="E433" i="17"/>
  <c r="AE90" i="16"/>
  <c r="F439" i="17"/>
  <c r="F292" i="17"/>
  <c r="V123" i="9"/>
  <c r="F422" i="17"/>
  <c r="D227" i="17"/>
  <c r="D193" i="17"/>
  <c r="F314" i="17"/>
  <c r="E330" i="17"/>
  <c r="F371" i="17"/>
  <c r="D320" i="17"/>
  <c r="F396" i="17"/>
  <c r="E457" i="17"/>
  <c r="AE78" i="16"/>
  <c r="AE151" i="16"/>
  <c r="F111" i="17"/>
  <c r="D100" i="17"/>
  <c r="AV17" i="17"/>
  <c r="AB63" i="17"/>
  <c r="E262" i="17"/>
  <c r="F190" i="17"/>
  <c r="R68" i="7"/>
  <c r="AE200" i="16"/>
  <c r="AL18" i="17"/>
  <c r="AE59" i="16"/>
  <c r="E428" i="17"/>
  <c r="Q69" i="7"/>
  <c r="AE334" i="16"/>
  <c r="AE117" i="16"/>
  <c r="D421" i="17"/>
  <c r="D301" i="17"/>
  <c r="E240" i="17"/>
  <c r="F393" i="17"/>
  <c r="AS16" i="17"/>
  <c r="V124" i="9"/>
  <c r="D120" i="17"/>
  <c r="D452" i="17"/>
  <c r="D279" i="17"/>
  <c r="AE53" i="16"/>
  <c r="Q62" i="7"/>
  <c r="D249" i="17"/>
  <c r="D427" i="17"/>
  <c r="D163" i="17"/>
  <c r="E226" i="17"/>
  <c r="AC59" i="17"/>
  <c r="E438" i="17"/>
  <c r="D410" i="17"/>
  <c r="AP18" i="17"/>
  <c r="C174" i="17"/>
  <c r="S35" i="8"/>
  <c r="AC103" i="16"/>
  <c r="C456" i="17"/>
  <c r="AC147" i="16"/>
  <c r="AD138" i="16"/>
  <c r="AE138" i="16" s="1"/>
  <c r="AC67" i="16"/>
  <c r="AC282" i="16"/>
  <c r="AC272" i="16"/>
  <c r="AC305" i="16"/>
  <c r="T139" i="9"/>
  <c r="C256" i="17"/>
  <c r="AC253" i="16"/>
  <c r="AC76" i="16"/>
  <c r="AC156" i="16"/>
  <c r="B91" i="17"/>
  <c r="P63" i="7"/>
  <c r="U106" i="9"/>
  <c r="U18" i="9"/>
  <c r="T17" i="8"/>
  <c r="E412" i="17"/>
  <c r="AE159" i="16"/>
  <c r="AE162" i="16"/>
  <c r="E238" i="17"/>
  <c r="AE214" i="16"/>
  <c r="S64" i="7"/>
  <c r="F95" i="17"/>
  <c r="E204" i="17"/>
  <c r="AC19" i="17"/>
  <c r="AE148" i="16"/>
  <c r="E278" i="17"/>
  <c r="E404" i="17"/>
  <c r="F404" i="17"/>
  <c r="AE58" i="16"/>
  <c r="F248" i="17"/>
  <c r="D164" i="17"/>
  <c r="D198" i="17"/>
  <c r="AE224" i="16"/>
  <c r="E342" i="17"/>
  <c r="AC53" i="17"/>
  <c r="E267" i="17"/>
  <c r="AE209" i="16"/>
  <c r="AE252" i="16"/>
  <c r="F331" i="17"/>
  <c r="D445" i="17"/>
  <c r="E272" i="17"/>
  <c r="E418" i="17"/>
  <c r="F130" i="17"/>
  <c r="AD26" i="16"/>
  <c r="AE287" i="16"/>
  <c r="F379" i="17"/>
  <c r="E308" i="17"/>
  <c r="AE129" i="16"/>
  <c r="AH17" i="17"/>
  <c r="AE150" i="16"/>
  <c r="V151" i="9"/>
  <c r="F172" i="17"/>
  <c r="Z101" i="9"/>
  <c r="S62" i="7"/>
  <c r="AE158" i="16"/>
  <c r="D214" i="17"/>
  <c r="D215" i="17"/>
  <c r="D210" i="17"/>
  <c r="V149" i="9"/>
  <c r="E324" i="17"/>
  <c r="E246" i="17"/>
  <c r="E184" i="17"/>
  <c r="F199" i="17"/>
  <c r="E420" i="17"/>
  <c r="E357" i="17"/>
  <c r="Z55" i="9"/>
  <c r="E149" i="17"/>
  <c r="F103" i="17"/>
  <c r="E416" i="17"/>
  <c r="D408" i="17"/>
  <c r="F177" i="17"/>
  <c r="AE318" i="16"/>
  <c r="F342" i="17"/>
  <c r="D269" i="17"/>
  <c r="AL17" i="17"/>
  <c r="E101" i="17"/>
  <c r="E221" i="17"/>
  <c r="D353" i="17"/>
  <c r="AE77" i="16"/>
  <c r="U86" i="9"/>
  <c r="E327" i="17"/>
  <c r="F273" i="17"/>
  <c r="D419" i="17"/>
  <c r="AE163" i="16"/>
  <c r="AE156" i="16"/>
  <c r="F261" i="17"/>
  <c r="AD29" i="16"/>
  <c r="F209" i="17"/>
  <c r="D133" i="17"/>
  <c r="AP16" i="17"/>
  <c r="F285" i="17"/>
  <c r="F149" i="17"/>
  <c r="AE336" i="16"/>
  <c r="E122" i="17"/>
  <c r="AE281" i="16"/>
  <c r="AB55" i="17"/>
  <c r="AE64" i="16"/>
  <c r="D126" i="17"/>
  <c r="F121" i="17"/>
  <c r="AD20" i="16"/>
  <c r="V135" i="9"/>
  <c r="D318" i="17"/>
  <c r="AB59" i="17"/>
  <c r="F120" i="17"/>
  <c r="AK14" i="17"/>
  <c r="AV14" i="17"/>
  <c r="V127" i="9"/>
  <c r="AE89" i="16"/>
  <c r="V131" i="9"/>
  <c r="F108" i="17"/>
  <c r="AE161" i="16"/>
  <c r="F287" i="17"/>
  <c r="F461" i="17"/>
  <c r="F445" i="17"/>
  <c r="V147" i="9"/>
  <c r="E431" i="17"/>
  <c r="U82" i="9"/>
  <c r="E250" i="17"/>
  <c r="E143" i="17"/>
  <c r="AN16" i="17"/>
  <c r="E168" i="17"/>
  <c r="E141" i="17"/>
  <c r="F136" i="17"/>
  <c r="E207" i="17"/>
  <c r="F244" i="17"/>
  <c r="F270" i="17"/>
  <c r="AE317" i="16"/>
  <c r="F221" i="17"/>
  <c r="Z135" i="9"/>
  <c r="AB51" i="17"/>
  <c r="AE226" i="16"/>
  <c r="F384" i="17"/>
  <c r="F344" i="17"/>
  <c r="D171" i="17"/>
  <c r="R18" i="7"/>
  <c r="AE144" i="16"/>
  <c r="AE198" i="16"/>
  <c r="D191" i="17"/>
  <c r="Z154" i="9"/>
  <c r="AE233" i="16"/>
  <c r="V129" i="9"/>
  <c r="D86" i="17"/>
  <c r="F424" i="17"/>
  <c r="E91" i="17"/>
  <c r="V126" i="9"/>
  <c r="Z95" i="9"/>
  <c r="W29" i="8"/>
  <c r="E434" i="17"/>
  <c r="AE135" i="16"/>
  <c r="AC54" i="17"/>
  <c r="V141" i="9"/>
  <c r="D197" i="17"/>
  <c r="F388" i="17"/>
  <c r="E454" i="17"/>
  <c r="D364" i="17"/>
  <c r="Z112" i="9"/>
  <c r="F443" i="17"/>
  <c r="Q64" i="7"/>
  <c r="AE69" i="16"/>
  <c r="D273" i="17"/>
  <c r="R67" i="7"/>
  <c r="D182" i="17"/>
  <c r="F346" i="17"/>
  <c r="D326" i="17"/>
  <c r="U21" i="9"/>
  <c r="F431" i="17"/>
  <c r="D154" i="17"/>
  <c r="E167" i="17"/>
  <c r="D306" i="17"/>
  <c r="AE299" i="16"/>
  <c r="Z152" i="9"/>
  <c r="AE131" i="16"/>
  <c r="D165" i="17"/>
  <c r="F137" i="17"/>
  <c r="F240" i="17"/>
  <c r="F459" i="17"/>
  <c r="AS17" i="17"/>
  <c r="V155" i="9"/>
  <c r="E137" i="17"/>
  <c r="E318" i="17"/>
  <c r="Z127" i="9"/>
  <c r="Z58" i="9"/>
  <c r="AE253" i="16"/>
  <c r="E337" i="17"/>
  <c r="F107" i="17"/>
  <c r="F105" i="17"/>
  <c r="F87" i="17"/>
  <c r="E172" i="17"/>
  <c r="F451" i="17"/>
  <c r="AE306" i="16"/>
  <c r="AE125" i="16"/>
  <c r="F101" i="17"/>
  <c r="AE193" i="16"/>
  <c r="V157" i="9"/>
  <c r="D254" i="17"/>
  <c r="D99" i="17"/>
  <c r="AE105" i="16"/>
  <c r="O31" i="11"/>
  <c r="AE154" i="16"/>
  <c r="E310" i="17"/>
  <c r="AE202" i="16"/>
  <c r="D386" i="17"/>
  <c r="D302" i="17"/>
  <c r="D88" i="17"/>
  <c r="F338" i="17"/>
  <c r="D293" i="17"/>
  <c r="AJ15" i="17"/>
  <c r="AE219" i="16"/>
  <c r="D310" i="17"/>
  <c r="E151" i="17"/>
  <c r="AE152" i="16"/>
  <c r="AE335" i="16"/>
  <c r="Z137" i="9"/>
  <c r="F319" i="17"/>
  <c r="F150" i="17"/>
  <c r="Z113" i="9"/>
  <c r="F416" i="17"/>
  <c r="AB62" i="17"/>
  <c r="E188" i="17"/>
  <c r="D430" i="17"/>
  <c r="AE326" i="16"/>
  <c r="AC60" i="17"/>
  <c r="F425" i="17"/>
  <c r="D203" i="17"/>
  <c r="AE301" i="16"/>
  <c r="W12" i="8"/>
  <c r="F124" i="17"/>
  <c r="D122" i="17"/>
  <c r="E320" i="17"/>
  <c r="F132" i="17"/>
  <c r="E161" i="17"/>
  <c r="E387" i="17"/>
  <c r="E144" i="17"/>
  <c r="F302" i="17"/>
  <c r="F187" i="17"/>
  <c r="F94" i="17"/>
  <c r="Q20" i="7"/>
  <c r="D246" i="17"/>
  <c r="D118" i="17"/>
  <c r="D259" i="17"/>
  <c r="F104" i="17"/>
  <c r="F272" i="17"/>
  <c r="D110" i="17"/>
  <c r="D341" i="17"/>
  <c r="S67" i="7"/>
  <c r="AV15" i="17"/>
  <c r="D116" i="17"/>
  <c r="F156" i="17"/>
  <c r="AD61" i="17"/>
  <c r="T135" i="9"/>
  <c r="C213" i="17"/>
  <c r="T94" i="9"/>
  <c r="W59" i="9"/>
  <c r="AC154" i="16"/>
  <c r="Q66" i="7"/>
  <c r="F337" i="17"/>
  <c r="Z145" i="9"/>
  <c r="T35" i="8"/>
  <c r="AE75" i="16"/>
  <c r="E252" i="17"/>
  <c r="AE263" i="16"/>
  <c r="E193" i="17"/>
  <c r="E296" i="17"/>
  <c r="D264" i="17"/>
  <c r="D384" i="17"/>
  <c r="E321" i="17"/>
  <c r="E336" i="17"/>
  <c r="F225" i="17"/>
  <c r="E166" i="17"/>
  <c r="E452" i="17"/>
  <c r="F400" i="17"/>
  <c r="D420" i="17"/>
  <c r="F257" i="17"/>
  <c r="AE204" i="16"/>
  <c r="V143" i="9"/>
  <c r="T13" i="8"/>
  <c r="D112" i="17"/>
  <c r="V122" i="9"/>
  <c r="D435" i="17"/>
  <c r="V121" i="9"/>
  <c r="AN17" i="17"/>
  <c r="U104" i="9"/>
  <c r="AE283" i="16"/>
  <c r="F122" i="17"/>
  <c r="Z105" i="9"/>
  <c r="D367" i="17"/>
  <c r="Z66" i="9"/>
  <c r="D177" i="17"/>
  <c r="D317" i="17"/>
  <c r="Z108" i="9"/>
  <c r="D360" i="17"/>
  <c r="F89" i="17"/>
  <c r="V146" i="9"/>
  <c r="E301" i="17"/>
  <c r="AX15" i="17"/>
  <c r="E341" i="17"/>
  <c r="E354" i="17"/>
  <c r="F444" i="17"/>
  <c r="F170" i="17"/>
  <c r="S66" i="7"/>
  <c r="AE325" i="16"/>
  <c r="E462" i="17"/>
  <c r="V145" i="9"/>
  <c r="AE324" i="16"/>
  <c r="E244" i="17"/>
  <c r="F147" i="17"/>
  <c r="AE282" i="16"/>
  <c r="D261" i="17"/>
  <c r="AW18" i="17"/>
  <c r="AE192" i="16"/>
  <c r="D316" i="17"/>
  <c r="F256" i="17"/>
  <c r="D424" i="17"/>
  <c r="AE63" i="16"/>
  <c r="AD21" i="16"/>
  <c r="D92" i="17"/>
  <c r="D282" i="17"/>
  <c r="D276" i="17"/>
  <c r="D265" i="17"/>
  <c r="D396" i="17"/>
  <c r="AS14" i="17"/>
  <c r="D155" i="17"/>
  <c r="AR18" i="17"/>
  <c r="E220" i="17"/>
  <c r="E432" i="17"/>
  <c r="F343" i="17"/>
  <c r="Q63" i="7"/>
  <c r="E214" i="17"/>
  <c r="D241" i="17"/>
  <c r="AD30" i="16"/>
  <c r="F93" i="17"/>
  <c r="D361" i="17"/>
  <c r="D354" i="17"/>
  <c r="Q67" i="7"/>
  <c r="AM15" i="17"/>
  <c r="F303" i="17"/>
  <c r="AQ13" i="17"/>
  <c r="AD60" i="17"/>
  <c r="F181" i="17"/>
  <c r="E406" i="17"/>
  <c r="E446" i="17"/>
  <c r="E263" i="17"/>
  <c r="Z96" i="9"/>
  <c r="D377" i="17"/>
  <c r="AD21" i="17"/>
  <c r="F447" i="17"/>
  <c r="AE82" i="16"/>
  <c r="F386" i="17"/>
  <c r="D240" i="17"/>
  <c r="D91" i="17"/>
  <c r="D159" i="17"/>
  <c r="F334" i="17"/>
  <c r="AC61" i="17"/>
  <c r="F438" i="17"/>
  <c r="F410" i="17"/>
  <c r="AK13" i="17"/>
  <c r="F84" i="17"/>
  <c r="W14" i="8"/>
  <c r="U51" i="9"/>
  <c r="Q81" i="7"/>
  <c r="D223" i="17"/>
  <c r="D289" i="17"/>
  <c r="D153" i="17"/>
  <c r="Q43" i="7"/>
  <c r="V136" i="9"/>
  <c r="D124" i="17"/>
  <c r="D162" i="17"/>
  <c r="F385" i="17"/>
  <c r="AT15" i="17"/>
  <c r="D247" i="17"/>
  <c r="AQ16" i="17"/>
  <c r="AD50" i="17"/>
  <c r="AK18" i="17"/>
  <c r="E333" i="17"/>
  <c r="D271" i="17"/>
  <c r="F247" i="17"/>
  <c r="U48" i="9"/>
  <c r="D462" i="17"/>
  <c r="AL14" i="17"/>
  <c r="AD59" i="17"/>
  <c r="D329" i="17"/>
  <c r="Q42" i="7"/>
  <c r="F347" i="17"/>
  <c r="AB96" i="17"/>
  <c r="AP17" i="17"/>
  <c r="AE211" i="16"/>
  <c r="F310" i="17"/>
  <c r="D143" i="17"/>
  <c r="E242" i="17"/>
  <c r="E121" i="17"/>
  <c r="AE248" i="16"/>
  <c r="V148" i="9"/>
  <c r="U19" i="9"/>
  <c r="E362" i="17"/>
  <c r="E124" i="17"/>
  <c r="F288" i="17"/>
  <c r="E266" i="17"/>
  <c r="F341" i="17"/>
  <c r="F264" i="17"/>
  <c r="AE97" i="16"/>
  <c r="E451" i="17"/>
  <c r="D387" i="17"/>
  <c r="F367" i="17"/>
  <c r="E256" i="17"/>
  <c r="AU18" i="17"/>
  <c r="D392" i="17"/>
  <c r="D226" i="17"/>
  <c r="E410" i="17"/>
  <c r="W13" i="8"/>
  <c r="E445" i="17"/>
  <c r="E287" i="17"/>
  <c r="D412" i="17"/>
  <c r="D303" i="17"/>
  <c r="D181" i="17"/>
  <c r="F241" i="17"/>
  <c r="U55" i="9"/>
  <c r="D325" i="17"/>
  <c r="D334" i="17"/>
  <c r="Q82" i="7"/>
  <c r="E437" i="17"/>
  <c r="D189" i="17"/>
  <c r="D340" i="17"/>
  <c r="Q80" i="7"/>
  <c r="E340" i="17"/>
  <c r="AC228" i="16"/>
  <c r="C380" i="17"/>
  <c r="B88" i="17"/>
  <c r="AD128" i="16"/>
  <c r="AE128" i="16" s="1"/>
  <c r="E448" i="17"/>
  <c r="E304" i="17"/>
  <c r="F205" i="17"/>
  <c r="AE294" i="16"/>
  <c r="F320" i="17"/>
  <c r="AE212" i="16"/>
  <c r="Z80" i="9"/>
  <c r="D94" i="17"/>
  <c r="E393" i="17"/>
  <c r="E127" i="17"/>
  <c r="F133" i="17"/>
  <c r="AK16" i="17"/>
  <c r="E110" i="17"/>
  <c r="F219" i="17"/>
  <c r="AE56" i="16"/>
  <c r="AE122" i="16"/>
  <c r="AE242" i="16"/>
  <c r="E152" i="17"/>
  <c r="D179" i="17"/>
  <c r="AE100" i="16"/>
  <c r="Z57" i="9"/>
  <c r="D356" i="17"/>
  <c r="D152" i="17"/>
  <c r="AE239" i="16"/>
  <c r="D368" i="17"/>
  <c r="AE104" i="16"/>
  <c r="Z103" i="9"/>
  <c r="E421" i="17"/>
  <c r="E300" i="17"/>
  <c r="E399" i="17"/>
  <c r="E134" i="17"/>
  <c r="D138" i="17"/>
  <c r="D127" i="17"/>
  <c r="E382" i="17"/>
  <c r="AE266" i="16"/>
  <c r="D346" i="17"/>
  <c r="AC55" i="17"/>
  <c r="Z51" i="9"/>
  <c r="AQ18" i="17"/>
  <c r="E190" i="17"/>
  <c r="D248" i="17"/>
  <c r="F184" i="17"/>
  <c r="E292" i="17"/>
  <c r="O40" i="11"/>
  <c r="F195" i="17"/>
  <c r="R69" i="7"/>
  <c r="E414" i="17"/>
  <c r="E103" i="17"/>
  <c r="F322" i="17"/>
  <c r="AE50" i="16"/>
  <c r="D141" i="17"/>
  <c r="D337" i="17"/>
  <c r="F429" i="17"/>
  <c r="AS15" i="17"/>
  <c r="Z111" i="9"/>
  <c r="E255" i="17"/>
  <c r="D431" i="17"/>
  <c r="D151" i="17"/>
  <c r="AE103" i="16"/>
  <c r="D216" i="17"/>
  <c r="Q47" i="7"/>
  <c r="F216" i="17"/>
  <c r="V153" i="9"/>
  <c r="D348" i="17"/>
  <c r="AD33" i="16"/>
  <c r="D400" i="17"/>
  <c r="D288" i="17"/>
  <c r="F383" i="17"/>
  <c r="E281" i="17"/>
  <c r="E181" i="17"/>
  <c r="D446" i="17"/>
  <c r="D263" i="17"/>
  <c r="V150" i="9"/>
  <c r="AQ14" i="17"/>
  <c r="AE92" i="16"/>
  <c r="F311" i="17"/>
  <c r="T19" i="7"/>
  <c r="D327" i="17"/>
  <c r="D129" i="17"/>
  <c r="D102" i="17"/>
  <c r="D383" i="17"/>
  <c r="D243" i="17"/>
  <c r="D281" i="17"/>
  <c r="AD51" i="17"/>
  <c r="F369" i="17"/>
  <c r="D256" i="17"/>
  <c r="U54" i="9"/>
  <c r="F179" i="17"/>
  <c r="D448" i="17"/>
  <c r="D453" i="17"/>
  <c r="D373" i="17"/>
  <c r="F449" i="17"/>
  <c r="F192" i="17"/>
  <c r="D260" i="17"/>
  <c r="D295" i="17"/>
  <c r="E89" i="17"/>
  <c r="AO14" i="17"/>
  <c r="D188" i="17"/>
  <c r="F402" i="17"/>
  <c r="F253" i="17"/>
  <c r="AN18" i="17"/>
  <c r="F220" i="17"/>
  <c r="D432" i="17"/>
  <c r="U61" i="9"/>
  <c r="E148" i="17"/>
  <c r="D230" i="17"/>
  <c r="F395" i="17"/>
  <c r="D258" i="17"/>
  <c r="F413" i="17"/>
  <c r="Q18" i="7"/>
  <c r="D433" i="17"/>
  <c r="D350" i="17"/>
  <c r="E306" i="17"/>
  <c r="AW15" i="17"/>
  <c r="F242" i="17"/>
  <c r="D229" i="17"/>
  <c r="AD57" i="17"/>
  <c r="F437" i="17"/>
  <c r="E178" i="17"/>
  <c r="U59" i="9"/>
  <c r="D405" i="17"/>
  <c r="E409" i="17"/>
  <c r="D221" i="17"/>
  <c r="E222" i="17"/>
  <c r="E373" i="17"/>
  <c r="F227" i="17"/>
  <c r="Q19" i="7"/>
  <c r="D455" i="17"/>
  <c r="D415" i="17"/>
  <c r="D426" i="17"/>
  <c r="AI15" i="17"/>
  <c r="F116" i="17"/>
  <c r="D156" i="17"/>
  <c r="AD63" i="17"/>
  <c r="D437" i="17"/>
  <c r="U62" i="9"/>
  <c r="F263" i="17"/>
  <c r="Q45" i="7"/>
  <c r="D176" i="17"/>
  <c r="E326" i="17"/>
  <c r="AD62" i="17"/>
  <c r="D333" i="17"/>
  <c r="AB97" i="17"/>
  <c r="E31" i="1"/>
  <c r="AC303" i="16"/>
  <c r="C237" i="17"/>
  <c r="Z71" i="9"/>
  <c r="AC52" i="17"/>
  <c r="D285" i="17"/>
  <c r="E439" i="17"/>
  <c r="D196" i="17"/>
  <c r="E375" i="17"/>
  <c r="AE141" i="16"/>
  <c r="E403" i="17"/>
  <c r="D390" i="17"/>
  <c r="E231" i="17"/>
  <c r="AE290" i="16"/>
  <c r="F452" i="17"/>
  <c r="AV16" i="17"/>
  <c r="AE264" i="16"/>
  <c r="E159" i="17"/>
  <c r="F389" i="17"/>
  <c r="D106" i="17"/>
  <c r="AB20" i="17"/>
  <c r="AE338" i="16"/>
  <c r="E435" i="17"/>
  <c r="AE244" i="16"/>
  <c r="F236" i="17"/>
  <c r="AE312" i="16"/>
  <c r="D251" i="17"/>
  <c r="AI16" i="17"/>
  <c r="AE85" i="16"/>
  <c r="E93" i="17"/>
  <c r="D381" i="17"/>
  <c r="AD56" i="17"/>
  <c r="U49" i="9"/>
  <c r="D286" i="17"/>
  <c r="F96" i="17"/>
  <c r="D428" i="17"/>
  <c r="D438" i="17"/>
  <c r="E84" i="17"/>
  <c r="Q83" i="7"/>
  <c r="U71" i="9"/>
  <c r="V130" i="9"/>
  <c r="E385" i="17"/>
  <c r="AQ17" i="17"/>
  <c r="F446" i="17"/>
  <c r="AU15" i="17"/>
  <c r="F360" i="17"/>
  <c r="D186" i="17"/>
  <c r="F340" i="17"/>
  <c r="E347" i="17"/>
  <c r="W19" i="8"/>
  <c r="U100" i="9"/>
  <c r="F238" i="17"/>
  <c r="D374" i="17"/>
  <c r="F167" i="17"/>
  <c r="F281" i="17"/>
  <c r="W18" i="8"/>
  <c r="Q46" i="7"/>
  <c r="U58" i="9"/>
  <c r="B292" i="17"/>
  <c r="AD217" i="16"/>
  <c r="AE217" i="16" s="1"/>
  <c r="C349" i="17"/>
  <c r="C370" i="17"/>
  <c r="E370" i="17" s="1"/>
  <c r="Z70" i="9"/>
  <c r="F274" i="17"/>
  <c r="AE276" i="16"/>
  <c r="E198" i="17"/>
  <c r="E424" i="17"/>
  <c r="D173" i="17"/>
  <c r="F88" i="17"/>
  <c r="U98" i="9"/>
  <c r="F417" i="17"/>
  <c r="AE320" i="16"/>
  <c r="AO17" i="17"/>
  <c r="U90" i="9"/>
  <c r="E430" i="17"/>
  <c r="E425" i="17"/>
  <c r="D95" i="17"/>
  <c r="D201" i="17"/>
  <c r="F377" i="17"/>
  <c r="AE296" i="16"/>
  <c r="E270" i="17"/>
  <c r="F198" i="17"/>
  <c r="F433" i="17"/>
  <c r="AE67" i="16"/>
  <c r="Z77" i="9"/>
  <c r="T23" i="8"/>
  <c r="AJ18" i="17"/>
  <c r="R62" i="7"/>
  <c r="E232" i="17"/>
  <c r="E216" i="17"/>
  <c r="E191" i="17"/>
  <c r="E109" i="17"/>
  <c r="Z45" i="9"/>
  <c r="D157" i="17"/>
  <c r="AE197" i="16"/>
  <c r="AB53" i="17"/>
  <c r="AJ14" i="17"/>
  <c r="E133" i="17"/>
  <c r="F134" i="17"/>
  <c r="D187" i="17"/>
  <c r="D225" i="17"/>
  <c r="D96" i="17"/>
  <c r="F296" i="17"/>
  <c r="V163" i="9"/>
  <c r="T24" i="8"/>
  <c r="Z142" i="9"/>
  <c r="F258" i="17"/>
  <c r="E106" i="17"/>
  <c r="F246" i="17"/>
  <c r="F283" i="17"/>
  <c r="R64" i="7"/>
  <c r="E411" i="17"/>
  <c r="D206" i="17"/>
  <c r="AC58" i="17"/>
  <c r="E459" i="17"/>
  <c r="AE76" i="16"/>
  <c r="F294" i="17"/>
  <c r="D136" i="17"/>
  <c r="AE179" i="16"/>
  <c r="E329" i="17"/>
  <c r="D389" i="17"/>
  <c r="AH13" i="17"/>
  <c r="F435" i="17"/>
  <c r="T20" i="7"/>
  <c r="D270" i="17"/>
  <c r="F323" i="17"/>
  <c r="D391" i="17"/>
  <c r="E102" i="17"/>
  <c r="F243" i="17"/>
  <c r="D142" i="17"/>
  <c r="D84" i="17"/>
  <c r="W16" i="8"/>
  <c r="U57" i="9"/>
  <c r="Q84" i="7"/>
  <c r="E426" i="17"/>
  <c r="W15" i="8"/>
  <c r="E351" i="17"/>
  <c r="E94" i="17"/>
  <c r="D85" i="17"/>
  <c r="D298" i="17"/>
  <c r="D89" i="17"/>
  <c r="AW14" i="17"/>
  <c r="E158" i="17"/>
  <c r="D402" i="17"/>
  <c r="AD20" i="17"/>
  <c r="AX18" i="17"/>
  <c r="D220" i="17"/>
  <c r="F432" i="17"/>
  <c r="D343" i="17"/>
  <c r="F114" i="17"/>
  <c r="D366" i="17"/>
  <c r="E116" i="17"/>
  <c r="F376" i="17"/>
  <c r="AE265" i="16"/>
  <c r="F110" i="17"/>
  <c r="R20" i="7"/>
  <c r="D184" i="17"/>
  <c r="D250" i="17"/>
  <c r="F306" i="17"/>
  <c r="AR15" i="17"/>
  <c r="D242" i="17"/>
  <c r="E229" i="17"/>
  <c r="AD52" i="17"/>
  <c r="D369" i="17"/>
  <c r="F178" i="17"/>
  <c r="U64" i="9"/>
  <c r="D370" i="17"/>
  <c r="V133" i="9"/>
  <c r="D441" i="17"/>
  <c r="Q44" i="7"/>
  <c r="D134" i="17"/>
  <c r="R65" i="7"/>
  <c r="D394" i="17"/>
  <c r="D304" i="17"/>
  <c r="D461" i="17"/>
  <c r="AU14" i="17"/>
  <c r="F188" i="17"/>
  <c r="E441" i="17"/>
  <c r="D253" i="17"/>
  <c r="AI18" i="17"/>
  <c r="E453" i="17"/>
  <c r="F123" i="17"/>
  <c r="U69" i="9"/>
  <c r="F148" i="17"/>
  <c r="F230" i="17"/>
  <c r="D167" i="17"/>
  <c r="D123" i="17"/>
  <c r="D175" i="17"/>
  <c r="AU17" i="17"/>
  <c r="D113" i="17"/>
  <c r="D335" i="17"/>
  <c r="D351" i="17"/>
  <c r="AP14" i="17"/>
  <c r="F326" i="17"/>
  <c r="F441" i="17"/>
  <c r="D222" i="17"/>
  <c r="AO18" i="17"/>
  <c r="F453" i="17"/>
  <c r="W17" i="8"/>
  <c r="U53" i="9"/>
  <c r="D376" i="17"/>
  <c r="S63" i="7"/>
  <c r="D385" i="17"/>
  <c r="E156" i="17"/>
  <c r="D237" i="17"/>
  <c r="Q86" i="7"/>
  <c r="D406" i="17"/>
  <c r="E241" i="17"/>
  <c r="S20" i="7"/>
  <c r="E405" i="17"/>
  <c r="D117" i="17"/>
  <c r="D199" i="17"/>
  <c r="F419" i="17"/>
  <c r="F158" i="17"/>
  <c r="E155" i="17"/>
  <c r="AM18" i="17"/>
  <c r="D395" i="17"/>
  <c r="E343" i="17"/>
  <c r="AE235" i="16"/>
  <c r="AK15" i="17"/>
  <c r="D178" i="17"/>
  <c r="AD149" i="16"/>
  <c r="AE149" i="16" s="1"/>
  <c r="D399" i="17"/>
  <c r="V159" i="9"/>
  <c r="Z48" i="9"/>
  <c r="Z73" i="9"/>
  <c r="F309" i="17"/>
  <c r="F348" i="17"/>
  <c r="F191" i="17"/>
  <c r="AL13" i="17"/>
  <c r="D232" i="17"/>
  <c r="D283" i="17"/>
  <c r="AE171" i="16"/>
  <c r="D194" i="17"/>
  <c r="E422" i="17"/>
  <c r="AE240" i="16"/>
  <c r="AE48" i="16"/>
  <c r="D339" i="17"/>
  <c r="AE216" i="16"/>
  <c r="AE261" i="16"/>
  <c r="F182" i="17"/>
  <c r="AE178" i="16"/>
  <c r="D158" i="17"/>
  <c r="E369" i="17"/>
  <c r="F370" i="17"/>
  <c r="E179" i="17"/>
  <c r="D393" i="17"/>
  <c r="AC62" i="17"/>
  <c r="AV18" i="17"/>
  <c r="U56" i="9"/>
  <c r="AT14" i="17"/>
  <c r="AE295" i="16"/>
  <c r="D336" i="17"/>
  <c r="AL15" i="17"/>
  <c r="AD54" i="17"/>
  <c r="F406" i="17"/>
  <c r="R63" i="7"/>
  <c r="D440" i="17"/>
  <c r="D132" i="17"/>
  <c r="AC63" i="17"/>
  <c r="AK17" i="17"/>
  <c r="U52" i="9"/>
  <c r="D267" i="17"/>
  <c r="F165" i="17"/>
  <c r="D135" i="17"/>
  <c r="F214" i="17"/>
  <c r="E289" i="17"/>
  <c r="U70" i="9"/>
  <c r="D244" i="17"/>
  <c r="AS18" i="17"/>
  <c r="C26" i="1"/>
  <c r="E25" i="1"/>
  <c r="E390" i="17"/>
  <c r="AV13" i="17"/>
  <c r="U81" i="9"/>
  <c r="F90" i="17"/>
  <c r="E371" i="17"/>
  <c r="U50" i="9"/>
  <c r="E290" i="17"/>
  <c r="AE121" i="16"/>
  <c r="U105" i="9"/>
  <c r="AD25" i="16"/>
  <c r="Z114" i="9"/>
  <c r="V164" i="9"/>
  <c r="AE228" i="16"/>
  <c r="AE106" i="16"/>
  <c r="Z78" i="9"/>
  <c r="AE218" i="16"/>
  <c r="E334" i="17"/>
  <c r="F113" i="17"/>
  <c r="E105" i="17"/>
  <c r="Z160" i="9"/>
  <c r="Z144" i="9"/>
  <c r="F375" i="17"/>
  <c r="AD23" i="16"/>
  <c r="F180" i="17"/>
  <c r="F126" i="17"/>
  <c r="E128" i="17"/>
  <c r="Z61" i="9"/>
  <c r="AE62" i="16"/>
  <c r="U66" i="9"/>
  <c r="Z158" i="9"/>
  <c r="E83" i="17"/>
  <c r="Z87" i="9"/>
  <c r="E257" i="17"/>
  <c r="T25" i="8"/>
  <c r="E376" i="17"/>
  <c r="E367" i="17"/>
  <c r="E92" i="17"/>
  <c r="Z93" i="9"/>
  <c r="E28" i="1"/>
  <c r="E37" i="1"/>
  <c r="F175" i="17"/>
  <c r="AE139" i="16"/>
  <c r="Z56" i="9"/>
  <c r="F329" i="17"/>
  <c r="F409" i="17"/>
  <c r="Z65" i="9"/>
  <c r="T34" i="7"/>
  <c r="F115" i="17"/>
  <c r="E383" i="17"/>
  <c r="Z107" i="9"/>
  <c r="E419" i="17"/>
  <c r="AW13" i="17"/>
  <c r="Z104" i="9"/>
  <c r="E303" i="17"/>
  <c r="Z64" i="9"/>
  <c r="F161" i="17"/>
  <c r="U65" i="9"/>
  <c r="Z156" i="9"/>
  <c r="Z120" i="9"/>
  <c r="Z140" i="9"/>
  <c r="F420" i="17"/>
  <c r="U63" i="9"/>
  <c r="V132" i="9"/>
  <c r="AE208" i="16"/>
  <c r="Z47" i="9"/>
  <c r="E407" i="17"/>
  <c r="E123" i="17"/>
  <c r="E368" i="17"/>
  <c r="E271" i="17"/>
  <c r="U99" i="9"/>
  <c r="O25" i="11"/>
  <c r="Z49" i="9"/>
  <c r="Z106" i="9"/>
  <c r="Z75" i="9"/>
  <c r="Q79" i="7"/>
  <c r="E275" i="17"/>
  <c r="E194" i="17"/>
  <c r="Z122" i="9"/>
  <c r="E170" i="17"/>
  <c r="AP13" i="17"/>
  <c r="CH81" i="17"/>
  <c r="E35" i="1"/>
  <c r="AE337" i="16"/>
  <c r="D296" i="17"/>
  <c r="E283" i="17"/>
  <c r="Z138" i="9"/>
  <c r="F144" i="17"/>
  <c r="T33" i="8"/>
  <c r="T36" i="8"/>
  <c r="O37" i="11"/>
  <c r="F401" i="17"/>
  <c r="E352" i="17"/>
  <c r="Z132" i="9"/>
  <c r="F381" i="17"/>
  <c r="Z159" i="9"/>
  <c r="E136" i="17"/>
  <c r="E415" i="17"/>
  <c r="AT13" i="17"/>
  <c r="V137" i="9"/>
  <c r="F226" i="17"/>
  <c r="Z76" i="9"/>
  <c r="E396" i="17"/>
  <c r="F142" i="17"/>
  <c r="AE234" i="16"/>
  <c r="AE99" i="16"/>
  <c r="E305" i="17"/>
  <c r="U88" i="9"/>
  <c r="T29" i="8"/>
  <c r="E395" i="17"/>
  <c r="E423" i="17"/>
  <c r="AE116" i="16"/>
  <c r="E117" i="17"/>
  <c r="O36" i="11"/>
  <c r="D388" i="17"/>
  <c r="E413" i="17"/>
  <c r="U60" i="9"/>
  <c r="AB93" i="17"/>
  <c r="E245" i="17"/>
  <c r="U67" i="9"/>
  <c r="E248" i="17"/>
  <c r="AE115" i="16"/>
  <c r="T28" i="8"/>
  <c r="E456" i="17"/>
  <c r="T16" i="8"/>
  <c r="AE269" i="16"/>
  <c r="O35" i="11"/>
  <c r="E206" i="17"/>
  <c r="E279" i="17"/>
  <c r="C27" i="1"/>
  <c r="E219" i="17"/>
  <c r="F145" i="17"/>
  <c r="Z141" i="9"/>
  <c r="F361" i="17"/>
  <c r="AS13" i="17"/>
  <c r="Z133" i="9"/>
  <c r="D148" i="17"/>
  <c r="F229" i="17"/>
  <c r="U68" i="9"/>
  <c r="Z118" i="9"/>
  <c r="S18" i="7"/>
  <c r="AE194" i="16"/>
  <c r="Z82" i="9"/>
  <c r="V125" i="9"/>
  <c r="Z129" i="9"/>
  <c r="Z125" i="9"/>
  <c r="E209" i="17"/>
  <c r="E243" i="17"/>
  <c r="F430" i="17"/>
  <c r="T21" i="8"/>
  <c r="F307" i="17"/>
  <c r="Z59" i="9"/>
  <c r="Z147" i="9"/>
  <c r="F291" i="17"/>
  <c r="E402" i="17"/>
  <c r="AN13" i="17"/>
  <c r="D460" i="17"/>
  <c r="O30" i="11"/>
  <c r="Z153" i="9"/>
  <c r="AE186" i="16"/>
  <c r="AE164" i="16"/>
  <c r="U94" i="9"/>
  <c r="AD32" i="16"/>
  <c r="AE246" i="16"/>
  <c r="AE146" i="16"/>
  <c r="Z102" i="9"/>
  <c r="Z63" i="9"/>
  <c r="AD19" i="17"/>
  <c r="F364" i="17"/>
  <c r="AE93" i="16"/>
  <c r="AE83" i="16"/>
  <c r="E309" i="17"/>
  <c r="S19" i="7"/>
  <c r="T18" i="7"/>
  <c r="AD58" i="17"/>
  <c r="AD53" i="17"/>
  <c r="F112" i="17"/>
  <c r="E112" i="17"/>
  <c r="D174" i="17"/>
  <c r="E174" i="17"/>
  <c r="F174" i="17"/>
  <c r="D456" i="17"/>
  <c r="F456" i="17"/>
  <c r="D213" i="17"/>
  <c r="E213" i="17"/>
  <c r="F213" i="17"/>
  <c r="E380" i="17"/>
  <c r="F380" i="17"/>
  <c r="D380" i="17"/>
  <c r="F237" i="17"/>
  <c r="E237" i="17"/>
  <c r="D349" i="17"/>
  <c r="F349" i="17"/>
  <c r="E349" i="17"/>
  <c r="D58" i="17" l="1"/>
  <c r="D63" i="17"/>
  <c r="AA83" i="16"/>
  <c r="AA93" i="16"/>
  <c r="D52" i="17"/>
  <c r="AA32" i="16"/>
  <c r="C70" i="9"/>
  <c r="AA164" i="16"/>
  <c r="L30" i="11"/>
  <c r="C18" i="8"/>
  <c r="AA194" i="16"/>
  <c r="C30" i="9"/>
  <c r="D27" i="1"/>
  <c r="F27" i="1"/>
  <c r="L35" i="11"/>
  <c r="AA269" i="16"/>
  <c r="AA115" i="16"/>
  <c r="C44" i="9"/>
  <c r="L36" i="11"/>
  <c r="AA116" i="16"/>
  <c r="D20" i="8"/>
  <c r="D43" i="8" s="1"/>
  <c r="C64" i="9"/>
  <c r="AA99" i="16"/>
  <c r="AA234" i="16"/>
  <c r="L37" i="11"/>
  <c r="C19" i="8"/>
  <c r="C37" i="17"/>
  <c r="S79" i="7"/>
  <c r="C46" i="7"/>
  <c r="L25" i="11"/>
  <c r="P25" i="11" s="1"/>
  <c r="M25" i="11" s="1"/>
  <c r="C75" i="9"/>
  <c r="AA208" i="16"/>
  <c r="C90" i="9"/>
  <c r="C47" i="9"/>
  <c r="C49" i="9"/>
  <c r="AA139" i="16"/>
  <c r="AA23" i="16"/>
  <c r="AA106" i="16"/>
  <c r="AA25" i="16"/>
  <c r="C81" i="9"/>
  <c r="C34" i="9"/>
  <c r="C57" i="9"/>
  <c r="F26" i="1"/>
  <c r="D26" i="1"/>
  <c r="C31" i="9"/>
  <c r="C36" i="9"/>
  <c r="C67" i="17"/>
  <c r="E67" i="17" s="1"/>
  <c r="R81" i="7"/>
  <c r="S81" i="7" s="1"/>
  <c r="D59" i="17"/>
  <c r="C40" i="9"/>
  <c r="C68" i="17"/>
  <c r="AA48" i="16"/>
  <c r="AJ52" i="17"/>
  <c r="AA235" i="16"/>
  <c r="C53" i="7"/>
  <c r="D53" i="7" s="1"/>
  <c r="C33" i="7"/>
  <c r="C37" i="9"/>
  <c r="C30" i="8"/>
  <c r="C29" i="9"/>
  <c r="R83" i="7"/>
  <c r="S83" i="7" s="1"/>
  <c r="C20" i="7"/>
  <c r="C48" i="9"/>
  <c r="D57" i="17"/>
  <c r="AA265" i="16"/>
  <c r="D53" i="17"/>
  <c r="C31" i="8"/>
  <c r="C51" i="7"/>
  <c r="D51" i="7" s="1"/>
  <c r="C41" i="9"/>
  <c r="C33" i="8"/>
  <c r="C45" i="8" s="1"/>
  <c r="AH52" i="17"/>
  <c r="AA179" i="16"/>
  <c r="C63" i="17"/>
  <c r="E63" i="17" s="1"/>
  <c r="AI53" i="17"/>
  <c r="R80" i="7"/>
  <c r="D18" i="8"/>
  <c r="AA296" i="16"/>
  <c r="C66" i="9"/>
  <c r="AK55" i="17"/>
  <c r="F29" i="17" s="1"/>
  <c r="AA320" i="16"/>
  <c r="C74" i="9"/>
  <c r="AA276" i="16"/>
  <c r="C42" i="9"/>
  <c r="C22" i="7"/>
  <c r="C34" i="8"/>
  <c r="C46" i="8" s="1"/>
  <c r="C76" i="9"/>
  <c r="C50" i="7"/>
  <c r="C33" i="9"/>
  <c r="D61" i="17"/>
  <c r="AA141" i="16"/>
  <c r="C57" i="17"/>
  <c r="E57" i="17" s="1"/>
  <c r="Z303" i="16"/>
  <c r="D68" i="17"/>
  <c r="C21" i="7"/>
  <c r="C46" i="9"/>
  <c r="D67" i="17"/>
  <c r="C43" i="9"/>
  <c r="D62" i="17"/>
  <c r="C110" i="9"/>
  <c r="C22" i="9"/>
  <c r="C50" i="9"/>
  <c r="C93" i="9"/>
  <c r="C45" i="9"/>
  <c r="D45" i="9" s="1"/>
  <c r="AK53" i="17"/>
  <c r="F26" i="17" s="1"/>
  <c r="C38" i="9"/>
  <c r="D56" i="17"/>
  <c r="AA92" i="16"/>
  <c r="C92" i="9"/>
  <c r="C23" i="7"/>
  <c r="AA50" i="16"/>
  <c r="L40" i="11"/>
  <c r="C60" i="17"/>
  <c r="AA122" i="16"/>
  <c r="AA56" i="16"/>
  <c r="AA294" i="16"/>
  <c r="Z228" i="16"/>
  <c r="C47" i="7"/>
  <c r="D47" i="7" s="1"/>
  <c r="S80" i="7"/>
  <c r="C49" i="7"/>
  <c r="D49" i="7" s="1"/>
  <c r="S82" i="7"/>
  <c r="C39" i="9"/>
  <c r="C32" i="8"/>
  <c r="C18" i="9"/>
  <c r="AA211" i="16"/>
  <c r="C18" i="7"/>
  <c r="D64" i="17"/>
  <c r="AJ53" i="17"/>
  <c r="C32" i="9"/>
  <c r="D55" i="17"/>
  <c r="C19" i="7"/>
  <c r="C48" i="7"/>
  <c r="D48" i="7" s="1"/>
  <c r="C35" i="9"/>
  <c r="C28" i="8"/>
  <c r="C66" i="17"/>
  <c r="AA82" i="16"/>
  <c r="D54" i="17"/>
  <c r="D65" i="17"/>
  <c r="AA30" i="16"/>
  <c r="AA21" i="16"/>
  <c r="AA282" i="16"/>
  <c r="AA324" i="16"/>
  <c r="C36" i="7"/>
  <c r="AA283" i="16"/>
  <c r="C80" i="9"/>
  <c r="C89" i="9"/>
  <c r="C91" i="9"/>
  <c r="D19" i="8"/>
  <c r="D42" i="8" s="1"/>
  <c r="Z154" i="16"/>
  <c r="D66" i="17"/>
  <c r="C37" i="7"/>
  <c r="Q48" i="7"/>
  <c r="C24" i="7" s="1"/>
  <c r="C29" i="8"/>
  <c r="C65" i="17"/>
  <c r="E65" i="17" s="1"/>
  <c r="L31" i="11"/>
  <c r="AA125" i="16"/>
  <c r="AA253" i="16"/>
  <c r="AA299" i="16"/>
  <c r="R85" i="7"/>
  <c r="S85" i="7" s="1"/>
  <c r="AA69" i="16"/>
  <c r="C59" i="17"/>
  <c r="E59" i="17" s="1"/>
  <c r="AA135" i="16"/>
  <c r="D32" i="8"/>
  <c r="AA233" i="16"/>
  <c r="AA317" i="16"/>
  <c r="C58" i="9"/>
  <c r="AA20" i="16"/>
  <c r="AA64" i="16"/>
  <c r="AA336" i="16"/>
  <c r="AA29" i="16"/>
  <c r="AA156" i="16"/>
  <c r="AA163" i="16"/>
  <c r="C62" i="9"/>
  <c r="AJ55" i="17"/>
  <c r="C32" i="7"/>
  <c r="AH55" i="17"/>
  <c r="AA129" i="16"/>
  <c r="AA26" i="16"/>
  <c r="AA252" i="16"/>
  <c r="AA209" i="16"/>
  <c r="C58" i="17"/>
  <c r="E58" i="17" s="1"/>
  <c r="AA58" i="16"/>
  <c r="C52" i="17"/>
  <c r="C34" i="7"/>
  <c r="AA214" i="16"/>
  <c r="AA162" i="16"/>
  <c r="AA159" i="16"/>
  <c r="D21" i="8"/>
  <c r="D44" i="8" s="1"/>
  <c r="C17" i="9"/>
  <c r="Z156" i="16"/>
  <c r="Z76" i="16"/>
  <c r="Z253" i="16"/>
  <c r="Z305" i="16"/>
  <c r="Z272" i="16"/>
  <c r="Z282" i="16"/>
  <c r="Z67" i="16"/>
  <c r="Z147" i="16"/>
  <c r="Z103" i="16"/>
  <c r="C64" i="17"/>
  <c r="E64" i="17" s="1"/>
  <c r="AA53" i="16"/>
  <c r="AA117" i="16"/>
  <c r="AA151" i="16"/>
  <c r="AA90" i="16"/>
  <c r="AA118" i="16"/>
  <c r="G24" i="11"/>
  <c r="D60" i="17"/>
  <c r="AA61" i="16"/>
  <c r="AA72" i="16"/>
  <c r="AA232" i="16"/>
  <c r="AA88" i="16"/>
  <c r="AA113" i="16"/>
  <c r="AA277" i="16"/>
  <c r="AA196" i="16"/>
  <c r="AJ54" i="17"/>
  <c r="AA284" i="16"/>
  <c r="C55" i="17"/>
  <c r="E55" i="17" s="1"/>
  <c r="AA51" i="16"/>
  <c r="AA98" i="16"/>
  <c r="AA137" i="16"/>
  <c r="AA145" i="16"/>
  <c r="AA107" i="16"/>
  <c r="G21" i="8"/>
  <c r="E44" i="8" s="1"/>
  <c r="C79" i="9"/>
  <c r="AH53" i="17"/>
  <c r="AA288" i="16"/>
  <c r="AA311" i="16"/>
  <c r="AA195" i="16"/>
  <c r="C78" i="9"/>
  <c r="AI55" i="17"/>
  <c r="AA111" i="16"/>
  <c r="Z48" i="16"/>
  <c r="Z109" i="16"/>
  <c r="AA173" i="16"/>
  <c r="AA189" i="16"/>
  <c r="AA309" i="16"/>
  <c r="AA254" i="16"/>
  <c r="C52" i="7"/>
  <c r="D52" i="7" s="1"/>
  <c r="C69" i="9"/>
  <c r="AA57" i="16"/>
  <c r="AA207" i="16"/>
  <c r="C71" i="9"/>
  <c r="AA323" i="16"/>
  <c r="G18" i="8"/>
  <c r="AA47" i="16"/>
  <c r="L39" i="11"/>
  <c r="AA166" i="16"/>
  <c r="AA22" i="16"/>
  <c r="AA304" i="16"/>
  <c r="D28" i="8"/>
  <c r="AA65" i="16"/>
  <c r="AA123" i="16"/>
  <c r="C73" i="9"/>
  <c r="C21" i="9"/>
  <c r="AA230" i="16"/>
  <c r="L27" i="11"/>
  <c r="AA271" i="16"/>
  <c r="C38" i="7"/>
  <c r="AA270" i="16"/>
  <c r="AA314" i="16"/>
  <c r="AI54" i="17"/>
  <c r="AA260" i="16"/>
  <c r="Z245" i="16"/>
  <c r="Z63" i="16"/>
  <c r="AA120" i="16"/>
  <c r="Z243" i="16"/>
  <c r="Z69" i="16"/>
  <c r="L32" i="11"/>
  <c r="AA201" i="16"/>
  <c r="C61" i="17"/>
  <c r="AA172" i="16"/>
  <c r="AA292" i="16"/>
  <c r="C20" i="9"/>
  <c r="AA278" i="16"/>
  <c r="AA285" i="16"/>
  <c r="AA330" i="16"/>
  <c r="C62" i="17"/>
  <c r="E62" i="17" s="1"/>
  <c r="AA174" i="16"/>
  <c r="AA18" i="16"/>
  <c r="AE18" i="16" s="1"/>
  <c r="AB18" i="16" s="1"/>
  <c r="AA87" i="16"/>
  <c r="AK52" i="17"/>
  <c r="F28" i="17" s="1"/>
  <c r="AA236" i="16"/>
  <c r="AA55" i="16"/>
  <c r="C65" i="9"/>
  <c r="C68" i="9"/>
  <c r="C77" i="9"/>
  <c r="AA19" i="16"/>
  <c r="L28" i="11"/>
  <c r="AA262" i="16"/>
  <c r="AA133" i="16"/>
  <c r="D29" i="8"/>
  <c r="AA300" i="16"/>
  <c r="AA143" i="16"/>
  <c r="L34" i="11"/>
  <c r="AA110" i="16"/>
  <c r="C63" i="9"/>
  <c r="F31" i="1"/>
  <c r="D31" i="1"/>
  <c r="Z247" i="16"/>
  <c r="Z191" i="16"/>
  <c r="Z197" i="16"/>
  <c r="Z269" i="16"/>
  <c r="Z100" i="16"/>
  <c r="Z135" i="16"/>
  <c r="Z74" i="16"/>
  <c r="Z250" i="16"/>
  <c r="Z128" i="16"/>
  <c r="Z271" i="16"/>
  <c r="Z292" i="16"/>
  <c r="AA80" i="16"/>
  <c r="L26" i="11"/>
  <c r="AA268" i="16"/>
  <c r="AA175" i="16"/>
  <c r="R84" i="7"/>
  <c r="S84" i="7" s="1"/>
  <c r="AA293" i="16"/>
  <c r="C54" i="17"/>
  <c r="E54" i="17" s="1"/>
  <c r="D30" i="8"/>
  <c r="C21" i="8"/>
  <c r="C20" i="8"/>
  <c r="AA286" i="16"/>
  <c r="AA247" i="16"/>
  <c r="AA73" i="16"/>
  <c r="AA241" i="16"/>
  <c r="AA291" i="16"/>
  <c r="L29" i="11"/>
  <c r="P29" i="11" s="1"/>
  <c r="M29" i="11" s="1"/>
  <c r="C35" i="7"/>
  <c r="AA31" i="16"/>
  <c r="C39" i="7"/>
  <c r="AK54" i="17"/>
  <c r="F27" i="17" s="1"/>
  <c r="AA272" i="16"/>
  <c r="L33" i="11"/>
  <c r="C67" i="9"/>
  <c r="AA297" i="16"/>
  <c r="AA24" i="16"/>
  <c r="AE24" i="16" s="1"/>
  <c r="AB24" i="16" s="1"/>
  <c r="AA305" i="16"/>
  <c r="AA238" i="16"/>
  <c r="AA28" i="16"/>
  <c r="C56" i="17"/>
  <c r="E56" i="17" s="1"/>
  <c r="AA250" i="16"/>
  <c r="C40" i="7"/>
  <c r="AI52" i="17"/>
  <c r="AA132" i="16"/>
  <c r="AA328" i="16"/>
  <c r="C59" i="9"/>
  <c r="AA126" i="16"/>
  <c r="AA332" i="16"/>
  <c r="L38" i="11"/>
  <c r="D31" i="8"/>
  <c r="Z241" i="16"/>
  <c r="Z160" i="16"/>
  <c r="Z284" i="16"/>
  <c r="Z212" i="16"/>
  <c r="D21" i="1"/>
  <c r="F21" i="1"/>
  <c r="Z268" i="16"/>
  <c r="Z157" i="16"/>
  <c r="D35" i="1"/>
  <c r="F35" i="1"/>
  <c r="C61" i="9"/>
  <c r="D61" i="9" s="1"/>
  <c r="Z113" i="16"/>
  <c r="Z167" i="16"/>
  <c r="Z332" i="16"/>
  <c r="C72" i="9"/>
  <c r="AH54" i="17"/>
  <c r="C41" i="7"/>
  <c r="D41" i="7" s="1"/>
  <c r="AA102" i="16"/>
  <c r="AA27" i="16"/>
  <c r="AA119" i="16"/>
  <c r="G20" i="8"/>
  <c r="E43" i="8" s="1"/>
  <c r="AA213" i="16"/>
  <c r="AA321" i="16"/>
  <c r="C60" i="9"/>
  <c r="AA60" i="16"/>
  <c r="G19" i="8"/>
  <c r="E42" i="8" s="1"/>
  <c r="C19" i="9"/>
  <c r="D19" i="9" s="1"/>
  <c r="C53" i="17"/>
  <c r="E53" i="17" s="1"/>
  <c r="AA86" i="16"/>
  <c r="AA52" i="16"/>
  <c r="AL55" i="17"/>
  <c r="G29" i="17" s="1"/>
  <c r="AA130" i="16"/>
  <c r="AA127" i="16"/>
  <c r="AA124" i="16"/>
  <c r="AA298" i="16"/>
  <c r="C25" i="7"/>
  <c r="Z65" i="16"/>
  <c r="Z256" i="16"/>
  <c r="D29" i="1"/>
  <c r="F29" i="1"/>
  <c r="Z158" i="16"/>
  <c r="Z274" i="16"/>
  <c r="Z237" i="16"/>
  <c r="Z299" i="16"/>
  <c r="Z200" i="16"/>
  <c r="Z289" i="16"/>
  <c r="Z77" i="16"/>
  <c r="Z279" i="16"/>
  <c r="D30" i="1"/>
  <c r="F30" i="1"/>
  <c r="Z68" i="16"/>
  <c r="Z130" i="16"/>
  <c r="Z301" i="16"/>
  <c r="Z280" i="16"/>
  <c r="Z62" i="16"/>
  <c r="Z219" i="16"/>
  <c r="Z204" i="16"/>
  <c r="Z55" i="16"/>
  <c r="Z217" i="16"/>
  <c r="D28" i="1"/>
  <c r="F28" i="1"/>
  <c r="Z120" i="16"/>
  <c r="Z189" i="16"/>
  <c r="Z121" i="16"/>
  <c r="Z151" i="16"/>
  <c r="Z57" i="16"/>
  <c r="Z287" i="16"/>
  <c r="Z257" i="16"/>
  <c r="Z79" i="16"/>
  <c r="Z290" i="16"/>
  <c r="Z187" i="16"/>
  <c r="Z328" i="16"/>
  <c r="Z52" i="16"/>
  <c r="Z169" i="16"/>
  <c r="Z143" i="16"/>
  <c r="Z266" i="16"/>
  <c r="Z216" i="16"/>
  <c r="Z149" i="16"/>
  <c r="Z232" i="16"/>
  <c r="Z195" i="16"/>
  <c r="Z96" i="16"/>
  <c r="F36" i="1"/>
  <c r="Z71" i="16"/>
  <c r="F24" i="1"/>
  <c r="D24" i="1"/>
  <c r="Z140" i="16"/>
  <c r="Z222" i="16"/>
  <c r="Z114" i="16"/>
  <c r="Z186" i="16"/>
  <c r="Z90" i="16"/>
  <c r="Z251" i="16"/>
  <c r="Z201" i="16"/>
  <c r="Z148" i="16"/>
  <c r="Z119" i="16"/>
  <c r="Z179" i="16"/>
  <c r="Z329" i="16"/>
  <c r="Z196" i="16"/>
  <c r="Z50" i="16"/>
  <c r="Z300" i="16"/>
  <c r="Z295" i="16"/>
  <c r="Z88" i="16"/>
  <c r="Z83" i="16"/>
  <c r="Z162" i="16"/>
  <c r="Z84" i="16"/>
  <c r="Z193" i="16"/>
  <c r="Z239" i="16"/>
  <c r="Z214" i="16"/>
  <c r="Z249" i="16"/>
  <c r="D25" i="1"/>
  <c r="F25" i="1"/>
  <c r="Z161" i="16"/>
  <c r="Z127" i="16"/>
  <c r="Z337" i="16"/>
  <c r="Z283" i="16"/>
  <c r="Z163" i="16"/>
  <c r="Z252" i="16"/>
  <c r="Z152" i="16"/>
  <c r="Z263" i="16"/>
  <c r="Z248" i="16"/>
  <c r="Z185" i="16"/>
  <c r="Z194" i="16"/>
  <c r="Z181" i="16"/>
  <c r="Z99" i="16"/>
  <c r="Z125" i="16"/>
  <c r="Z87" i="16"/>
  <c r="Z260" i="16"/>
  <c r="Z134" i="16"/>
  <c r="Z298" i="16"/>
  <c r="Z190" i="16"/>
  <c r="Z330" i="16"/>
  <c r="Z117" i="16"/>
  <c r="Z334" i="16"/>
  <c r="Z202" i="16"/>
  <c r="Z206" i="16"/>
  <c r="D34" i="1"/>
  <c r="F34" i="1"/>
  <c r="Z309" i="16"/>
  <c r="BE22" i="16"/>
  <c r="BE23" i="16" s="1"/>
  <c r="D36" i="1"/>
  <c r="F37" i="1"/>
  <c r="Z223" i="16"/>
  <c r="Z246" i="16"/>
  <c r="Z78" i="16"/>
  <c r="Z308" i="16"/>
  <c r="Z198" i="16"/>
  <c r="Z89" i="16"/>
  <c r="Z215" i="16"/>
  <c r="Z320" i="16"/>
  <c r="Z277" i="16"/>
  <c r="Z294" i="16"/>
  <c r="Z66" i="16"/>
  <c r="Z182" i="16"/>
  <c r="Z335" i="16"/>
  <c r="Z285" i="16"/>
  <c r="Z220" i="16"/>
  <c r="Z132" i="16"/>
  <c r="Z175" i="16"/>
  <c r="Z226" i="16"/>
  <c r="Z56" i="16"/>
  <c r="Z254" i="16"/>
  <c r="Z188" i="16"/>
  <c r="Z224" i="16"/>
  <c r="Z131" i="16"/>
  <c r="Z313" i="16"/>
  <c r="Z304" i="16"/>
  <c r="Z164" i="16"/>
  <c r="Z138" i="16"/>
  <c r="Z139" i="16"/>
  <c r="Z267" i="16"/>
  <c r="Z209" i="16"/>
  <c r="Z86" i="16"/>
  <c r="Z124" i="16"/>
  <c r="Z108" i="16"/>
  <c r="Z82" i="16"/>
  <c r="Z153" i="16"/>
  <c r="Z126" i="16"/>
  <c r="Z171" i="16"/>
  <c r="Z166" i="16"/>
  <c r="Z258" i="16"/>
  <c r="Z47" i="16"/>
  <c r="F33" i="1"/>
  <c r="D33" i="1"/>
  <c r="Z75" i="16"/>
  <c r="F22" i="1"/>
  <c r="D22" i="1"/>
  <c r="Z275" i="16"/>
  <c r="F32" i="1"/>
  <c r="D32" i="1"/>
  <c r="Z94" i="16"/>
  <c r="Z211" i="16"/>
  <c r="Z93" i="16"/>
  <c r="Z174" i="16"/>
  <c r="Z306" i="16"/>
  <c r="Z116" i="16"/>
  <c r="Z336" i="16"/>
  <c r="Z230" i="16"/>
  <c r="Z115" i="16"/>
  <c r="Z184" i="16"/>
  <c r="Z265" i="16"/>
  <c r="Z104" i="16"/>
  <c r="Z291" i="16"/>
  <c r="Z321" i="16"/>
  <c r="Z311" i="16"/>
  <c r="Z205" i="16"/>
  <c r="Z80" i="16"/>
  <c r="Z288" i="16"/>
  <c r="Z327" i="16"/>
  <c r="Z60" i="16"/>
  <c r="Z234" i="16"/>
  <c r="Z58" i="16"/>
  <c r="Z338" i="16"/>
  <c r="Z297" i="16"/>
  <c r="Z159" i="16"/>
  <c r="Z183" i="16"/>
  <c r="Z73" i="16"/>
  <c r="Z172" i="16"/>
  <c r="Z331" i="16"/>
  <c r="Z273" i="16"/>
  <c r="Z118" i="16"/>
  <c r="Z317" i="16"/>
  <c r="Z221" i="16"/>
  <c r="Z129" i="16"/>
  <c r="Z236" i="16"/>
  <c r="Z270" i="16"/>
  <c r="Z238" i="16"/>
  <c r="Z165" i="16"/>
  <c r="Z322" i="16"/>
  <c r="Z170" i="16"/>
  <c r="Z146" i="16"/>
  <c r="Z61" i="16"/>
  <c r="Z95" i="16"/>
  <c r="Z307" i="16"/>
  <c r="Z101" i="16"/>
  <c r="Z314" i="16"/>
  <c r="Z323" i="16"/>
  <c r="Z97" i="16"/>
  <c r="Z326" i="16"/>
  <c r="Z229" i="16"/>
  <c r="Z122" i="16"/>
  <c r="Z333" i="16"/>
  <c r="Z112" i="16"/>
  <c r="Z210" i="16"/>
  <c r="Z64" i="16"/>
  <c r="Z173" i="16"/>
  <c r="Z199" i="16"/>
  <c r="Z225" i="16"/>
  <c r="Z85" i="16"/>
  <c r="Z144" i="16"/>
  <c r="Z142" i="16"/>
  <c r="Z302" i="16"/>
  <c r="Z123" i="16"/>
  <c r="Z281" i="16"/>
  <c r="Z262" i="16"/>
  <c r="Z54" i="16"/>
  <c r="Z296" i="16"/>
  <c r="Z59" i="16"/>
  <c r="Z70" i="16"/>
  <c r="Z72" i="16"/>
  <c r="C109" i="9"/>
  <c r="C101" i="9"/>
  <c r="C108" i="9"/>
  <c r="D108" i="9" s="1"/>
  <c r="C102" i="9"/>
  <c r="C105" i="9"/>
  <c r="C103" i="9"/>
  <c r="C107" i="9"/>
  <c r="C106" i="9"/>
  <c r="C100" i="9"/>
  <c r="C104" i="9"/>
  <c r="Z91" i="16"/>
  <c r="Z106" i="16"/>
  <c r="Z98" i="16"/>
  <c r="Z141" i="16"/>
  <c r="Z150" i="16"/>
  <c r="Z51" i="16"/>
  <c r="Z264" i="16"/>
  <c r="Z177" i="16"/>
  <c r="Z312" i="16"/>
  <c r="Z318" i="16"/>
  <c r="Z242" i="16"/>
  <c r="Z278" i="16"/>
  <c r="Z233" i="16"/>
  <c r="Z231" i="16"/>
  <c r="Z261" i="16"/>
  <c r="Z316" i="16"/>
  <c r="Z49" i="16"/>
  <c r="Z208" i="16"/>
  <c r="Z240" i="16"/>
  <c r="Z325" i="16"/>
  <c r="Z310" i="16"/>
  <c r="Z259" i="16"/>
  <c r="Z133" i="16"/>
  <c r="Z53" i="16"/>
  <c r="Z105" i="16"/>
  <c r="Z176" i="16"/>
  <c r="Z276" i="16"/>
  <c r="Z110" i="16"/>
  <c r="Z136" i="16"/>
  <c r="Z203" i="16"/>
  <c r="Z92" i="16"/>
  <c r="Z315" i="16"/>
  <c r="Z192" i="16"/>
  <c r="Z81" i="16"/>
  <c r="Z155" i="16"/>
  <c r="Z213" i="16"/>
  <c r="Z168" i="16"/>
  <c r="Z137" i="16"/>
  <c r="Z102" i="16"/>
  <c r="Z319" i="16"/>
  <c r="Z178" i="16"/>
  <c r="Z255" i="16"/>
  <c r="Z218" i="16"/>
  <c r="Z293" i="16"/>
  <c r="Z235" i="16"/>
  <c r="Z324" i="16"/>
  <c r="Z145" i="16"/>
  <c r="Z286" i="16"/>
  <c r="Z244" i="16"/>
  <c r="Z227" i="16"/>
  <c r="Z111" i="16"/>
  <c r="Z207" i="16"/>
  <c r="Z180" i="16"/>
  <c r="Z107" i="16"/>
  <c r="C23" i="1"/>
  <c r="P21" i="7"/>
  <c r="R21" i="7"/>
  <c r="T21" i="7"/>
  <c r="Q21" i="7"/>
  <c r="S21" i="7"/>
  <c r="F23" i="1" l="1"/>
  <c r="D23" i="1"/>
  <c r="D105" i="9"/>
  <c r="AB130" i="16"/>
  <c r="AI58" i="17"/>
  <c r="D28" i="17"/>
  <c r="D67" i="9"/>
  <c r="AB268" i="16"/>
  <c r="D27" i="17"/>
  <c r="AI60" i="17"/>
  <c r="D107" i="9"/>
  <c r="D104" i="9"/>
  <c r="D103" i="9"/>
  <c r="D101" i="9"/>
  <c r="D60" i="9"/>
  <c r="AB321" i="16"/>
  <c r="D72" i="9"/>
  <c r="AB126" i="16"/>
  <c r="AB132" i="16"/>
  <c r="AB305" i="16"/>
  <c r="D35" i="7"/>
  <c r="AB241" i="16"/>
  <c r="AB286" i="16"/>
  <c r="AB175" i="16"/>
  <c r="P34" i="11"/>
  <c r="M34" i="11" s="1"/>
  <c r="P28" i="11"/>
  <c r="M28" i="11" s="1"/>
  <c r="AH59" i="9"/>
  <c r="D65" i="9"/>
  <c r="AB174" i="16"/>
  <c r="AB278" i="16"/>
  <c r="E61" i="17"/>
  <c r="D38" i="7"/>
  <c r="D21" i="9"/>
  <c r="AB304" i="16"/>
  <c r="AB166" i="16"/>
  <c r="G22" i="8"/>
  <c r="E40" i="8"/>
  <c r="AB323" i="16"/>
  <c r="AB57" i="16"/>
  <c r="AB254" i="16"/>
  <c r="AB189" i="16"/>
  <c r="D78" i="9"/>
  <c r="AB98" i="16"/>
  <c r="AB196" i="16"/>
  <c r="AB113" i="16"/>
  <c r="AB159" i="16"/>
  <c r="D32" i="7"/>
  <c r="AE29" i="16"/>
  <c r="AB29" i="16" s="1"/>
  <c r="AB20" i="16"/>
  <c r="AE20" i="16"/>
  <c r="AB317" i="16"/>
  <c r="AB233" i="16"/>
  <c r="AB69" i="16"/>
  <c r="AB253" i="16"/>
  <c r="D37" i="7"/>
  <c r="D89" i="9"/>
  <c r="C94" i="9"/>
  <c r="CC18" i="16"/>
  <c r="D35" i="9"/>
  <c r="D32" i="9"/>
  <c r="AM23" i="16"/>
  <c r="AB122" i="16"/>
  <c r="AB50" i="16"/>
  <c r="D76" i="9"/>
  <c r="D40" i="8"/>
  <c r="D22" i="8"/>
  <c r="AM19" i="16"/>
  <c r="F45" i="8"/>
  <c r="D37" i="9"/>
  <c r="AB48" i="16"/>
  <c r="AF48" i="16"/>
  <c r="E68" i="17"/>
  <c r="C36" i="17"/>
  <c r="C38" i="17" s="1"/>
  <c r="AB106" i="16"/>
  <c r="AB139" i="16"/>
  <c r="AB208" i="16"/>
  <c r="P37" i="11"/>
  <c r="M37" i="11" s="1"/>
  <c r="AB115" i="16"/>
  <c r="M30" i="11"/>
  <c r="P30" i="11"/>
  <c r="AE32" i="16"/>
  <c r="AB32" i="16"/>
  <c r="AB93" i="16"/>
  <c r="D109" i="9"/>
  <c r="AB124" i="16"/>
  <c r="AB60" i="16"/>
  <c r="AB80" i="16"/>
  <c r="AB143" i="16"/>
  <c r="AE19" i="16"/>
  <c r="AB19" i="16"/>
  <c r="AB292" i="16"/>
  <c r="AB271" i="16"/>
  <c r="AB123" i="16"/>
  <c r="AH60" i="9"/>
  <c r="D69" i="9"/>
  <c r="AB173" i="16"/>
  <c r="AB195" i="16"/>
  <c r="AB107" i="16"/>
  <c r="AB51" i="16"/>
  <c r="AB88" i="16"/>
  <c r="AB151" i="16"/>
  <c r="AB117" i="16"/>
  <c r="AB162" i="16"/>
  <c r="AB209" i="16"/>
  <c r="AB129" i="16"/>
  <c r="AB336" i="16"/>
  <c r="P31" i="11"/>
  <c r="M31" i="11" s="1"/>
  <c r="S28" i="11" s="1"/>
  <c r="AB324" i="16"/>
  <c r="AE21" i="16"/>
  <c r="AB21" i="16"/>
  <c r="AH20" i="16" s="1"/>
  <c r="AI20" i="16" s="1"/>
  <c r="AB82" i="16"/>
  <c r="E26" i="17"/>
  <c r="AJ59" i="17"/>
  <c r="AB211" i="16"/>
  <c r="C44" i="8"/>
  <c r="AB294" i="16"/>
  <c r="AB92" i="16"/>
  <c r="D46" i="9"/>
  <c r="F46" i="8"/>
  <c r="AM18" i="16"/>
  <c r="AB276" i="16"/>
  <c r="D66" i="9"/>
  <c r="R86" i="7"/>
  <c r="S86" i="7" s="1"/>
  <c r="D41" i="9"/>
  <c r="AB265" i="16"/>
  <c r="D33" i="7"/>
  <c r="E28" i="17"/>
  <c r="D40" i="9"/>
  <c r="D49" i="9"/>
  <c r="D75" i="9"/>
  <c r="AB234" i="16"/>
  <c r="AB116" i="16"/>
  <c r="AB269" i="16"/>
  <c r="AB83" i="16"/>
  <c r="C111" i="9"/>
  <c r="D100" i="9"/>
  <c r="AB86" i="16"/>
  <c r="AB119" i="16"/>
  <c r="AB133" i="16"/>
  <c r="AL54" i="17"/>
  <c r="G27" i="17" s="1"/>
  <c r="P39" i="11"/>
  <c r="M39" i="11"/>
  <c r="AH61" i="9"/>
  <c r="AI61" i="9" s="1"/>
  <c r="D71" i="9"/>
  <c r="AB309" i="16"/>
  <c r="AB111" i="16"/>
  <c r="AL52" i="17"/>
  <c r="G28" i="17" s="1"/>
  <c r="AB284" i="16"/>
  <c r="D62" i="9"/>
  <c r="AH58" i="9"/>
  <c r="D106" i="9"/>
  <c r="D102" i="9"/>
  <c r="AL53" i="17"/>
  <c r="G26" i="17" s="1"/>
  <c r="AE27" i="16"/>
  <c r="AB27" i="16" s="1"/>
  <c r="AH60" i="17"/>
  <c r="C27" i="17"/>
  <c r="P38" i="11"/>
  <c r="M38" i="11" s="1"/>
  <c r="D59" i="9"/>
  <c r="D40" i="7"/>
  <c r="AE28" i="16"/>
  <c r="AB28" i="16" s="1"/>
  <c r="P33" i="11"/>
  <c r="M33" i="11"/>
  <c r="D39" i="7"/>
  <c r="AB73" i="16"/>
  <c r="AB293" i="16"/>
  <c r="M26" i="11"/>
  <c r="P26" i="11"/>
  <c r="D63" i="9"/>
  <c r="AB300" i="16"/>
  <c r="D77" i="9"/>
  <c r="AB55" i="16"/>
  <c r="AB87" i="16"/>
  <c r="AB330" i="16"/>
  <c r="AB201" i="16"/>
  <c r="AB260" i="16"/>
  <c r="AB314" i="16"/>
  <c r="P27" i="11"/>
  <c r="M27" i="11" s="1"/>
  <c r="D73" i="9"/>
  <c r="AB65" i="16"/>
  <c r="D35" i="8"/>
  <c r="AE22" i="16"/>
  <c r="AB22" i="16" s="1"/>
  <c r="AI61" i="17"/>
  <c r="D29" i="17"/>
  <c r="AB311" i="16"/>
  <c r="C26" i="17"/>
  <c r="AH59" i="17"/>
  <c r="AB145" i="16"/>
  <c r="E27" i="17"/>
  <c r="AJ60" i="17"/>
  <c r="AB277" i="16"/>
  <c r="AB232" i="16"/>
  <c r="AB61" i="16"/>
  <c r="AB118" i="16"/>
  <c r="AB53" i="16"/>
  <c r="C23" i="9"/>
  <c r="S11" i="7" s="1"/>
  <c r="D17" i="9"/>
  <c r="AB214" i="16"/>
  <c r="AB58" i="16"/>
  <c r="AB252" i="16"/>
  <c r="C29" i="17"/>
  <c r="AH61" i="17"/>
  <c r="AB163" i="16"/>
  <c r="AB135" i="16"/>
  <c r="AB299" i="16"/>
  <c r="AB125" i="16"/>
  <c r="C41" i="8"/>
  <c r="AB283" i="16"/>
  <c r="AB282" i="16"/>
  <c r="AE30" i="16"/>
  <c r="AB30" i="16" s="1"/>
  <c r="E66" i="17"/>
  <c r="D39" i="9"/>
  <c r="E60" i="17"/>
  <c r="AM22" i="16"/>
  <c r="AB141" i="16"/>
  <c r="D33" i="9"/>
  <c r="D74" i="9"/>
  <c r="AB296" i="16"/>
  <c r="AB179" i="16"/>
  <c r="C51" i="9"/>
  <c r="D36" i="9"/>
  <c r="AH57" i="9"/>
  <c r="D57" i="9"/>
  <c r="D82" i="9" s="1"/>
  <c r="C82" i="9"/>
  <c r="AE25" i="16"/>
  <c r="AB25" i="16" s="1"/>
  <c r="AB23" i="16"/>
  <c r="AE23" i="16"/>
  <c r="D47" i="9"/>
  <c r="S30" i="11"/>
  <c r="T30" i="11" s="1"/>
  <c r="S36" i="11"/>
  <c r="T36" i="11" s="1"/>
  <c r="S25" i="11"/>
  <c r="S31" i="11"/>
  <c r="T31" i="11" s="1"/>
  <c r="S26" i="11"/>
  <c r="AB99" i="16"/>
  <c r="P36" i="11"/>
  <c r="M36" i="11" s="1"/>
  <c r="S35" i="11" s="1"/>
  <c r="T35" i="11" s="1"/>
  <c r="P35" i="11"/>
  <c r="M35" i="11" s="1"/>
  <c r="AB194" i="16"/>
  <c r="AB164" i="16"/>
  <c r="AB298" i="16"/>
  <c r="AB127" i="16"/>
  <c r="AB52" i="16"/>
  <c r="AB213" i="16"/>
  <c r="AB102" i="16"/>
  <c r="D37" i="1"/>
  <c r="AB332" i="16"/>
  <c r="AB328" i="16"/>
  <c r="AB250" i="16"/>
  <c r="AB238" i="16"/>
  <c r="AB297" i="16"/>
  <c r="AB272" i="16"/>
  <c r="AE31" i="16"/>
  <c r="AB31" i="16" s="1"/>
  <c r="AB291" i="16"/>
  <c r="AB247" i="16"/>
  <c r="AB110" i="16"/>
  <c r="AB262" i="16"/>
  <c r="D68" i="9"/>
  <c r="AB236" i="16"/>
  <c r="AH19" i="16"/>
  <c r="AI19" i="16" s="1"/>
  <c r="AH18" i="16"/>
  <c r="AI18" i="16" s="1"/>
  <c r="AB285" i="16"/>
  <c r="D20" i="9"/>
  <c r="AB172" i="16"/>
  <c r="P32" i="11"/>
  <c r="M32" i="11" s="1"/>
  <c r="AB120" i="16"/>
  <c r="AB270" i="16"/>
  <c r="AB230" i="16"/>
  <c r="AF47" i="16"/>
  <c r="AB47" i="16"/>
  <c r="AB207" i="16"/>
  <c r="AB288" i="16"/>
  <c r="AB137" i="16"/>
  <c r="AB72" i="16"/>
  <c r="AB90" i="16"/>
  <c r="D34" i="7"/>
  <c r="AE26" i="16"/>
  <c r="AB26" i="16" s="1"/>
  <c r="E29" i="17"/>
  <c r="AJ61" i="17"/>
  <c r="AB156" i="16"/>
  <c r="AB64" i="16"/>
  <c r="D58" i="9"/>
  <c r="D24" i="7"/>
  <c r="AM24" i="16"/>
  <c r="CC19" i="16"/>
  <c r="D91" i="9"/>
  <c r="CD19" i="16" s="1"/>
  <c r="D36" i="7"/>
  <c r="C35" i="8"/>
  <c r="Q49" i="7"/>
  <c r="C26" i="7" s="1"/>
  <c r="D26" i="7" s="1"/>
  <c r="D18" i="9"/>
  <c r="AB56" i="16"/>
  <c r="P40" i="11"/>
  <c r="M40" i="11" s="1"/>
  <c r="D38" i="9"/>
  <c r="D43" i="9"/>
  <c r="D50" i="7"/>
  <c r="D42" i="9"/>
  <c r="AB320" i="16"/>
  <c r="AI59" i="17"/>
  <c r="D26" i="17"/>
  <c r="C28" i="17"/>
  <c r="H28" i="17" s="1"/>
  <c r="AH58" i="17"/>
  <c r="C43" i="8"/>
  <c r="D48" i="9"/>
  <c r="AB235" i="16"/>
  <c r="D31" i="9"/>
  <c r="D34" i="9"/>
  <c r="D90" i="9"/>
  <c r="D46" i="7"/>
  <c r="C42" i="8"/>
  <c r="D64" i="9"/>
  <c r="D44" i="9"/>
  <c r="C40" i="8"/>
  <c r="C22" i="8"/>
  <c r="G25" i="11" s="1"/>
  <c r="G26" i="11" s="1"/>
  <c r="D70" i="9"/>
  <c r="E52" i="17"/>
  <c r="U28" i="11" l="1"/>
  <c r="T28" i="11"/>
  <c r="V28" i="11" s="1"/>
  <c r="S33" i="11"/>
  <c r="T33" i="11" s="1"/>
  <c r="G45" i="8"/>
  <c r="I45" i="8"/>
  <c r="H45" i="8"/>
  <c r="AM15" i="16"/>
  <c r="C47" i="8"/>
  <c r="F40" i="8"/>
  <c r="G40" i="8"/>
  <c r="AM25" i="16"/>
  <c r="AN25" i="16" s="1"/>
  <c r="AH21" i="16"/>
  <c r="AI21" i="16" s="1"/>
  <c r="AH22" i="16"/>
  <c r="AI22" i="16" s="1"/>
  <c r="S34" i="11"/>
  <c r="T34" i="11" s="1"/>
  <c r="D23" i="7"/>
  <c r="H29" i="17"/>
  <c r="H26" i="17"/>
  <c r="H27" i="17"/>
  <c r="D25" i="7"/>
  <c r="AJ58" i="17"/>
  <c r="I46" i="8"/>
  <c r="H46" i="8"/>
  <c r="D20" i="7"/>
  <c r="D47" i="8"/>
  <c r="H40" i="8"/>
  <c r="CD18" i="16"/>
  <c r="D94" i="9"/>
  <c r="E47" i="8"/>
  <c r="I40" i="8"/>
  <c r="AI23" i="16"/>
  <c r="S39" i="11"/>
  <c r="T39" i="11" s="1"/>
  <c r="S40" i="11"/>
  <c r="T40" i="11" s="1"/>
  <c r="S37" i="11"/>
  <c r="T37" i="11" s="1"/>
  <c r="U25" i="11"/>
  <c r="T25" i="11"/>
  <c r="V25" i="11" s="1"/>
  <c r="S29" i="11"/>
  <c r="T29" i="11" s="1"/>
  <c r="S38" i="11"/>
  <c r="T38" i="11" s="1"/>
  <c r="AI57" i="9"/>
  <c r="D22" i="7"/>
  <c r="D21" i="7"/>
  <c r="F41" i="8"/>
  <c r="AM13" i="16"/>
  <c r="G46" i="8"/>
  <c r="F44" i="8"/>
  <c r="AM14" i="16"/>
  <c r="AA62" i="16"/>
  <c r="AA228" i="16"/>
  <c r="AA178" i="16"/>
  <c r="AA240" i="16"/>
  <c r="AA67" i="16"/>
  <c r="AA312" i="16"/>
  <c r="AA290" i="16"/>
  <c r="AA239" i="16"/>
  <c r="AA192" i="16"/>
  <c r="AA326" i="16"/>
  <c r="AA202" i="16"/>
  <c r="AA193" i="16"/>
  <c r="AA131" i="16"/>
  <c r="AA198" i="16"/>
  <c r="AA150" i="16"/>
  <c r="AA224" i="16"/>
  <c r="AA59" i="16"/>
  <c r="AA183" i="16"/>
  <c r="AA153" i="16"/>
  <c r="AA267" i="16"/>
  <c r="AA101" i="16"/>
  <c r="AA134" i="16"/>
  <c r="AA184" i="16"/>
  <c r="AA176" i="16"/>
  <c r="AA168" i="16"/>
  <c r="AA327" i="16"/>
  <c r="AA310" i="16"/>
  <c r="AA333" i="16"/>
  <c r="AA185" i="16"/>
  <c r="AA258" i="16"/>
  <c r="AA221" i="16"/>
  <c r="AA165" i="16"/>
  <c r="AA79" i="16"/>
  <c r="AA199" i="16"/>
  <c r="AA279" i="16"/>
  <c r="AA329" i="16"/>
  <c r="AA231" i="16"/>
  <c r="AA289" i="16"/>
  <c r="AA140" i="16"/>
  <c r="AA94" i="16"/>
  <c r="AA307" i="16"/>
  <c r="AA316" i="16"/>
  <c r="AA146" i="16"/>
  <c r="AA337" i="16"/>
  <c r="AA295" i="16"/>
  <c r="AA261" i="16"/>
  <c r="AA171" i="16"/>
  <c r="AA197" i="16"/>
  <c r="AA244" i="16"/>
  <c r="AA100" i="16"/>
  <c r="AA212" i="16"/>
  <c r="AA248" i="16"/>
  <c r="AA204" i="16"/>
  <c r="AA335" i="16"/>
  <c r="AA154" i="16"/>
  <c r="AA144" i="16"/>
  <c r="AA161" i="16"/>
  <c r="AA281" i="16"/>
  <c r="AA318" i="16"/>
  <c r="AA138" i="16"/>
  <c r="AA200" i="16"/>
  <c r="AA245" i="16"/>
  <c r="AA259" i="16"/>
  <c r="AA205" i="16"/>
  <c r="AA274" i="16"/>
  <c r="AA303" i="16"/>
  <c r="AA109" i="16"/>
  <c r="AA81" i="16"/>
  <c r="AA225" i="16"/>
  <c r="AA322" i="16"/>
  <c r="AA84" i="16"/>
  <c r="AA182" i="16"/>
  <c r="AA222" i="16"/>
  <c r="AA319" i="16"/>
  <c r="AA49" i="16"/>
  <c r="AA243" i="16"/>
  <c r="AA256" i="16"/>
  <c r="AA275" i="16"/>
  <c r="AA108" i="16"/>
  <c r="AA273" i="16"/>
  <c r="AA187" i="16"/>
  <c r="AA251" i="16"/>
  <c r="AA315" i="16"/>
  <c r="AA96" i="16"/>
  <c r="AA155" i="16"/>
  <c r="AA160" i="16"/>
  <c r="AA181" i="16"/>
  <c r="AA188" i="16"/>
  <c r="AA71" i="16"/>
  <c r="AA220" i="16"/>
  <c r="AA246" i="16"/>
  <c r="AA186" i="16"/>
  <c r="AA218" i="16"/>
  <c r="AA216" i="16"/>
  <c r="AA76" i="16"/>
  <c r="AA338" i="16"/>
  <c r="AA103" i="16"/>
  <c r="AA266" i="16"/>
  <c r="AA242" i="16"/>
  <c r="AA263" i="16"/>
  <c r="AA301" i="16"/>
  <c r="AA152" i="16"/>
  <c r="AA306" i="16"/>
  <c r="AA226" i="16"/>
  <c r="AA89" i="16"/>
  <c r="AA158" i="16"/>
  <c r="AA148" i="16"/>
  <c r="AA169" i="16"/>
  <c r="AA157" i="16"/>
  <c r="AA191" i="16"/>
  <c r="AA229" i="16"/>
  <c r="AA68" i="16"/>
  <c r="AA206" i="16"/>
  <c r="AA121" i="16"/>
  <c r="AA149" i="16"/>
  <c r="AA217" i="16"/>
  <c r="AA85" i="16"/>
  <c r="AA264" i="16"/>
  <c r="AA104" i="16"/>
  <c r="AA128" i="16"/>
  <c r="AA97" i="16"/>
  <c r="AA63" i="16"/>
  <c r="AA325" i="16"/>
  <c r="AA75" i="16"/>
  <c r="AA219" i="16"/>
  <c r="AA105" i="16"/>
  <c r="AA77" i="16"/>
  <c r="AA287" i="16"/>
  <c r="AA334" i="16"/>
  <c r="AA78" i="16"/>
  <c r="AA331" i="16"/>
  <c r="AA147" i="16"/>
  <c r="AA114" i="16"/>
  <c r="AA54" i="16"/>
  <c r="AA257" i="16"/>
  <c r="AA136" i="16"/>
  <c r="AA74" i="16"/>
  <c r="AA223" i="16"/>
  <c r="AA302" i="16"/>
  <c r="AA167" i="16"/>
  <c r="AA308" i="16"/>
  <c r="AA249" i="16"/>
  <c r="AA142" i="16"/>
  <c r="AA180" i="16"/>
  <c r="AA70" i="16"/>
  <c r="AA227" i="16"/>
  <c r="AA255" i="16"/>
  <c r="AA66" i="16"/>
  <c r="AA237" i="16"/>
  <c r="AA170" i="16"/>
  <c r="AA313" i="16"/>
  <c r="AA112" i="16"/>
  <c r="AA190" i="16"/>
  <c r="AA215" i="16"/>
  <c r="AA280" i="16"/>
  <c r="AA91" i="16"/>
  <c r="AA177" i="16"/>
  <c r="AA95" i="16"/>
  <c r="AA210" i="16"/>
  <c r="AA203" i="16"/>
  <c r="D18" i="7"/>
  <c r="AI59" i="9"/>
  <c r="AI60" i="9"/>
  <c r="AM17" i="16"/>
  <c r="AN17" i="16" s="1"/>
  <c r="F42" i="8"/>
  <c r="G42" i="8"/>
  <c r="D51" i="9"/>
  <c r="AM16" i="16"/>
  <c r="AN16" i="16" s="1"/>
  <c r="F43" i="8"/>
  <c r="G43" i="8"/>
  <c r="T26" i="11"/>
  <c r="V26" i="11" s="1"/>
  <c r="U26" i="11"/>
  <c r="S27" i="11"/>
  <c r="S32" i="11"/>
  <c r="T32" i="11" s="1"/>
  <c r="D19" i="7"/>
  <c r="D23" i="9"/>
  <c r="AI58" i="9"/>
  <c r="D111" i="9"/>
  <c r="AN18" i="16"/>
  <c r="AB177" i="16" l="1"/>
  <c r="AF177" i="16"/>
  <c r="AB70" i="16"/>
  <c r="AF70" i="16"/>
  <c r="AB114" i="16"/>
  <c r="AF114" i="16"/>
  <c r="AB97" i="16"/>
  <c r="AF97" i="16"/>
  <c r="AB157" i="16"/>
  <c r="AF157" i="16"/>
  <c r="AB103" i="16"/>
  <c r="AF103" i="16"/>
  <c r="AB155" i="16"/>
  <c r="AF155" i="16"/>
  <c r="AB222" i="16"/>
  <c r="AF222" i="16"/>
  <c r="AB200" i="16"/>
  <c r="AF200" i="16"/>
  <c r="AB244" i="16"/>
  <c r="AF244" i="16"/>
  <c r="AB231" i="16"/>
  <c r="AF231" i="16"/>
  <c r="AB168" i="16"/>
  <c r="AF168" i="16"/>
  <c r="AF131" i="16"/>
  <c r="AB131" i="16"/>
  <c r="AB62" i="16"/>
  <c r="AF62" i="16"/>
  <c r="AN15" i="16"/>
  <c r="AB210" i="16"/>
  <c r="AF210" i="16"/>
  <c r="AB280" i="16"/>
  <c r="AF280" i="16"/>
  <c r="AB255" i="16"/>
  <c r="AF255" i="16"/>
  <c r="AN23" i="16"/>
  <c r="U27" i="11"/>
  <c r="T27" i="11"/>
  <c r="V27" i="11" s="1"/>
  <c r="I43" i="8"/>
  <c r="H43" i="8"/>
  <c r="I42" i="8"/>
  <c r="H42" i="8"/>
  <c r="AB95" i="16"/>
  <c r="AF95" i="16"/>
  <c r="AB215" i="16"/>
  <c r="AF215" i="16"/>
  <c r="AB170" i="16"/>
  <c r="AF170" i="16"/>
  <c r="AB227" i="16"/>
  <c r="AF227" i="16"/>
  <c r="AF249" i="16"/>
  <c r="AB249" i="16"/>
  <c r="AB223" i="16"/>
  <c r="AF223" i="16"/>
  <c r="AB54" i="16"/>
  <c r="AF54" i="16"/>
  <c r="AB78" i="16"/>
  <c r="AF78" i="16"/>
  <c r="AB105" i="16"/>
  <c r="AF105" i="16"/>
  <c r="AB63" i="16"/>
  <c r="AF63" i="16"/>
  <c r="AF264" i="16"/>
  <c r="AB264" i="16"/>
  <c r="AB121" i="16"/>
  <c r="AF121" i="16"/>
  <c r="AB191" i="16"/>
  <c r="AF191" i="16"/>
  <c r="AB158" i="16"/>
  <c r="AF158" i="16"/>
  <c r="AB152" i="16"/>
  <c r="AF152" i="16"/>
  <c r="AB266" i="16"/>
  <c r="AF266" i="16"/>
  <c r="AB216" i="16"/>
  <c r="AF216" i="16"/>
  <c r="AB220" i="16"/>
  <c r="AF220" i="16"/>
  <c r="AB160" i="16"/>
  <c r="AF160" i="16"/>
  <c r="AB251" i="16"/>
  <c r="AF251" i="16"/>
  <c r="AB275" i="16"/>
  <c r="AF275" i="16"/>
  <c r="AB319" i="16"/>
  <c r="AF319" i="16"/>
  <c r="AB322" i="16"/>
  <c r="AF322" i="16"/>
  <c r="AB303" i="16"/>
  <c r="AF303" i="16"/>
  <c r="AB245" i="16"/>
  <c r="AF245" i="16"/>
  <c r="AF281" i="16"/>
  <c r="AB281" i="16"/>
  <c r="AB335" i="16"/>
  <c r="AF335" i="16"/>
  <c r="AB100" i="16"/>
  <c r="AF100" i="16"/>
  <c r="AB261" i="16"/>
  <c r="AF261" i="16"/>
  <c r="AB316" i="16"/>
  <c r="AF316" i="16"/>
  <c r="AB289" i="16"/>
  <c r="AF289" i="16"/>
  <c r="AB199" i="16"/>
  <c r="AF199" i="16"/>
  <c r="AB258" i="16"/>
  <c r="AF258" i="16"/>
  <c r="AB327" i="16"/>
  <c r="AF327" i="16"/>
  <c r="AB134" i="16"/>
  <c r="AF134" i="16"/>
  <c r="AB183" i="16"/>
  <c r="AF183" i="16"/>
  <c r="AB198" i="16"/>
  <c r="AF198" i="16"/>
  <c r="AB326" i="16"/>
  <c r="AF326" i="16"/>
  <c r="AB312" i="16"/>
  <c r="AF312" i="16"/>
  <c r="AB228" i="16"/>
  <c r="AF228" i="16"/>
  <c r="AN24" i="16"/>
  <c r="AN19" i="16"/>
  <c r="AB237" i="16"/>
  <c r="AF237" i="16"/>
  <c r="AB74" i="16"/>
  <c r="AF74" i="16"/>
  <c r="AB219" i="16"/>
  <c r="AF219" i="16"/>
  <c r="AB206" i="16"/>
  <c r="AF206" i="16"/>
  <c r="AB301" i="16"/>
  <c r="AF301" i="16"/>
  <c r="AB71" i="16"/>
  <c r="AF71" i="16"/>
  <c r="AB256" i="16"/>
  <c r="AF256" i="16"/>
  <c r="AB274" i="16"/>
  <c r="AF274" i="16"/>
  <c r="AF161" i="16"/>
  <c r="AB161" i="16"/>
  <c r="AB295" i="16"/>
  <c r="AF295" i="16"/>
  <c r="AB79" i="16"/>
  <c r="AF79" i="16"/>
  <c r="AB101" i="16"/>
  <c r="AF101" i="16"/>
  <c r="AB192" i="16"/>
  <c r="AF192" i="16"/>
  <c r="AN13" i="16"/>
  <c r="AB203" i="16"/>
  <c r="AF203" i="16"/>
  <c r="AB112" i="16"/>
  <c r="AF112" i="16"/>
  <c r="AB66" i="16"/>
  <c r="AF66" i="16"/>
  <c r="AB180" i="16"/>
  <c r="AF180" i="16"/>
  <c r="AB167" i="16"/>
  <c r="AF167" i="16"/>
  <c r="AB136" i="16"/>
  <c r="AF136" i="16"/>
  <c r="AB147" i="16"/>
  <c r="AF147" i="16"/>
  <c r="AB287" i="16"/>
  <c r="AF287" i="16"/>
  <c r="AB75" i="16"/>
  <c r="AF75" i="16"/>
  <c r="AB128" i="16"/>
  <c r="AF128" i="16"/>
  <c r="AB217" i="16"/>
  <c r="AF217" i="16"/>
  <c r="AB68" i="16"/>
  <c r="AF68" i="16"/>
  <c r="AB169" i="16"/>
  <c r="AF169" i="16"/>
  <c r="AB226" i="16"/>
  <c r="AF226" i="16"/>
  <c r="AB263" i="16"/>
  <c r="AF263" i="16"/>
  <c r="AB338" i="16"/>
  <c r="AF338" i="16"/>
  <c r="AB186" i="16"/>
  <c r="AF186" i="16"/>
  <c r="AB188" i="16"/>
  <c r="AF188" i="16"/>
  <c r="AB96" i="16"/>
  <c r="AF96" i="16"/>
  <c r="AB273" i="16"/>
  <c r="AF273" i="16"/>
  <c r="AB243" i="16"/>
  <c r="AF243" i="16"/>
  <c r="AB182" i="16"/>
  <c r="AF182" i="16"/>
  <c r="AB81" i="16"/>
  <c r="AF81" i="16"/>
  <c r="AB205" i="16"/>
  <c r="AF205" i="16"/>
  <c r="AB138" i="16"/>
  <c r="AF138" i="16"/>
  <c r="AB144" i="16"/>
  <c r="AF144" i="16"/>
  <c r="AB248" i="16"/>
  <c r="AF248" i="16"/>
  <c r="AB197" i="16"/>
  <c r="AF197" i="16"/>
  <c r="AB337" i="16"/>
  <c r="AF337" i="16"/>
  <c r="AB94" i="16"/>
  <c r="AF94" i="16"/>
  <c r="AB329" i="16"/>
  <c r="AF329" i="16"/>
  <c r="AB165" i="16"/>
  <c r="AF165" i="16"/>
  <c r="AB333" i="16"/>
  <c r="AF333" i="16"/>
  <c r="AB176" i="16"/>
  <c r="AF176" i="16"/>
  <c r="AB267" i="16"/>
  <c r="AF267" i="16"/>
  <c r="AB224" i="16"/>
  <c r="AF224" i="16"/>
  <c r="AB193" i="16"/>
  <c r="AF193" i="16"/>
  <c r="AB239" i="16"/>
  <c r="AF239" i="16"/>
  <c r="AB240" i="16"/>
  <c r="AF240" i="16"/>
  <c r="AN14" i="16"/>
  <c r="G41" i="8"/>
  <c r="I41" i="8"/>
  <c r="H41" i="8"/>
  <c r="AB190" i="16"/>
  <c r="AF190" i="16"/>
  <c r="AB308" i="16"/>
  <c r="AF308" i="16"/>
  <c r="AB334" i="16"/>
  <c r="AF334" i="16"/>
  <c r="AB85" i="16"/>
  <c r="AF85" i="16"/>
  <c r="AB89" i="16"/>
  <c r="AF89" i="16"/>
  <c r="AB218" i="16"/>
  <c r="AF218" i="16"/>
  <c r="AB187" i="16"/>
  <c r="AF187" i="16"/>
  <c r="AB225" i="16"/>
  <c r="AF225" i="16"/>
  <c r="AB204" i="16"/>
  <c r="AF204" i="16"/>
  <c r="AB307" i="16"/>
  <c r="AF307" i="16"/>
  <c r="AB185" i="16"/>
  <c r="AF185" i="16"/>
  <c r="AB59" i="16"/>
  <c r="AF59" i="16"/>
  <c r="AF67" i="16"/>
  <c r="AB67" i="16"/>
  <c r="AN22" i="16"/>
  <c r="AB91" i="16"/>
  <c r="AF91" i="16"/>
  <c r="AB313" i="16"/>
  <c r="AF313" i="16"/>
  <c r="AB142" i="16"/>
  <c r="AF142" i="16"/>
  <c r="AB302" i="16"/>
  <c r="AF302" i="16"/>
  <c r="AB257" i="16"/>
  <c r="AF257" i="16"/>
  <c r="AB331" i="16"/>
  <c r="AF331" i="16"/>
  <c r="AB77" i="16"/>
  <c r="AF77" i="16"/>
  <c r="AB325" i="16"/>
  <c r="AF325" i="16"/>
  <c r="AB104" i="16"/>
  <c r="AF104" i="16"/>
  <c r="AB149" i="16"/>
  <c r="AF149" i="16"/>
  <c r="AB229" i="16"/>
  <c r="AF229" i="16"/>
  <c r="AB148" i="16"/>
  <c r="AF148" i="16"/>
  <c r="AB306" i="16"/>
  <c r="AF306" i="16"/>
  <c r="AB242" i="16"/>
  <c r="AF242" i="16"/>
  <c r="AB76" i="16"/>
  <c r="AF76" i="16"/>
  <c r="AB246" i="16"/>
  <c r="AF246" i="16"/>
  <c r="AB181" i="16"/>
  <c r="AF181" i="16"/>
  <c r="AF315" i="16"/>
  <c r="AB315" i="16"/>
  <c r="AB108" i="16"/>
  <c r="AF108" i="16"/>
  <c r="AF49" i="16"/>
  <c r="AB49" i="16"/>
  <c r="AF130" i="16"/>
  <c r="AF286" i="16"/>
  <c r="AF174" i="16"/>
  <c r="AF139" i="16"/>
  <c r="AF93" i="16"/>
  <c r="AF324" i="16"/>
  <c r="AF82" i="16"/>
  <c r="AF211" i="16"/>
  <c r="AF265" i="16"/>
  <c r="AF234" i="16"/>
  <c r="AF269" i="16"/>
  <c r="AF119" i="16"/>
  <c r="AF73" i="16"/>
  <c r="AF87" i="16"/>
  <c r="AF201" i="16"/>
  <c r="AF314" i="16"/>
  <c r="AF65" i="16"/>
  <c r="AF232" i="16"/>
  <c r="AF118" i="16"/>
  <c r="AF58" i="16"/>
  <c r="AF135" i="16"/>
  <c r="AF125" i="16"/>
  <c r="AF296" i="16"/>
  <c r="AF332" i="16"/>
  <c r="AF250" i="16"/>
  <c r="AF297" i="16"/>
  <c r="AF172" i="16"/>
  <c r="AF64" i="16"/>
  <c r="AF56" i="16"/>
  <c r="AF278" i="16"/>
  <c r="AF208" i="16"/>
  <c r="AF86" i="16"/>
  <c r="AF330" i="16"/>
  <c r="AF311" i="16"/>
  <c r="AF145" i="16"/>
  <c r="AF61" i="16"/>
  <c r="AF252" i="16"/>
  <c r="AF179" i="16"/>
  <c r="AF268" i="16"/>
  <c r="AF132" i="16"/>
  <c r="AF166" i="16"/>
  <c r="AF323" i="16"/>
  <c r="AF254" i="16"/>
  <c r="AF196" i="16"/>
  <c r="AF159" i="16"/>
  <c r="AF233" i="16"/>
  <c r="AF253" i="16"/>
  <c r="AF50" i="16"/>
  <c r="AF60" i="16"/>
  <c r="AF143" i="16"/>
  <c r="AF292" i="16"/>
  <c r="AF123" i="16"/>
  <c r="AF173" i="16"/>
  <c r="AF107" i="16"/>
  <c r="AF88" i="16"/>
  <c r="AF117" i="16"/>
  <c r="AF209" i="16"/>
  <c r="AF336" i="16"/>
  <c r="AF92" i="16"/>
  <c r="AF309" i="16"/>
  <c r="AF282" i="16"/>
  <c r="AF99" i="16"/>
  <c r="AF194" i="16"/>
  <c r="AF298" i="16"/>
  <c r="AF52" i="16"/>
  <c r="AF102" i="16"/>
  <c r="AF291" i="16"/>
  <c r="AF110" i="16"/>
  <c r="AF285" i="16"/>
  <c r="AF270" i="16"/>
  <c r="AF288" i="16"/>
  <c r="AF72" i="16"/>
  <c r="AF241" i="16"/>
  <c r="AF115" i="16"/>
  <c r="AF116" i="16"/>
  <c r="AF83" i="16"/>
  <c r="AF293" i="16"/>
  <c r="AF260" i="16"/>
  <c r="AF53" i="16"/>
  <c r="AF163" i="16"/>
  <c r="AF328" i="16"/>
  <c r="AF272" i="16"/>
  <c r="AF236" i="16"/>
  <c r="AF321" i="16"/>
  <c r="AF126" i="16"/>
  <c r="AF305" i="16"/>
  <c r="AF304" i="16"/>
  <c r="AF57" i="16"/>
  <c r="AF189" i="16"/>
  <c r="AF113" i="16"/>
  <c r="AF317" i="16"/>
  <c r="AF69" i="16"/>
  <c r="AF122" i="16"/>
  <c r="AF124" i="16"/>
  <c r="AF80" i="16"/>
  <c r="AF271" i="16"/>
  <c r="AF195" i="16"/>
  <c r="AF51" i="16"/>
  <c r="AF151" i="16"/>
  <c r="AF162" i="16"/>
  <c r="AF129" i="16"/>
  <c r="AF294" i="16"/>
  <c r="AF276" i="16"/>
  <c r="AF111" i="16"/>
  <c r="AF300" i="16"/>
  <c r="AF283" i="16"/>
  <c r="AF141" i="16"/>
  <c r="AF164" i="16"/>
  <c r="AF127" i="16"/>
  <c r="AF213" i="16"/>
  <c r="AF247" i="16"/>
  <c r="AF262" i="16"/>
  <c r="AF120" i="16"/>
  <c r="AF230" i="16"/>
  <c r="AF207" i="16"/>
  <c r="AF137" i="16"/>
  <c r="AF90" i="16"/>
  <c r="AF320" i="16"/>
  <c r="AF235" i="16"/>
  <c r="AF175" i="16"/>
  <c r="AF98" i="16"/>
  <c r="AF106" i="16"/>
  <c r="AF133" i="16"/>
  <c r="AF284" i="16"/>
  <c r="AF55" i="16"/>
  <c r="AF277" i="16"/>
  <c r="AF214" i="16"/>
  <c r="AF299" i="16"/>
  <c r="AF238" i="16"/>
  <c r="AF156" i="16"/>
  <c r="AB84" i="16"/>
  <c r="AF84" i="16"/>
  <c r="AB109" i="16"/>
  <c r="AF109" i="16"/>
  <c r="AB259" i="16"/>
  <c r="AF259" i="16"/>
  <c r="AB318" i="16"/>
  <c r="AF318" i="16"/>
  <c r="AB154" i="16"/>
  <c r="AF154" i="16"/>
  <c r="AB212" i="16"/>
  <c r="AF212" i="16"/>
  <c r="AB171" i="16"/>
  <c r="AF171" i="16"/>
  <c r="AB146" i="16"/>
  <c r="AF146" i="16"/>
  <c r="AB140" i="16"/>
  <c r="AF140" i="16"/>
  <c r="AB279" i="16"/>
  <c r="AF279" i="16"/>
  <c r="AB221" i="16"/>
  <c r="AF221" i="16"/>
  <c r="AF310" i="16"/>
  <c r="AB310" i="16"/>
  <c r="AF184" i="16"/>
  <c r="AB184" i="16"/>
  <c r="AB153" i="16"/>
  <c r="AF153" i="16"/>
  <c r="AB150" i="16"/>
  <c r="AF150" i="16"/>
  <c r="AB202" i="16"/>
  <c r="AF202" i="16"/>
  <c r="AB290" i="16"/>
  <c r="AF290" i="16"/>
  <c r="AB178" i="16"/>
  <c r="AF178" i="16"/>
  <c r="G44" i="8"/>
  <c r="H44" i="8"/>
  <c r="I44" i="8"/>
  <c r="V29" i="11"/>
  <c r="U29" i="11"/>
  <c r="F47" i="8"/>
  <c r="H47" i="8" s="1"/>
  <c r="G47" i="8" l="1"/>
  <c r="I47" i="8"/>
  <c r="AH49" i="16"/>
  <c r="AJ49" i="16" s="1"/>
  <c r="AK49" i="16" s="1"/>
  <c r="AI54" i="16"/>
  <c r="AI47" i="16"/>
  <c r="AI55" i="16"/>
  <c r="AH53" i="16"/>
  <c r="AJ53" i="16" s="1"/>
  <c r="AK53" i="16" s="1"/>
  <c r="AH48" i="16"/>
  <c r="AI50" i="16"/>
  <c r="AH56" i="16"/>
  <c r="AH47" i="16"/>
  <c r="AJ47" i="16" s="1"/>
  <c r="AK47" i="16" s="1"/>
  <c r="AH50" i="16"/>
  <c r="AJ50" i="16" s="1"/>
  <c r="AK50" i="16" s="1"/>
  <c r="AI52" i="16"/>
  <c r="AI53" i="16"/>
  <c r="AH52" i="16"/>
  <c r="AJ52" i="16" s="1"/>
  <c r="AK52" i="16" s="1"/>
  <c r="AI51" i="16"/>
  <c r="AI48" i="16"/>
  <c r="AI49" i="16"/>
  <c r="AI56" i="16"/>
  <c r="AH54" i="16"/>
  <c r="AJ54" i="16" s="1"/>
  <c r="AK54" i="16" s="1"/>
  <c r="AH55" i="16"/>
  <c r="AJ55" i="16" s="1"/>
  <c r="AK55" i="16" s="1"/>
  <c r="AH51" i="16"/>
  <c r="AJ51" i="16" s="1"/>
  <c r="AK51" i="16" s="1"/>
  <c r="AJ48" i="16" l="1"/>
  <c r="AK48" i="16" s="1"/>
  <c r="AJ56" i="16"/>
  <c r="AK56" i="16" s="1"/>
</calcChain>
</file>

<file path=xl/connections.xml><?xml version="1.0" encoding="utf-8"?>
<connections xmlns="http://schemas.openxmlformats.org/spreadsheetml/2006/main">
  <connection id="1" keepAlive="1" name="cabcrmsqlrs1 CABReportingCubes Local Advice Event" type="5" refreshedVersion="4" savePassword="1" background="1" refreshOnLoad="1" saveData="1" credentials="none">
    <dbPr connection="Provider=MSOLAP.4;Password=9vcL!OY1;Persist Security Info=True;User ID=cabsrv\exceldatzz;Initial Catalog=CABReportingCubes;Data Source=catcrmrs1.cabsrv.org.uk;Location=catcrmrs1.cabsrv.org.uk;MDX Compatibility=1;Safety Options=2;MDX Missing Member Mode=Error" command="Local Advice Event" commandType="1"/>
    <olapPr sendLocale="1" rowDrillCount="1000"/>
  </connection>
  <connection id="2" keepAlive="1" name="cabcrmsqlrs1 CABReportingCubes Local Client Event" type="5" refreshedVersion="4" savePassword="1" background="1" refreshOnLoad="1" saveData="1" credentials="none">
    <dbPr connection="Provider=MSOLAP.4;Password=9vcL!OY1;Persist Security Info=True;User ID=cabsrv\exceldatzz;Initial Catalog=CABReportingCubes;Data Source=catcrmrs1.cabsrv.org.uk;Location=catcrmrs1.cabsrv.org.uk;MDX Compatibility=1;Safety Options=2;MDX Missing Member Mode=Error" command="Local Client Event" commandType="1"/>
    <olapPr sendLocale="1" rowDrillCount="1000"/>
  </connection>
  <connection id="3" keepAlive="1" name="cabcrmsqlrs1 CABReportingCubes Local Financial Snapshot" type="5" refreshedVersion="4" savePassword="1" background="1" refreshOnLoad="1" saveData="1" credentials="none">
    <dbPr connection="Provider=MSOLAP.4;Password=9vcL!OY1;Persist Security Info=True;User ID=cabsrv\exceldatzz;Initial Catalog=CABReportingCubes;Data Source=catcrmrs1.cabsrv.org.uk;Location=catcrmrs1.cabsrv.org.uk;MDX Compatibility=1;Safety Options=2;MDX Missing Member Mode=Error" command="Local Financial Snapshot"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900">
    <s v="cabcrmsqlrs1 CABReportingCubes Local Advice Event"/>
    <s v="{[Advice Event Type].[Advice Event Type].&amp;[Gateway AIC Creation],[Advice Event Type].[Advice Event Type].&amp;[Day sheet AIC Creation],[Advice Event Type].[Advice Event Type].&amp;[Enquiry AIC/Outcome Creation]}"/>
    <s v="{[Local Organisation].[Member].[All]}"/>
    <s v="[AIC Outcome].[AIC Part1].[All]"/>
    <s v="[AIC Outcome].[AIC Part1].&amp;[Relationships &amp; family]"/>
    <s v="[AIC Outcome].[AIC Part1].&amp;[Housing]"/>
    <s v="[AIC Outcome].[AIC Part1].&amp;[Education]"/>
    <s v="[Measures].[Unique Client Count]"/>
    <s v="[AIC Outcome].[AIC Part1].&amp;[Utilities &amp; communications]"/>
    <s v="[AIC Outcome].[AIC Part1].&amp;[Other]"/>
    <s v="[AIC Outcome].[AIC Part1].&amp;[Debt]"/>
    <s v="[AIC Outcome].[AIC Part1].&amp;[Travel &amp; transport]"/>
    <s v="[AIC Outcome].[AIC Part1].&amp;[Consumer goods &amp; services]"/>
    <s v="[AIC Outcome].[AIC Part1].&amp;[Employment]"/>
    <s v="[AIC Outcome].[AIC Part1].&amp;[Health &amp; community care]"/>
    <s v="[Measures].[Number of Advice Events]"/>
    <s v="[AIC Outcome].[AIC Part1].&amp;[Legal]"/>
    <s v="[AIC Outcome].[AIC Part1].&amp;[Immigration &amp; asylum]"/>
    <s v="[AIC Outcome].[AIC Part1].&amp;[Financial services &amp; capability]"/>
    <s v="[AIC Outcome].[AIC Part1].&amp;[Tax]"/>
    <s v="[AIC Outcome].[AIC Part1].&amp;[Benefits &amp; tax credits]"/>
    <s v="cabcrmsqlrs1 CABReportingCubes Local Client Event"/>
    <s v="[Client Event Type].[Client Event Type].&amp;[Gateway]"/>
    <s v="[Event Profile].[Parent Gateway].&amp;[Not recorded/not applicable]"/>
    <s v="[Event Profile].[Parent Gateway].[All]"/>
    <s v="[Client Event Type].[Client Event Type].&amp;[Enquiry]"/>
    <s v="[Event Profile].[Parent Gateway].&amp;[No]"/>
    <s v="[Measures].[Number Of Activities]"/>
    <s v="[Client Event Type].[Client Event Type].&amp;[Day sheet]"/>
    <s v="[Event Profile].[Parent Gateway].&amp;[Yes]"/>
    <s v="{([Client Event Type].[Client Event Type].&amp;[Gateway]),([Client Event Type].[Client Event Type].&amp;[Enquiry]),([Client Event Type].[Client Event Type].&amp;[Day sheet])}"/>
    <s v="[Work Level].[Work Level].&amp;[Information]"/>
    <s v="[Work Level].[Work Level].&amp;[Advice]"/>
    <s v="[Work Level].[Work Level].&amp;[Advice and limited action]"/>
    <s v="[Work Level].[Work Level].&amp;[Generalist casework]"/>
    <s v="[Work Level].[Work Level].&amp;[Specialist casework]"/>
    <s v="[Work Level].[Work Level].&amp;[Advice and referral]"/>
    <s v="[Event Profile].[Channel].[All]"/>
    <s v="[Event Profile].[Channel].&amp;[Home Visit]"/>
    <s v="[Event Profile].[Channel].&amp;[Webchat]"/>
    <s v="[Event Profile].[Channel].&amp;[Face to Face]"/>
    <s v="[Event Profile].[Channel].&amp;[Social Media]"/>
    <s v="[Event Profile].[Channel].&amp;[Telephone]"/>
    <s v="[Event Profile].[Channel].&amp;[E-mail]"/>
    <s v="[Event Profile].[Channel].&amp;[Letter/Mail]"/>
    <s v="[Event Profile].[Channel].&amp;[Email]"/>
    <s v="[Event Profile].[Channel].&amp;[Adviceline Phone]"/>
    <s v="[Client Event Type].[Client Event Type].&amp;[Phone call]"/>
    <s v="[Work Type].[Work Type].&amp;[Client]"/>
    <s v="[Work Type].[Work Type].&amp;[Third Party]"/>
    <s v="[Work Type].[Work Type].&amp;[BEF Preparation]"/>
    <s v="[Client Event Type].[Client Event Type].&amp;[Letter]"/>
    <s v="[Client Event Type].[Client Event Type].&amp;[Face to face]"/>
    <s v="[Client Event Type].[Client Event Type].&amp;[Email]"/>
    <s v="[Work Type].[Work Type].&amp;[Not recorded/not applicable]"/>
    <s v="[Work Type].[Work Type].&amp;[Casework Preparation]"/>
    <s v="{([Client Event Type].[Client Event Type].&amp;[Phone call]),([Client Event Type].[Client Event Type].&amp;[Letter]),([Client Event Type].[Client Event Type].&amp;[Face to face]),([Client Event Type].[Client Event Type].&amp;[Email])}"/>
    <s v="[Event Profile].[Day Sheet Contact Channel].&amp;[Face to Face]"/>
    <s v="[Event Profile].[Day Sheet Contact Channel].&amp;[Email]"/>
    <s v="[Event Profile].[Day Sheet Contact Channel].&amp;[Phone Adviceline]"/>
    <s v="[Event Profile].[Day Sheet Contact Channel].[All]"/>
    <s v="[Event Profile].[Day Sheet Contact Channel].&amp;[Telephone]"/>
    <s v="{[Client Event Type].[Client Event Type].&amp;[Email],[Client Event Type].[Client Event Type].&amp;[Letter],[Client Event Type].[Client Event Type].&amp;[Enquiry],[Client Event Type].[Client Event Type].&amp;[Gateway],[Client Event Type].[Client Event Type].&amp;[Day sheet],[Client Event Type].[Client Event Type].&amp;[Phone call],[Client Event Type].[Client Event Type].&amp;[Face to face]}"/>
    <s v="[Client Profile].[Gender].&amp;[Unknown]"/>
    <s v="[Client Profile].[Gender].&amp;[Male]"/>
    <s v="[Client Profile].[Gender].&amp;[Not recorded/not applicable]"/>
    <s v="[Client Profile].[Gender].[All]"/>
    <s v="[Client Profile].[Gender].&amp;[Female]"/>
    <s v="[Client Profile].[Age Group].[All]"/>
    <s v="[Client Profile].[Age Group].&amp;[90-94]"/>
    <s v="[Client Profile].[Age Group].&amp;[70-74]"/>
    <s v="[Client Profile].[Age Group].&amp;[55-59]"/>
    <s v="[Client Profile].[Age Group].&amp;[35-39]"/>
    <s v="[Client Profile].[Age Group].&amp;[15-19]"/>
    <s v="[Client Profile].[Age Group].&amp;[Not recorded/not applicable]"/>
    <s v="[Client Profile].[Age Group].&amp;[85-89]"/>
    <s v="[Client Profile].[Age Group].&amp;[65-69]"/>
    <s v="[Client Profile].[Age Group].&amp;[50-54]"/>
    <s v="[Client Profile].[Age Group].&amp;[30-34]"/>
    <s v="[Client Profile].[Age Group].&amp;[10-14]"/>
    <s v="[Client Profile].[Age Group].&amp;[Not record]"/>
    <s v="[Client Profile].[Age Group].&amp;[80-84]"/>
    <s v="[Client Profile].[Age Group].&amp;[60-64]"/>
    <s v="[Client Profile].[Age Group].&amp;[45-49]"/>
    <s v="[Client Profile].[Age Group].&amp;[25-29]"/>
    <s v="[Client Profile].[Age Group].&amp;[100-104]"/>
    <s v="[Client Profile].[Age Group].&amp;[95-99]"/>
    <s v="[Client Profile].[Age Group].&amp;[75-79]"/>
    <s v="[Client Profile].[Age Group].&amp;[5-9]"/>
    <s v="[Client Profile].[Age Group].&amp;[40-44]"/>
    <s v="[Client Profile].[Age Group].&amp;[20-24]"/>
    <s v="[Client Profile].[Age Group].&amp;[0-4]"/>
    <s v="[Client Profile].[Ethnic Origin].&amp;[White - Scottish]"/>
    <s v="[Client Profile].[Ethnic Origin].&amp;[White - Gypsy or Irish Traveller]"/>
    <s v="[Client Profile].[Ethnic Origin].&amp;[Other - Arab]"/>
    <s v="[Client Profile].[Ethnic Origin].&amp;[Mixed - White &amp; Black African]"/>
    <s v="[Client Profile].[Ethnic Origin].&amp;[Black or Black British - Other]"/>
    <s v="[Client Profile].[Ethnic Origin].&amp;[Asian or Asian British - Other]"/>
    <s v="[Client Profile].[Ethnic Origin].&amp;[White - Other]"/>
    <s v="[Client Profile].[Ethnic Origin].&amp;[White - English]"/>
    <s v="[Client Profile].[Ethnic Origin].&amp;[Other - Any Other]"/>
    <s v="[Client Profile].[Ethnic Origin].&amp;[Mixed - White &amp; Asian]"/>
    <s v="[Client Profile].[Ethnic Origin].&amp;[Black or Black British - Caribbean]"/>
    <s v="[Client Profile].[Ethnic Origin].&amp;[Asian or Asian British - Indian]"/>
    <s v="[Client Profile].[Ethnic Origin].[All]"/>
    <s v="[Client Profile].[Ethnic Origin].&amp;[White - Northern Irish]"/>
    <s v="[Client Profile].[Ethnic Origin].&amp;[White - British]"/>
    <s v="[Client Profile].[Ethnic Origin].&amp;[Not recorded/not applicable]"/>
    <s v="[Client Profile].[Ethnic Origin].&amp;[Mixed - Other]"/>
    <s v="[Client Profile].[Ethnic Origin].&amp;[Black or Black British - African]"/>
    <s v="[Client Profile].[Ethnic Origin].&amp;[Asian or Asian British - Chinese]"/>
    <s v="[Client Profile].[Ethnic Origin].&amp;[White - Welsh]"/>
    <s v="[Client Profile].[Ethnic Origin].&amp;[White - Irish]"/>
    <s v="[Client Profile].[Ethnic Origin].&amp;[Unknown]"/>
    <s v="[Client Profile].[Ethnic Origin].&amp;[Mixed - White &amp; Black Caribbean]"/>
    <s v="[Client Profile].[Ethnic Origin].&amp;[Declined to Reply]"/>
    <s v="[Client Profile].[Ethnic Origin].&amp;[Asian or Asian British - Pakistani]"/>
    <s v="[Client Profile].[Ethnic Origin].&amp;[Asian or Asian British - Bangladeshi]"/>
    <s v="[Client Profile].[Disability or Health Problems].&amp;[Unknown/withheld]"/>
    <s v="[Client Profile].[Type Of Disability or Condition].&amp;[Visual Impairment]"/>
    <s v="[Client Profile].[Type Of Disability or Condition].&amp;[Other Disability or Type Not Given]"/>
    <s v="[Client Profile].[Type Of Disability or Condition].&amp;[Multiple Impairments]"/>
    <s v="[Client Profile].[Type Of Disability or Condition].&amp;[Long-Term Health Condition]"/>
    <s v="[Client Profile].[Type Of Disability or Condition].&amp;[Hearing Impairment]"/>
    <s v="[Client Profile].[Type Of Disability or Condition].&amp;[Cognitive Impairment]"/>
    <s v="[Client Profile].[Disability or Health Problems].&amp;[Not disabled/no health problems]"/>
    <s v="[Client Profile].[Disability or Health Problems].&amp;[Long-term health condition]"/>
    <s v="[Client Profile].[Disability or Health Problems].&amp;[Disabled]"/>
    <s v="[Client Profile].[Type Of Disability or Condition].&amp;[Physical Impairment (non-sensory)]"/>
    <s v="[Client Profile].[Type Of Disability or Condition].&amp;[Not recorded/not applicable]"/>
    <s v="[Client Profile].[Type Of Disability or Condition].&amp;[Mental Health]"/>
    <s v="[Client Profile].[Type Of Disability or Condition].&amp;[Learning Difficulty]"/>
    <s v="[Client Profile].[Type Of Disability or Condition].&amp;[Deaf]"/>
    <s v="[Client Profile].[Disability or Health Problems].&amp;[Not recorded/not applicable]"/>
    <s v="[Client Profile].[Age].&amp;[98]"/>
    <s v="[Client Profile].[Age].&amp;[94]"/>
    <s v="[Client Profile].[Age].&amp;[90]"/>
    <s v="[Client Profile].[Age].&amp;[87]"/>
    <s v="[Client Profile].[Age].&amp;[83]"/>
    <s v="[Client Profile].[Age].&amp;[8]"/>
    <s v="[Client Profile].[Age].&amp;[76]"/>
    <s v="[Client Profile].[Age].&amp;[72]"/>
    <s v="[Client Profile].[Age].&amp;[69]"/>
    <s v="[Client Profile].[Age].&amp;[65]"/>
    <s v="[Client Profile].[Age].&amp;[61]"/>
    <s v="[Client Profile].[Age].&amp;[58]"/>
    <s v="[Client Profile].[Age].&amp;[54]"/>
    <s v="[Client Profile].[Age].&amp;[50]"/>
    <s v="[Client Profile].[Age].&amp;[47]"/>
    <s v="[Client Profile].[Age].&amp;[43]"/>
    <s v="[Client Profile].[Age].&amp;[4]"/>
    <s v="[Client Profile].[Age].&amp;[36]"/>
    <s v="[Client Profile].[Age].&amp;[32]"/>
    <s v="[Client Profile].[Age].&amp;[29]"/>
    <s v="[Client Profile].[Age].&amp;[25]"/>
    <s v="[Client Profile].[Age].&amp;[21]"/>
    <s v="[Client Profile].[Age].&amp;[18]"/>
    <s v="[Client Profile].[Age].&amp;[14]"/>
    <s v="[Client Profile].[Age].&amp;[114]"/>
    <s v="[Client Profile].[Age].&amp;[106]"/>
    <s v="[Client Profile].[Age].&amp;[102]"/>
    <s v="[Client Profile].[Age].&amp;[1]"/>
    <s v="[Client Profile].[Age].[All]"/>
    <s v="[Client Profile].[Age].&amp;[97]"/>
    <s v="[Client Profile].[Age].&amp;[93]"/>
    <s v="[Client Profile].[Age].&amp;[9]"/>
    <s v="[Client Profile].[Age].&amp;[86]"/>
    <s v="[Client Profile].[Age].&amp;[82]"/>
    <s v="[Client Profile].[Age].&amp;[79]"/>
    <s v="[Client Profile].[Age].&amp;[75]"/>
    <s v="[Client Profile].[Age].&amp;[71]"/>
    <s v="[Client Profile].[Age].&amp;[68]"/>
    <s v="[Client Profile].[Age].&amp;[64]"/>
    <s v="[Client Profile].[Age].&amp;[60]"/>
    <s v="[Client Profile].[Age].&amp;[57]"/>
    <s v="[Client Profile].[Age].&amp;[53]"/>
    <s v="[Client Profile].[Age].&amp;[5]"/>
    <s v="[Client Profile].[Age].&amp;[46]"/>
    <s v="[Client Profile].[Age].&amp;[42]"/>
    <s v="[Client Profile].[Age].&amp;[39]"/>
    <s v="[Client Profile].[Age].&amp;[35]"/>
    <s v="[Client Profile].[Age].&amp;[31]"/>
    <s v="[Client Profile].[Age].&amp;[28]"/>
    <s v="[Client Profile].[Age].&amp;[24]"/>
    <s v="[Client Profile].[Age].&amp;[20]"/>
    <s v="[Client Profile].[Age].&amp;[17]"/>
    <s v="[Client Profile].[Age].&amp;[13]"/>
    <s v="[Client Profile].[Age].&amp;[113]"/>
    <s v="[Client Profile].[Age].&amp;[11]"/>
    <s v="[Client Profile].[Age].&amp;[105]"/>
    <s v="[Client Profile].[Age].&amp;[101]"/>
    <s v="[Client Profile].[Age].&amp;[0]"/>
    <s v="[Client Profile].[Age].&amp;[Not recorded/not applicable]"/>
    <s v="[Client Profile].[Age].&amp;[96]"/>
    <s v="[Client Profile].[Age].&amp;[92]"/>
    <s v="[Client Profile].[Age].&amp;[89]"/>
    <s v="[Client Profile].[Age].&amp;[85]"/>
    <s v="[Client Profile].[Age].&amp;[81]"/>
    <s v="[Client Profile].[Age].&amp;[78]"/>
    <s v="[Client Profile].[Age].&amp;[74]"/>
    <s v="[Client Profile].[Age].&amp;[70]"/>
    <s v="[Client Profile].[Age].&amp;[67]"/>
    <s v="[Client Profile].[Age].&amp;[63]"/>
    <s v="[Client Profile].[Age].&amp;[6]"/>
    <s v="[Client Profile].[Age].&amp;[56]"/>
    <s v="[Client Profile].[Age].&amp;[52]"/>
    <s v="[Client Profile].[Age].&amp;[49]"/>
    <s v="[Client Profile].[Age].&amp;[45]"/>
    <s v="[Client Profile].[Age].&amp;[41]"/>
    <s v="[Client Profile].[Age].&amp;[38]"/>
    <s v="[Client Profile].[Age].&amp;[34]"/>
    <s v="[Client Profile].[Age].&amp;[30]"/>
    <s v="[Client Profile].[Age].&amp;[27]"/>
    <s v="[Client Profile].[Age].&amp;[23]"/>
    <s v="[Client Profile].[Age].&amp;[2]"/>
    <s v="[Client Profile].[Age].&amp;[16]"/>
    <s v="[Client Profile].[Age].&amp;[112]"/>
    <s v="[Client Profile].[Age].&amp;[109]"/>
    <s v="[Client Profile].[Age].&amp;[104]"/>
    <s v="[Client Profile].[Age].&amp;[100]"/>
    <s v="[Client Profile].[Age].&amp;[99]"/>
    <s v="[Client Profile].[Age].&amp;[95]"/>
    <s v="[Client Profile].[Age].&amp;[91]"/>
    <s v="[Client Profile].[Age].&amp;[88]"/>
    <s v="[Client Profile].[Age].&amp;[84]"/>
    <s v="[Client Profile].[Age].&amp;[80]"/>
    <s v="[Client Profile].[Age].&amp;[77]"/>
    <s v="[Client Profile].[Age].&amp;[73]"/>
    <s v="[Client Profile].[Age].&amp;[7]"/>
    <s v="[Client Profile].[Age].&amp;[66]"/>
    <s v="[Client Profile].[Age].&amp;[62]"/>
    <s v="[Client Profile].[Age].&amp;[59]"/>
    <s v="[Client Profile].[Age].&amp;[55]"/>
    <s v="[Client Profile].[Age].&amp;[51]"/>
    <s v="[Client Profile].[Age].&amp;[48]"/>
    <s v="[Client Profile].[Age].&amp;[44]"/>
    <s v="[Client Profile].[Age].&amp;[40]"/>
    <s v="[Client Profile].[Age].&amp;[37]"/>
    <s v="[Client Profile].[Age].&amp;[33]"/>
    <s v="[Client Profile].[Age].&amp;[3]"/>
    <s v="[Client Profile].[Age].&amp;[26]"/>
    <s v="[Client Profile].[Age].&amp;[22]"/>
    <s v="[Client Profile].[Age].&amp;[19]"/>
    <s v="[Client Profile].[Age].&amp;[15]"/>
    <s v="[Client Profile].[Age].&amp;[12]"/>
    <s v="[Client Profile].[Age].&amp;[111]"/>
    <s v="[Client Profile].[Age].&amp;[107]"/>
    <s v="[Client Profile].[Age].&amp;[103]"/>
    <s v="[Client Profile].[Age].&amp;[10]"/>
    <s v="{[Advice Event Type].[Advice Event Type].&amp;[BEF AIC Creation]}"/>
    <s v="[Advice Event Type].[Advice Event Type].&amp;[BEF AIC Creation]"/>
    <s v="[AIC Outcome].[AIC Part1].&amp;[Not recorded/not applicable]"/>
    <s v="[AIC Outcome].[AIC Part2].&amp;[Utilities &amp; communications]&amp;[Not recorded/not applicable]"/>
    <s v="[AIC Outcome].[AIC Part2].&amp;[Utilities &amp; communications]&amp;[06 TV including cable, digital &amp; satellite]"/>
    <s v="[AIC Outcome].[AIC Part2].&amp;[Utilities &amp; communications]&amp;[01 Discrimination]"/>
    <s v="[AIC Outcome].[AIC Part2].&amp;[Travel &amp; transport]&amp;[99 Other travel, transport &amp; holiday]"/>
    <s v="[AIC Outcome].[AIC Part2].&amp;[Travel &amp; transport]&amp;[08 Passports]"/>
    <s v="[AIC Outcome].[AIC Part2].&amp;[Travel &amp; transport]&amp;[06 Package holidays]"/>
    <s v="[AIC Outcome].[AIC Part2].&amp;[Travel &amp; transport]&amp;[02 Public transport]"/>
    <s v="[AIC Outcome].[AIC Part2].&amp;[Tax]&amp;[Not recorded/not applicable]"/>
    <s v="[AIC Outcome].[AIC Part2].&amp;[Tax]&amp;[02 Income Tax]"/>
    <s v="[AIC Outcome].[AIC Part2].&amp;[Relationships &amp; family]&amp;[Not recorded/not applicable]"/>
    <s v="[AIC Outcome].[AIC Part2].&amp;[Relationships &amp; family]&amp;[99 Other]"/>
    <s v="[AIC Outcome].[AIC Part2].&amp;[Relationships &amp; family]&amp;[10 Death &amp; Bereavement]"/>
    <s v="[AIC Outcome].[AIC Part2].&amp;[Relationships &amp; family]&amp;[06 Divorce, separation, dissolution]"/>
    <s v="[AIC Outcome].[AIC Part2].&amp;[Other]&amp;[Not recorded/not applicable]"/>
    <s v="[AIC Outcome].[AIC Part2].&amp;[Other]&amp;[05 Animals]"/>
    <s v="[AIC Outcome].[AIC Part2].&amp;[Other]&amp;[03 Elections &amp; Electoral Roll]"/>
    <s v="[AIC Outcome].[AIC Part2].&amp;[Other]&amp;[01 Discrimination]"/>
    <s v="[AIC Outcome].[AIC Part2].&amp;[Legal]&amp;[99 Other]"/>
    <s v="[AIC Outcome].[AIC Part2].&amp;[Legal]&amp;[08 Victims of crime]"/>
    <s v="[AIC Outcome].[AIC Part2].&amp;[Legal]&amp;[06 Solicitors/barristers]"/>
    <s v="[AIC Outcome].[AIC Part2].&amp;[Utilities &amp; communications]&amp;[99 Other communications &amp; utility issues]"/>
    <s v="[AIC Outcome].[AIC Part2].&amp;[Utilities &amp; communications]&amp;[07 Internet &amp; broadband]"/>
    <s v="[AIC Outcome].[AIC Part2].&amp;[Utilities &amp; communications]&amp;[05 Mobile phones]"/>
    <s v="[AIC Outcome].[AIC Part2].&amp;[Utilities &amp; communications]&amp;[03 Water &amp; sewerage]"/>
    <s v="[AIC Outcome].[AIC Part2].&amp;[Utilities &amp; communications]&amp;[02 Fuel (gas, electricity, oil, coal etc.)]"/>
    <s v="[AIC Outcome].[AIC Part2].&amp;[Travel &amp; transport]&amp;[Not recorded/not applicable]"/>
    <s v="[AIC Outcome].[AIC Part2].&amp;[Travel &amp; transport]&amp;[09 Parking on private land]"/>
    <s v="[AIC Outcome].[AIC Part2].&amp;[Travel &amp; transport]&amp;[07 Timeshare &amp; Vacation Clubs]"/>
    <s v="[AIC Outcome].[AIC Part2].&amp;[Travel &amp; transport]&amp;[05 Parking &amp; Congestion]"/>
    <s v="[AIC Outcome].[AIC Part2].&amp;[Travel &amp; transport]&amp;[03 Driving]"/>
    <s v="[AIC Outcome].[AIC Part2].&amp;[Travel &amp; transport]&amp;[01 Discrimination]"/>
    <s v="[AIC Outcome].[AIC Part2].&amp;[Tax]&amp;[99 Other Tax Issues]"/>
    <s v="[AIC Outcome].[AIC Part2].&amp;[Tax]&amp;[03 Council Tax]"/>
    <s v="[AIC Outcome].[AIC Part2].&amp;[Tax]&amp;[01 Discrimination]"/>
    <s v="[AIC Outcome].[AIC Part2].&amp;[Relationships &amp; family]&amp;[11 Certificates &amp; proofs of identity]"/>
    <s v="[AIC Outcome].[AIC Part2].&amp;[Relationships &amp; family]&amp;[07 Children]"/>
    <s v="[AIC Outcome].[AIC Part2].&amp;[Relationships &amp; family]&amp;[05 Social Services &amp; support]"/>
    <s v="[AIC Outcome].[AIC Part2].&amp;[Relationships &amp; family]&amp;[04 Family, dependents &amp; partners]"/>
    <s v="[AIC Outcome].[AIC Part2].&amp;[Relationships &amp; family]&amp;[03 Domestic violence]"/>
    <s v="[AIC Outcome].[AIC Part2].&amp;[Relationships &amp; family]&amp;[02 Marriage, cohabitation, civil partnership]"/>
    <s v="[AIC Outcome].[AIC Part2].&amp;[Relationships &amp; family]&amp;[01 Discrimination]"/>
    <s v="[AIC Outcome].[AIC Part2].&amp;[Other]&amp;[99 Other]"/>
    <s v="[AIC Outcome].[AIC Part2].&amp;[Other]&amp;[07 Charitable support]"/>
    <s v="[AIC Outcome].[AIC Part2].&amp;[Other]&amp;[04 Elected Representatives]"/>
    <s v="[AIC Outcome].[AIC Part2].&amp;[Other]&amp;[02 Census]"/>
    <s v="[AIC Outcome].[AIC Part2].&amp;[Legal]&amp;[Not recorded/not applicable]"/>
    <s v="[AIC Outcome].[AIC Part2].&amp;[Legal]&amp;[11 Personal-related court proceedings]"/>
    <s v="[AIC Outcome].[AIC Part2].&amp;[Legal]&amp;[09 Compensation Redress]"/>
    <s v="[AIC Outcome].[AIC Part2].&amp;[Legal]&amp;[07 Police]"/>
    <s v="[AIC Outcome].[AIC Part2].&amp;[Legal]&amp;[05 Legal aid]"/>
    <s v="[AIC Outcome].[AIC Part2].&amp;[Legal]&amp;[04 Family, dependents &amp; partners]"/>
    <s v="[AIC Outcome].[AIC Part2].&amp;[Immigration &amp; asylum]&amp;[Not recorded/not applicable]"/>
    <s v="[AIC Outcome].[AIC Part2].&amp;[Immigration &amp; asylum]&amp;[05 Visitors]"/>
    <s v="[AIC Outcome].[AIC Part2].&amp;[Housing]&amp;[99 Other housing issues]"/>
    <s v="[AIC Outcome].[AIC Part2].&amp;[Housing]&amp;[08 Private sector rented property]"/>
    <s v="[AIC Outcome].[AIC Part2].&amp;[Housing]&amp;[05 Access to &amp; provision of accomm.]"/>
    <s v="[AIC Outcome].[AIC Part2].&amp;[Housing]&amp;[02 Fuel (gas, electricity, oil, coal etc.)]"/>
    <s v="[AIC Outcome].[AIC Part2].&amp;[Benefits &amp; tax credits]&amp;[20 Universal credit]"/>
    <s v="[AIC Outcome].[AIC Part2].&amp;[Benefits &amp; tax credits]&amp;[16 DLA-Mobility Component]"/>
    <s v="[AIC Outcome].[AIC Part2].&amp;[Benefits &amp; tax credits]&amp;[06 SF Community Care grants]"/>
    <s v="[AIC Outcome].[AIC Part2].&amp;[Benefits &amp; tax credits]&amp;[04 Family, dependents &amp; partners]"/>
    <s v="[AIC Outcome].[AIC Part2].&amp;[Benefits &amp; tax credits]&amp;[02 Income Support]"/>
    <s v="[AIC Outcome].[AIC Part2].&amp;[Legal]&amp;[04 Crown Court proceedings]"/>
    <s v="[AIC Outcome].[AIC Part2].&amp;[Legal]&amp;[03 County &amp; High Court proceedings]"/>
    <s v="[AIC Outcome].[AIC Part2].&amp;[Immigration &amp; asylum]&amp;[99 Other issues]"/>
    <s v="[AIC Outcome].[AIC Part2].&amp;[Immigration &amp; asylum]&amp;[08 Nationality/citizenship]"/>
    <s v="[AIC Outcome].[AIC Part2].&amp;[Immigration &amp; asylum]&amp;[04 Family, dependents &amp; partners]"/>
    <s v="[AIC Outcome].[AIC Part2].&amp;[Immigration &amp; asylum]&amp;[02 Asylum seekers]"/>
    <s v="[AIC Outcome].[AIC Part2].&amp;[Housing]&amp;[07 Housing association property]"/>
    <s v="[AIC Outcome].[AIC Part2].&amp;[Housing]&amp;[04 LA homelessness service]"/>
    <s v="[AIC Outcome].[AIC Part2].&amp;[Housing]&amp;[03 County &amp; High Court proceedings]"/>
    <s v="[AIC Outcome].[AIC Part2].&amp;[Housing]&amp;[02 Actual homelessness]"/>
    <s v="[AIC Outcome].[AIC Part2].&amp;[Health &amp; community care]&amp;[Not recorded/not applicable]"/>
    <s v="[AIC Outcome].[AIC Part2].&amp;[Health &amp; community care]&amp;[84 Health Watch - Childrens Services]"/>
    <s v="[AIC Outcome].[AIC Part2].&amp;[Health &amp; community care]&amp;[82 Health Watch - Social Care Service]"/>
    <s v="[AIC Outcome].[AIC Part2].&amp;[Health &amp; community care]&amp;[80 Health Watch - General]"/>
    <s v="[AIC Outcome].[AIC Part2].&amp;[Health &amp; community care]&amp;[09 Dentists]"/>
    <s v="[AIC Outcome].[AIC Part2].&amp;[Health &amp; community care]&amp;[07 Community Care (non-MH)]"/>
    <s v="[AIC Outcome].[AIC Part2].&amp;[Health &amp; community care]&amp;[05 General Medical Practice]"/>
    <s v="[AIC Outcome].[AIC Part2].&amp;[Health &amp; community care]&amp;[03 Hospital Services (non-MH)]"/>
    <s v="[AIC Outcome].[AIC Part2].&amp;[Health &amp; community care]&amp;[01 Discrimination]"/>
    <s v="[AIC Outcome].[AIC Part2].&amp;[Financial services &amp; capability]&amp;[21 Claims management services]"/>
    <s v="[AIC Outcome].[AIC Part2].&amp;[Financial services &amp; capability]&amp;[19 Savings and investments]"/>
    <s v="[AIC Outcome].[AIC Part2].&amp;[Financial services &amp; capability]&amp;[17 Credit Reference Agencies]"/>
    <s v="[AIC Outcome].[AIC Part2].&amp;[Financial services &amp; capability]&amp;[12 Vehicle insurance]"/>
    <s v="[AIC Outcome].[AIC Part2].&amp;[Financial services &amp; capability]&amp;[10 Payment protection insurance]"/>
    <s v="[AIC Outcome].[AIC Part2].&amp;[Financial services &amp; capability]&amp;[08 Financial advisers/brokers/intermeds.]"/>
    <s v="[AIC Outcome].[AIC Part2].&amp;[Financial services &amp; capability]&amp;[05 Loans - unsecured]"/>
    <s v="[AIC Outcome].[AIC Part2].&amp;[Financial services &amp; capability]&amp;[03 Credit/store/charge cards]"/>
    <s v="[AIC Outcome].[AIC Part2].&amp;[Financial services &amp; capability]&amp;[01 Discrimination]"/>
    <s v="[AIC Outcome].[AIC Part2].&amp;[Employment]&amp;[99 Other]"/>
    <s v="[AIC Outcome].[AIC Part2].&amp;[Employment]&amp;[12 Redundancy]"/>
    <s v="[AIC Outcome].[AIC Part2].&amp;[Employment]&amp;[10 Resignation]"/>
    <s v="[AIC Outcome].[AIC Part2].&amp;[Employment]&amp;[08  Parental &amp; Carers rights]"/>
    <s v="[AIC Outcome].[AIC Part2].&amp;[Employment]&amp;[06 Health &amp; Safety]"/>
    <s v="[AIC Outcome].[AIC Part2].&amp;[Employment]&amp;[04 Applying for jobs]"/>
    <s v="[AIC Outcome].[AIC Part2].&amp;[Education]&amp;[Not recorded/not applicable]"/>
    <s v="[AIC Outcome].[AIC Part2].&amp;[Education]&amp;[06 Adult education]"/>
    <s v="[AIC Outcome].[AIC Part2].&amp;[Education]&amp;[04 Further Education/6th form colleges]"/>
    <s v="[AIC Outcome].[AIC Part2].&amp;[Education]&amp;[03 Schools, non-advanced education]"/>
    <s v="[AIC Outcome].[AIC Part2].&amp;[Debt]&amp;[Not recorded/not applicable]"/>
    <s v="[AIC Outcome].[AIC Part2].&amp;[Debt]&amp;[51 Other legal remedies]"/>
    <s v="[AIC Outcome].[AIC Part2].&amp;[Debt]&amp;[49 Debt Relief Order]"/>
    <s v="[AIC Outcome].[AIC Part2].&amp;[Debt]&amp;[40 3rd party debt collection excl. bailiffs]"/>
    <s v="[AIC Outcome].[AIC Part2].&amp;[Debt]&amp;[21 Social Fund debts]"/>
    <s v="[AIC Outcome].[AIC Part2].&amp;[Debt]&amp;[17 Unpaid parking penalty &amp; cong. chgs.]"/>
    <s v="[AIC Outcome].[AIC Part2].&amp;[Debt]&amp;[15 Catalogue &amp; mail order debts]"/>
    <s v="[AIC Outcome].[AIC Part2].&amp;[Debt]&amp;[05 Telephone &amp; broadband debts]"/>
    <s v="[AIC Outcome].[AIC Part2].&amp;[Debt]&amp;[04 Fuel debts]"/>
    <s v="[AIC Outcome].[AIC Part2].&amp;[Debt]&amp;[03 Credit/store/charge cards]"/>
    <s v="[AIC Outcome].[AIC Part2].&amp;[Debt]&amp;[03 Council Tax]"/>
    <s v="[AIC Outcome].[AIC Part2].&amp;[Debt]&amp;[02 Mortgage &amp; secured loan arrears]"/>
    <s v="[AIC Outcome].[AIC Part2].&amp;[Debt]&amp;[01 Discrimination]"/>
    <s v="[AIC Outcome].[AIC Part2].&amp;[Consumer goods &amp; services]&amp;[18 Energy company obligation (ECO)]"/>
    <s v="[AIC Outcome].[AIC Part2].&amp;[Consumer goods &amp; services]&amp;[16 Competitions &amp; prize draws]"/>
    <s v="[AIC Outcome].[AIC Part2].&amp;[Consumer goods &amp; services]&amp;[14 Food &amp; Drink]"/>
    <s v="[AIC Outcome].[AIC Part2].&amp;[Consumer goods &amp; services]&amp;[12 Second hand vehicles]"/>
    <s v="[AIC Outcome].[AIC Part2].&amp;[Consumer goods &amp; services]&amp;[10 Disability aids &amp; adaptations]"/>
    <s v="[AIC Outcome].[AIC Part2].&amp;[Consumer goods &amp; services]&amp;[07 Computer hardware &amp; software]"/>
    <s v="[AIC Outcome].[AIC Part2].&amp;[Consumer goods &amp; services]&amp;[05 Furnishings &amp; floor coverings]"/>
    <s v="[AIC Outcome].[AIC Part2].&amp;[Consumer goods &amp; services]&amp;[03 Driving]"/>
    <s v="[AIC Outcome].[AIC Part2].&amp;[Consumer goods &amp; services]&amp;[03 Building repairs &amp; improvements]"/>
    <s v="[AIC Outcome].[AIC Part2].&amp;[Consumer goods &amp; services]&amp;[02 Private sales &amp; internet auctions]"/>
    <s v="[AIC Outcome].[AIC Part2].&amp;[Benefits &amp; tax credits]&amp;[Not recorded/not applicable]"/>
    <s v="[AIC Outcome].[AIC Part2].&amp;[Benefits &amp; tax credits]&amp;[24 Benefit cap]"/>
    <s v="[AIC Outcome].[AIC Part2].&amp;[Benefits &amp; tax credits]&amp;[22 Localised social welfare]"/>
    <s v="[AIC Outcome].[AIC Part2].&amp;[Benefits &amp; tax credits]&amp;[18 Carers Allowance]"/>
    <s v="[AIC Outcome].[AIC Part2].&amp;[Benefits &amp; tax credits]&amp;[14 Incapacity Benefit]"/>
    <s v="[AIC Outcome].[AIC Part2].&amp;[Benefits &amp; tax credits]&amp;[11 Jobseekers Allowance]"/>
    <s v="[AIC Outcome].[AIC Part2].&amp;[Benefits &amp; tax credits]&amp;[08 Child Benefit]"/>
    <s v="[AIC Outcome].[AIC Part2].&amp;[Benefits &amp; tax credits]&amp;[05 Social Fund Loans-Budgeting]"/>
    <s v="[AIC Outcome].[AIC Part2].&amp;[Benefits &amp; tax credits]&amp;[01 Discrimination]"/>
    <s v="[AIC Outcome].[AIC Part2].&amp;[Legal]&amp;[02 Magistrates Court proceedings]"/>
    <s v="[AIC Outcome].[AIC Part2].&amp;[Immigration &amp; asylum]&amp;[07 Students]"/>
    <s v="[AIC Outcome].[AIC Part2].&amp;[Immigration &amp; asylum]&amp;[01 Discrimination]"/>
    <s v="[AIC Outcome].[AIC Part2].&amp;[Housing]&amp;[10 Environmental &amp; neighbour issues]"/>
    <s v="[AIC Outcome].[AIC Part2].&amp;[Housing]&amp;[06 Local Authority housing]"/>
    <s v="[AIC Outcome].[AIC Part2].&amp;[Housing]&amp;[03 Building repairs &amp; improvements]"/>
    <s v="[AIC Outcome].[AIC Part2].&amp;[Benefits &amp; tax credits]&amp;[21 Personal independence payment]"/>
    <s v="[AIC Outcome].[AIC Part2].&amp;[Benefits &amp; tax credits]&amp;[12 National Insurance]"/>
    <s v="[AIC Outcome].[AIC Part2].&amp;[Benefits &amp; tax credits]&amp;[09 Council Tax Benefit]"/>
    <s v="[AIC Outcome].[AIC Part2].&amp;[Benefits &amp; tax credits]&amp;[03 Council Tax]"/>
    <s v="[AIC Outcome].[AIC Part2].&amp;[Legal]&amp;[03 Driving]"/>
    <s v="[AIC Outcome].[AIC Part2].&amp;[Legal]&amp;[01 Discrimination]"/>
    <s v="[AIC Outcome].[AIC Part2].&amp;[Immigration &amp; asylum]&amp;[09 Failed asylum seekers]"/>
    <s v="[AIC Outcome].[AIC Part2].&amp;[Immigration &amp; asylum]&amp;[06 Workers]"/>
    <s v="[AIC Outcome].[AIC Part2].&amp;[Immigration &amp; asylum]&amp;[03 Refugees]"/>
    <s v="[AIC Outcome].[AIC Part2].&amp;[Housing]&amp;[Not recorded/not applicable]"/>
    <s v="[AIC Outcome].[AIC Part2].&amp;[Housing]&amp;[09 Owner occupier property]"/>
    <s v="[AIC Outcome].[AIC Part2].&amp;[Housing]&amp;[03 Threatened homelessness]"/>
    <s v="[AIC Outcome].[AIC Part2].&amp;[Housing]&amp;[01 Discrimination]"/>
    <s v="[AIC Outcome].[AIC Part2].&amp;[Health &amp; community care]&amp;[99 Other health &amp; community care issues]"/>
    <s v="[AIC Outcome].[AIC Part2].&amp;[Health &amp; community care]&amp;[83 Health Watch - Other Service]"/>
    <s v="[AIC Outcome].[AIC Part2].&amp;[Health &amp; community care]&amp;[81 Health Watch - Hospital Service]"/>
    <s v="[AIC Outcome].[AIC Part2].&amp;[Health &amp; community care]&amp;[10 NHS costs/charges]"/>
    <s v="[AIC Outcome].[AIC Part2].&amp;[Health &amp; community care]&amp;[08 Community Care - Mental Health]"/>
    <s v="[AIC Outcome].[AIC Part2].&amp;[Health &amp; community care]&amp;[06 Residential Care]"/>
    <s v="[AIC Outcome].[AIC Part2].&amp;[Health &amp; community care]&amp;[04 Hospital services - Mental Health]"/>
    <s v="[AIC Outcome].[AIC Part2].&amp;[Financial services &amp; capability]&amp;[Not recorded/not applicable]"/>
    <s v="[AIC Outcome].[AIC Part2].&amp;[Financial services &amp; capability]&amp;[99 Other credit, fin. &amp; insurance issues]"/>
    <s v="[AIC Outcome].[AIC Part2].&amp;[Financial services &amp; capability]&amp;[7 Pensions, savings &amp; investments]"/>
    <s v="[AIC Outcome].[AIC Part2].&amp;[Financial services &amp; capability]&amp;[20 Financial capability]"/>
    <s v="[AIC Outcome].[AIC Part2].&amp;[Financial services &amp; capability]&amp;[18 Personal Pensions]"/>
    <s v="[AIC Outcome].[AIC Part2].&amp;[Financial services &amp; capability]&amp;[14 Life Insurance]"/>
    <s v="[AIC Outcome].[AIC Part2].&amp;[Financial services &amp; capability]&amp;[13 Buildings &amp; house contents insurance]"/>
    <s v="[AIC Outcome].[AIC Part2].&amp;[Financial services &amp; capability]&amp;[11 Holiday/travel insurance]"/>
    <s v="[AIC Outcome].[AIC Part2].&amp;[Financial services &amp; capability]&amp;[06 HP &amp; conditional sale]"/>
    <s v="[AIC Outcome].[AIC Part2].&amp;[Financial services &amp; capability]&amp;[04 Mortgages &amp; secured loans]"/>
    <s v="[AIC Outcome].[AIC Part2].&amp;[Financial services &amp; capability]&amp;[02 Bank/Building &amp; P/O Accounts]"/>
    <s v="[AIC Outcome].[AIC Part2].&amp;[Employment]&amp;[Not recorded/not applicable]"/>
    <s v="[AIC Outcome].[AIC Part2].&amp;[Employment]&amp;[13 Employment tribunals &amp; appeals]"/>
    <s v="[AIC Outcome].[AIC Part2].&amp;[Employment]&amp;[11 Dismissal]"/>
    <s v="[AIC Outcome].[AIC Part2].&amp;[Employment]&amp;[09 Dispute resolution]"/>
    <s v="[AIC Outcome].[AIC Part2].&amp;[Employment]&amp;[07 Pay &amp; Entitlements]"/>
    <s v="[AIC Outcome].[AIC Part2].&amp;[Employment]&amp;[05 Terms &amp; Conditions of Employment]"/>
    <s v="[AIC Outcome].[AIC Part2].&amp;[Employment]&amp;[03 Self Employment/Business]"/>
    <s v="[AIC Outcome].[AIC Part2].&amp;[Employment]&amp;[02 Schemes for the unemployed]"/>
    <s v="[AIC Outcome].[AIC Part2].&amp;[Employment]&amp;[01 Discrimination]"/>
    <s v="[AIC Outcome].[AIC Part2].&amp;[Education]&amp;[99 Other education issues]"/>
    <s v="[AIC Outcome].[AIC Part2].&amp;[Education]&amp;[05 Higher Education]"/>
    <s v="[AIC Outcome].[AIC Part2].&amp;[Education]&amp;[01 Discrimination]"/>
    <s v="[AIC Outcome].[AIC Part2].&amp;[Debt]&amp;[99 Other]"/>
    <s v="[AIC Outcome].[AIC Part2].&amp;[Debt]&amp;[50 Bankruptcy]"/>
    <s v="[AIC Outcome].[AIC Part2].&amp;[Debt]&amp;[41 Private Bailiffs]"/>
    <s v="[AIC Outcome].[AIC Part2].&amp;[Debt]&amp;[22 Payday loan debts]"/>
    <s v="[AIC Outcome].[AIC Part2].&amp;[Debt]&amp;[20 Overpts. Housing &amp; Council Tax Bens.]"/>
    <s v="[AIC Outcome].[AIC Part2].&amp;[Debt]&amp;[18 Overpayments of WTC &amp; CTC]"/>
    <s v="[AIC Outcome].[AIC Part2].&amp;[Debt]&amp;[16 Water supply &amp; sewerage debts]"/>
    <s v="[AIC Outcome].[AIC Part2].&amp;[Debt]&amp;[14 Unsecured personal loan debts]"/>
    <s v="[AIC Outcome].[AIC Part2].&amp;[Debt]&amp;[13 Credit, store &amp; charge card debts]"/>
    <s v="[AIC Outcome].[AIC Part2].&amp;[Debt]&amp;[12 Bank &amp; building society overdrafts]"/>
    <s v="[AIC Outcome].[AIC Part2].&amp;[Debt]&amp;[10 Mag. Cts. - fines &amp; comp.ord. arrears]"/>
    <s v="[AIC Outcome].[AIC Part2].&amp;[Debt]&amp;[08 Rent arrears - private landlords]"/>
    <s v="[AIC Outcome].[AIC Part2].&amp;[Debt]&amp;[07 Rent arrears -  housing associations]"/>
    <s v="[AIC Outcome].[AIC Part2].&amp;[Debt]&amp;[06 Rent arrears - LAs or ALMOs]"/>
    <s v="[AIC Outcome].[AIC Part2].&amp;[Debt]&amp;[05 Loans - unsecured]"/>
    <s v="[AIC Outcome].[AIC Part2].&amp;[Debt]&amp;[03 Hire purchase arrears]"/>
    <s v="[AIC Outcome].[AIC Part2].&amp;[Debt]&amp;[03 County &amp; High Court proceedings]"/>
    <s v="[AIC Outcome].[AIC Part2].&amp;[Debt]&amp;[02 Bank/Building &amp; P/O Accounts]"/>
    <s v="[AIC Outcome].[AIC Part2].&amp;[Consumer goods &amp; services]&amp;[Not recorded/not applicable]"/>
    <s v="[AIC Outcome].[AIC Part2].&amp;[Consumer goods &amp; services]&amp;[99 Other goods &amp; services]"/>
    <s v="[AIC Outcome].[AIC Part2].&amp;[Consumer goods &amp; services]&amp;[19 Green Deal energy efficiency measures]"/>
    <s v="[AIC Outcome].[AIC Part2].&amp;[Consumer goods &amp; services]&amp;[17 Fraud and scams]"/>
    <s v="[AIC Outcome].[AIC Part2].&amp;[Consumer goods &amp; services]&amp;[13 Vehicle repairs/servicing]"/>
    <s v="[AIC Outcome].[AIC Part2].&amp;[Consumer goods &amp; services]&amp;[11 New vehicles]"/>
    <s v="[AIC Outcome].[AIC Part2].&amp;[Consumer goods &amp; services]&amp;[09 Personal Development Courses (incl IT)]"/>
    <s v="[AIC Outcome].[AIC Part2].&amp;[Consumer goods &amp; services]&amp;[08 Clothing &amp; footwear]"/>
    <s v="[AIC Outcome].[AIC Part2].&amp;[Consumer goods &amp; services]&amp;[06 Electrical appliances &amp; repairs]"/>
    <s v="[AIC Outcome].[AIC Part2].&amp;[Consumer goods &amp; services]&amp;[04 Double glazing &amp; associated products]"/>
    <s v="[AIC Outcome].[AIC Part2].&amp;[Consumer goods &amp; services]&amp;[03 County &amp; High Court proceedings]"/>
    <s v="[AIC Outcome].[AIC Part2].&amp;[Consumer goods &amp; services]&amp;[02 Fuel (gas, electricity, oil, coal etc.)]"/>
    <s v="[AIC Outcome].[AIC Part2].&amp;[Consumer goods &amp; services]&amp;[01 Discrimination]"/>
    <s v="[AIC Outcome].[AIC Part2].&amp;[Benefits &amp; tax credits]&amp;[99 Other benefits issues]"/>
    <s v="[AIC Outcome].[AIC Part2].&amp;[Benefits &amp; tax credits]&amp;[25 Welfare reform benefit loss]"/>
    <s v="[AIC Outcome].[AIC Part2].&amp;[Benefits &amp; tax credits]&amp;[19 Employment Support Allowance]"/>
    <s v="[AIC Outcome].[AIC Part2].&amp;[Benefits &amp; tax credits]&amp;[17 Attendance Allowance]"/>
    <s v="[AIC Outcome].[AIC Part2].&amp;[Benefits &amp; tax credits]&amp;[13 State Retirement Pension]"/>
    <s v="[AIC Outcome].[AIC Part2].&amp;[Benefits &amp; tax credits]&amp;[10 Working &amp; Child Tax Credits]"/>
    <s v="[AIC Outcome].[AIC Part2].&amp;[Benefits &amp; tax credits]&amp;[07 Housing Benefit]"/>
    <s v="[AIC Outcome].[AIC Part2].&amp;[Benefits &amp; tax credits]&amp;[04 Social Fund Loans-Crisis]"/>
    <s v="[AIC Outcome].[AIC Part2].&amp;[Benefits &amp; tax credits]&amp;[03 Pension Credit]"/>
    <s v="[AIC Outcome].[AIC Part2].&amp;[Benefits &amp; tax credits]&amp;[02 Income Tax]"/>
    <s v="cabcrmsqlrs1 CABReportingCubes Local Financial Snapshot"/>
    <s v="[Monthly Calendar Enquiry Created].[Financial].[All]"/>
    <s v="[Measures].[Number of Outcomes]"/>
    <s v="[Measures].[Annualised Value]"/>
    <s v="[AIC Outcome].[Type Of Outcome].&amp;[Project]"/>
    <s v="[AIC Outcome].[Outcome].&amp;[Referred to telephone provider for debt solution]"/>
    <s v="[AIC Outcome].[Outcome].&amp;[Self help]"/>
    <s v="[AIC Outcome].[Outcome].&amp;[Referred to RBL for further assistance]"/>
    <s v="[AIC Outcome].[Outcome].&amp;[Referral to other advice/support]"/>
    <s v="[AIC Outcome].[Type Of Outcome].&amp;[Not recorded/not applicable]"/>
    <s v="[AIC Outcome].[Type Of Outcome].&amp;[Local]"/>
    <s v="[AIC Outcome].[Type Of Outcome].&amp;[Core]"/>
    <s v="[AIC Outcome].[Outcome].&amp;[Referred to RAFBF for further assistance]"/>
    <s v="[AIC Outcome].[Outcome].&amp;[RBL Grant Given]"/>
    <s v="[AIC Outcome].[Outcome].&amp;[Other. Please specify _________________________]"/>
    <s v="[AIC Outcome].[Outcome].&amp;[Not recorded/not applicable]"/>
    <s v="[AIC Outcome].[Outcome].&amp;[Macmillan Grant]"/>
    <s v="[AIC Outcome].[Outcome].&amp;[Food Vouchers]"/>
    <s v="[AIC Outcome].[Outcome].&amp;[F2F - Referral to other sources of advice]"/>
    <s v="[AIC Outcome].[Outcome].&amp;[DRO]"/>
    <s v="[AIC Outcome].[Outcome].&amp;[CASHflow]"/>
    <s v="[AIC Outcome].[Outcome].&amp;[Annual increase in income]"/>
    <s v="[AIC Outcome].[Outcome].&amp;[Improved health / capacity to manage]"/>
    <s v="[AIC Outcome].[Outcome].&amp;[Wiltshire - Wessex Water Restart]"/>
    <s v="[AIC Outcome].[Outcome].&amp;[Wiltshire - Surviving Winter Grant]"/>
    <s v="[AIC Outcome].[Outcome].&amp;[West Oxfordshire: Property/Management improved]"/>
    <s v="[AIC Outcome].[Outcome].&amp;[West Oxfordshire: Homelessness delayed]"/>
    <s v="[AIC Outcome].[Outcome].&amp;[Walsall NHS - Smoking Cessation]"/>
    <s v="[AIC Outcome].[Outcome].&amp;[Walsall NHS - MH and Wellbeing]"/>
    <s v="[AIC Outcome].[Outcome].&amp;[Walsall NHS - Alcohol]"/>
    <s v="[AIC Outcome].[Outcome].&amp;[Walsall NC - GP Registration]"/>
    <s v="[AIC Outcome].[Outcome].&amp;[Walsall NC - Children into school]"/>
    <s v="[AIC Outcome].[Outcome].&amp;[Uttlesford - BTU Project - Reduced Isolation]"/>
    <s v="[AIC Outcome].[Outcome].&amp;[Uttlesford - BTU Project - Client Empowered]"/>
    <s v="[AIC Outcome].[Outcome].&amp;[Tunbridge Wells and District Understanding improved]"/>
    <s v="[AIC Outcome].[Outcome].&amp;[Tunbridge Wells and District Increased wellbeing of client]"/>
    <s v="[AIC Outcome].[Outcome].&amp;[Tunbridge Wells and District Cashflow]"/>
    <s v="[AIC Outcome].[Outcome].&amp;[Tunbridge Wells and District Appeal process started]"/>
    <s v="[AIC Outcome].[Outcome].&amp;[Taunton Wilton Trust]"/>
    <s v="[AIC Outcome].[Outcome].&amp;[Taunton Local Assistance Scheme]"/>
    <s v="[AIC Outcome].[Outcome].&amp;[Taunton Aid in Sickness]"/>
    <s v="[AIC Outcome].[Outcome].&amp;[Southwark - Macmillan Grant for Dimbleby Project]"/>
    <s v="[AIC Outcome].[Outcome].&amp;[Southwark - EDF Grant]"/>
    <s v="[AIC Outcome].[Outcome].&amp;[South Liverpool - Stay Safe - 4.1 - Secure/obtain/maintain accom &amp; avoid eviction]"/>
    <s v="[AIC Outcome].[Outcome].&amp;[South Liverpool - Positive Contribution - 3.1 - Confidence, choice, control &amp; involvement]"/>
    <s v="[AIC Outcome].[Outcome].&amp;[South Liverpool - Economic Wellbeing - 5.3 - Support to obtain paid work]"/>
    <s v="[AIC Outcome].[Outcome].&amp;[South Liverpool - Economic Wellbeing - 5.1 - Welfare benefits]"/>
    <s v="[AIC Outcome].[Outcome].&amp;[South Liverpool - Be Healthy - 1.2 - Manage mental health]"/>
    <s v="[AIC Outcome].[Outcome].&amp;[Sherwood and Newark - Mortgage repossession prevented]"/>
    <s v="[AIC Outcome].[Outcome].&amp;[Salford District -HWB 5 Improved Physical Health via Advice &amp; Information about Health &amp; Social Care]"/>
    <s v="[AIC Outcome].[Outcome].&amp;[Salford District - HWB 4 Reduction in Reliance on Statutory Health and Social Care  Services]"/>
    <s v="[AIC Outcome].[Outcome].&amp;[Salford District - HWB 1 Choice and Control in Health and Social Care provision]"/>
    <s v="[AIC Outcome].[Outcome].&amp;[Salford District - BLCC 3 Increased Life Skills via  obtaining assessments/ services]"/>
    <s v="[AIC Outcome].[Outcome].&amp;[Salford District - BLCC 1 Improved Physical Health via obtaining Health and Social Care Services]"/>
    <s v="[AIC Outcome].[Outcome].&amp;[Salford District -  HWB 2 General Health and Wellbeing]"/>
    <s v="[AIC Outcome].[Outcome].&amp;[Oxfordshire South &amp; Vale: Non-financial gain - goods]"/>
    <s v="[AIC Outcome].[Outcome].&amp;[Oxfordshire South &amp; Vale: Housing  - rent arrears paid]"/>
    <s v="[AIC Outcome].[Outcome].&amp;[Oxfordshire South &amp; Vale: Financial gain - benefits]"/>
    <s v="[AIC Outcome].[Outcome].&amp;[North Somerset - NSCAB FunderFinder]"/>
    <s v="[AIC Outcome].[Outcome].&amp;[North Liverpool - Economic Wellbeing - 5.1 - Welfare benefits]"/>
    <s v="[AIC Outcome].[Outcome].&amp;[Herefordshire WWCAF award]"/>
    <s v="[AIC Outcome].[Outcome].&amp;[East End (Hackney) use of online financial health check.]"/>
    <s v="[AIC Outcome].[Outcome].&amp;[East End (Hackney) Residents who open or use a bank account]"/>
    <s v="[AIC Outcome].[Outcome].&amp;[East End (Hackney) Manage their budgets]"/>
    <s v="[AIC Outcome].[Outcome].&amp;[East End (Hackney) CV apply for jobs and enter the jobs market]"/>
    <s v="[AIC Outcome].[Outcome].&amp;[East End (Hackney) attend an IT training session]"/>
    <s v="[AIC Outcome].[Outcome].&amp;[East End (Hackney) attend a diagnostic interview]"/>
    <s v="[AIC Outcome].[Outcome].&amp;[Croydon HAP – Prevention of homelessness for 6 months or more]"/>
    <s v="[AIC Outcome].[Outcome].&amp;[Croydon HAP – Other – Disrepair]"/>
    <s v="[AIC Outcome].[Outcome].&amp;[Croydon HAP – Delay of homelessness for between 1 and 5 months]"/>
    <s v="[AIC Outcome].[Outcome].&amp;[Croydon - HAP - Income Raised/Grant Secured]"/>
    <s v="[AIC Outcome].[Outcome].&amp;[Chiltern - Rotary]"/>
    <s v="[AIC Outcome].[Outcome].&amp;[Chiltern - Griffin Club]"/>
    <s v="[AIC Outcome].[Outcome].&amp;[Buckingham Winslow &amp; District - MAP]"/>
    <s v="[AIC Outcome].[Outcome].&amp;[BHWCAB - Payment from BDC Exceptional Hardship Fund]"/>
    <s v="[AIC Outcome].[Outcome].&amp;[Bath - Wessex Water Assist, Reduced Tariff]"/>
    <s v="[AIC Outcome].[Outcome].&amp;[Bath - H7 homelessness prevented]"/>
    <s v="[AIC Outcome].[Outcome].&amp;[Bath - H5 housing benefit LHA and CTB]"/>
    <s v="[AIC Outcome].[Outcome].&amp;[Bath - H3 eviction prevented]"/>
    <s v="[AIC Outcome].[Outcome].&amp;[Bath - H1 possesion prevented]"/>
    <s v="[AIC Outcome].[Outcome].&amp;[Bath - Bath Municipal Charities Grant]"/>
    <s v="[AIC Outcome].[Outcome].&amp;[Will /probate outcomes - unsuccessful]"/>
    <s v="[AIC Outcome].[Outcome].&amp;[Unfair practice remedy - unsuccessful]"/>
    <s v="[AIC Outcome].[Outcome].&amp;[Unfair Insurance challenged - unsuccessful]"/>
    <s v="[AIC Outcome].[Outcome].&amp;[UC: Personal Budgeting Support received]"/>
    <s v="[AIC Outcome].[Outcome].&amp;[UC: Alternative Payment Arrangement agreed]"/>
    <s v="[AIC Outcome].[Outcome].&amp;[Terms or conditions maintained/enforced]"/>
    <s v="[AIC Outcome].[Outcome].&amp;[Tax return completed]"/>
    <s v="[AIC Outcome].[Outcome].&amp;[Tax coding corrected]"/>
    <s v="[AIC Outcome].[Outcome].&amp;[Referred to other advice/support]"/>
    <s v="[AIC Outcome].[Outcome].&amp;[Radar key]"/>
    <s v="[AIC Outcome].[Outcome].&amp;[Referred to IVA provider]"/>
    <s v="[AIC Outcome].[Outcome].&amp;[Piper lifeline]"/>
    <s v="[AIC Outcome].[Outcome].&amp;[Other]"/>
    <s v="[AIC Outcome].[Outcome].&amp;[Negotiation with creditors by Debt Adviser]"/>
    <s v="[AIC Outcome].[Outcome].&amp;[Income maximisation]"/>
    <s v="[AIC Outcome].[Outcome].&amp;[F2F - Referral to telephone debt advice]"/>
    <s v="[AIC Outcome].[Outcome].&amp;[F2F - Referral to digital debt advice]"/>
    <s v="[AIC Outcome].[Outcome].&amp;[Bankruptcy]"/>
    <s v="[AIC Outcome].[Outcome].&amp;[Benefit / tax credit gain - award or increase following revision or appeal]"/>
    <s v="[AIC Outcome].[Outcome].&amp;[Wiltshire - Wessex Water Assist]"/>
    <s v="[AIC Outcome].[Outcome].&amp;[West Oxfordshire: Settled Accommodation secured]"/>
    <s v="[AIC Outcome].[Outcome].&amp;[West Oxfordshire: Homelessness prevented - client stayed in home]"/>
    <s v="[AIC Outcome].[Outcome].&amp;[Walton Weybridge &amp; Hersham- Local assistance scheme]"/>
    <s v="[AIC Outcome].[Outcome].&amp;[Walsall NHS - Non-specific referral]"/>
    <s v="[AIC Outcome].[Outcome].&amp;[Walsall NHS - Healthy Eating]"/>
    <s v="[AIC Outcome].[Outcome].&amp;[Walsall NC - Other Health Referral]"/>
    <s v="[AIC Outcome].[Outcome].&amp;[Walsall NC - ESOL Referral]"/>
    <s v="[AIC Outcome].[Outcome].&amp;[Walsall  NHS - Healthy Weight]"/>
    <s v="[AIC Outcome].[Outcome].&amp;[Uttlesford - BTU Project - Improved Quality of Life]"/>
    <s v="[AIC Outcome].[Outcome].&amp;[Uttlesford - BTU Project - Benefitted Others/Community]"/>
    <s v="[AIC Outcome].[Outcome].&amp;[Tunbridge Wells and District QBC]"/>
    <s v="[AIC Outcome].[Outcome].&amp;[Tunbridge Wells and District Client empowered]"/>
    <s v="[AIC Outcome].[Outcome].&amp;[Tunbridge Wells and District Benefit estimate claim assisted by bureau]"/>
    <s v="[AIC Outcome].[Outcome].&amp;[Tunbridge Wells and District - IVA set up]"/>
    <s v="[AIC Outcome].[Outcome].&amp;[Taunton Other Grant]"/>
    <s v="[AIC Outcome].[Outcome].&amp;[Taunton Heritage Trust]"/>
    <s v="[AIC Outcome].[Outcome].&amp;[Southwark - Thames Water Grant Application]"/>
    <s v="[AIC Outcome].[Outcome].&amp;[Southwark - Energy Savings Referrals]"/>
    <s v="[AIC Outcome].[Outcome].&amp;[South Liverpool - Stay Safe - 4.4 - Self harm/Stress - Harm/risk to others]"/>
    <s v="[AIC Outcome].[Outcome].&amp;[South Liverpool - Positive Contribution - 3.2 - Confidence &amp; ability to have greater choice]"/>
    <s v="[AIC Outcome].[Outcome].&amp;[South Liverpool - Enjoy &amp; Achieve - 2.2 - Leisure/cultural &amp; faith]"/>
    <s v="[AIC Outcome].[Outcome].&amp;[South Liverpool - Economic Wellbeing - 5.2 - Debt]"/>
    <s v="[AIC Outcome].[Outcome].&amp;[South Liverpool - Be Healthy - 1.4 - Aids, adaptations &amp; assisted technology]"/>
    <s v="[AIC Outcome].[Outcome].&amp;[South Liverpool - Be Healthy - 1.1 - Manage physical health]"/>
    <s v="[AIC Outcome].[Outcome].&amp;[Sherwood and Newark - HOMELESSNESS PREVENTED: N&amp;S Homes]"/>
    <s v="[AIC Outcome].[Outcome].&amp;[Salford District - HWB 6 Enabled Clients  to live in usual place of residence]"/>
    <s v="[AIC Outcome].[Outcome].&amp;[Salford District - HWB 3 Decreased Social Isolation and Improved ability to Take Part in Daily Life]"/>
    <s v="[AIC Outcome].[Outcome].&amp;[Salford District - BLCC 4 Improved Mental Health and Wellbeing]"/>
    <s v="[AIC Outcome].[Outcome].&amp;[Salford District - BLCC 2 Decreased Social Isolation and Improved ability to Take Part in Daily Life]"/>
    <s v="[AIC Outcome].[Outcome].&amp;[Peterborough Food Voucher]"/>
    <s v="[AIC Outcome].[Outcome].&amp;[Oxfordshire South &amp; Vale: Housing  -rent arrears managed]"/>
    <s v="[AIC Outcome].[Outcome].&amp;[Oxfordshire South &amp; Vale: Financial gain - fuel grant]"/>
    <s v="[AIC Outcome].[Outcome].&amp;[Oxfordshire South &amp; Vale:  Financial - charitable grant]"/>
    <s v="[AIC Outcome].[Outcome].&amp;[North Liverpool - Economic Wellbeing - 5.2 - Debt]"/>
    <s v="[AIC Outcome].[Outcome].&amp;[North Liverpool - Be Healthy - 1.1 - Manage physical health]"/>
    <s v="[AIC Outcome].[Outcome].&amp;[East Staffordshire - ALES Signposting]"/>
    <s v="[AIC Outcome].[Outcome].&amp;[East End (Hackney) use mainstream financial services including credit]"/>
    <s v="[AIC Outcome].[Outcome].&amp;[East End (Hackney) money management advice, information or training]"/>
    <s v="[AIC Outcome].[Outcome].&amp;[East End (Hackney) CV or use IT jobsearch]"/>
    <s v="[AIC Outcome].[Outcome].&amp;[East End (Hackney) Attendance at employment and training advice session]"/>
    <s v="[AIC Outcome].[Outcome].&amp;[East End (Hackney) attend a training session on affordable financial services and products]"/>
    <s v="[AIC Outcome].[Outcome].&amp;[Croydon HAP – Settled accommodation secured]"/>
    <s v="[AIC Outcome].[Outcome].&amp;[Croydon HAP – Other – Part VII (including reviews)]"/>
    <s v="[AIC Outcome].[Outcome].&amp;[Croydon HAP – Other]"/>
    <s v="[AIC Outcome].[Outcome].&amp;[Croydon - HAP - Other - Part VI / VII (including reviews).]"/>
    <s v="[AIC Outcome].[Outcome].&amp;[Chiltern - Sick Poor]"/>
    <s v="[AIC Outcome].[Outcome].&amp;[Chiltern - Madge Fund]"/>
    <s v="[AIC Outcome].[Outcome].&amp;[Chiltern - CAB Fund]"/>
    <s v="[AIC Outcome].[Outcome].&amp;[Buckingham Winslow &amp; District - Home Visiting]"/>
    <s v="[AIC Outcome].[Outcome].&amp;[Bath &amp; North East Somerset - Foodbank]"/>
    <s v="[AIC Outcome].[Outcome].&amp;[Bath - NHS Low Income Scheme]"/>
    <s v="[AIC Outcome].[Outcome].&amp;[Bath - H6 notice to quit prevented]"/>
    <s v="[AIC Outcome].[Outcome].&amp;[Bath - H4 eviction suspended]"/>
    <s v="[AIC Outcome].[Outcome].&amp;[Bath - H2 possesion suspended]"/>
    <s v="[AIC Outcome].[Outcome].&amp;[Bath - Bath Municipal Charities Grant, Childrens Centres]"/>
    <s v="[AIC Outcome].[Outcome].&amp;[Bath -  Wessex Water Restart, Phased Debt Write Off]"/>
    <s v="[AIC Outcome].[Outcome].&amp;[Will /probate outcomes - successful]"/>
    <s v="[AIC Outcome].[Outcome].&amp;[Utilities disconnection prevented]"/>
    <s v="[AIC Outcome].[Outcome].&amp;[Unfair practice remedy - success]"/>
    <s v="[AIC Outcome].[Outcome].&amp;[Unfair Insurance challenged - successful]"/>
    <s v="[AIC Outcome].[Outcome].&amp;[Token payments]"/>
    <s v="[AIC Outcome].[Outcome].&amp;[Temporary accomm secured (not Part 7)]"/>
    <s v="[AIC Outcome].[Outcome].&amp;[Tax rebate]"/>
    <s v="[AIC Outcome].[Outcome].&amp;[Tax - other (non-financial)]"/>
    <s v="[AIC Outcome].[Outcome].&amp;[Road tax exemption]"/>
    <s v="[AIC Outcome].[Outcome].&amp;[Request to be added to Priority Services Reg / Special Ass Reg]"/>
    <s v="[AIC Outcome].[Outcome].&amp;[Rehoused (not Part 7)]"/>
    <s v="[AIC Outcome].[Outcome].&amp;[Refund / Cancellation - refused]"/>
    <s v="[AIC Outcome].[Outcome].&amp;[Reduction/removal charges]"/>
    <s v="[AIC Outcome].[Outcome].&amp;[Public transport access - successful]"/>
    <s v="[AIC Outcome].[Outcome].&amp;[Other savings achieved]"/>
    <s v="[AIC Outcome].[Outcome].&amp;[Non-financial]"/>
    <s v="[AIC Outcome].[Outcome].&amp;[Lost document returned / replaced - successful]"/>
    <s v="[AIC Outcome].[Outcome].&amp;[LA intervened &amp; provided support - success]"/>
    <s v="[AIC Outcome].[Outcome].&amp;[Insurance taken out]"/>
    <s v="[AIC Outcome].[Outcome].&amp;[Homelessness averted (under a homelessness duty)]"/>
    <s v="[AIC Outcome].[Outcome].&amp;[Harassment or bullying stopped]"/>
    <s v="[AIC Outcome].[Outcome].&amp;[Greater choice and/or involvement and/or control of services]"/>
    <s v="[AIC Outcome].[Outcome].&amp;[Full and final settlement]"/>
    <s v="[AIC Outcome].[Outcome].&amp;[Financial situation stabilised / debts under control]"/>
    <s v="[AIC Outcome].[Outcome].&amp;[Financial body challenged - unsuccessful]"/>
    <s v="[AIC Outcome].[Outcome].&amp;[Financial assistance - associated costs, FSM, uniform, trips, books, travel]"/>
    <s v="[AIC Outcome].[Outcome].&amp;[DRO - debt relief order]"/>
    <s v="[AIC Outcome].[Outcome].&amp;[Discriminatory practice/policy/decision unchanged]"/>
    <s v="[AIC Outcome].[Outcome].&amp;[Action taken to redress under-occupation]"/>
    <s v="[AIC Outcome].[Outcome].&amp;[Tax - other (financial gain)]"/>
    <s v="[AIC Outcome].[Outcome].&amp;[Risk assessment conducted]"/>
    <s v="[AIC Outcome].[Outcome].&amp;[Repayment negotiated]"/>
    <s v="[AIC Outcome].[Outcome].&amp;[Refund / Repair / Replacement refused]"/>
    <s v="[AIC Outcome].[Outcome].&amp;[Referred for energy efficiency advice]"/>
    <s v="[AIC Outcome].[Outcome].&amp;[Reasonable adjustment for disability - refused]"/>
    <s v="[AIC Outcome].[Outcome].&amp;[Property or management improved]"/>
    <s v="[AIC Outcome].[Outcome].&amp;[Other Consumer Credit Act remedy]"/>
    <s v="[AIC Outcome].[Outcome].&amp;[New tax liability identified]"/>
    <s v="[AIC Outcome].[Outcome].&amp;[Legal fines /costs imposed]"/>
    <s v="[AIC Outcome].[Outcome].&amp;[LA / RSL Mortgage rescue]"/>
    <s v="[AIC Outcome].[Outcome].&amp;[Insurance pay-out]"/>
    <s v="[AIC Outcome].[Outcome].&amp;[Immigration status improved]"/>
    <s v="[AIC Outcome].[Outcome].&amp;[Home care/aids/adaptations obtained]"/>
    <s v="[AIC Outcome].[Outcome].&amp;[Harassment or bullying continues]"/>
    <s v="[AIC Outcome].[Outcome].&amp;[Goods or services provided]"/>
    <s v="[AIC Outcome].[Outcome].&amp;[Free or reduced charges/costs]"/>
    <s v="[AIC Outcome].[Outcome].&amp;[Financial gain/improvement]"/>
    <s v="[AIC Outcome].[Outcome].&amp;[Financial body challenged - successful]"/>
    <s v="[AIC Outcome].[Outcome].&amp;[Exclusion overturned]"/>
    <s v="[AIC Outcome].[Outcome].&amp;[DMP - debt management plan]"/>
    <s v="[AIC Outcome].[Outcome].&amp;[Discriminatory practice/policy/decision changed]"/>
    <s v="[AIC Outcome].[Outcome].&amp;[Discrimination remedy –  successful]"/>
    <s v="[AIC Outcome].[Outcome].&amp;[Debts repaid]"/>
    <s v="[AIC Outcome].[Outcome].&amp;[Criminal proceedings completed]"/>
    <s v="[AIC Outcome].[Outcome].&amp;[Court or committal proceedings avoided/suspended]"/>
    <s v="[AIC Outcome].[Outcome].&amp;[Contact arrangements - disputed]"/>
    <s v="[AIC Outcome].[Outcome].&amp;[Complaint resolved]"/>
    <s v="[AIC Outcome].[Outcome].&amp;[complaint made]"/>
    <s v="[AIC Outcome].[Outcome].&amp;[Compensation or remedy awarded by court/tribunal]"/>
    <s v="[AIC Outcome].[Outcome].&amp;[Compensation - denied]"/>
    <s v="[AIC Outcome].[Outcome].&amp;[Community Care assessment obtained]"/>
    <s v="[AIC Outcome].[Outcome].&amp;[Client successfully referred to mediation]"/>
    <s v="[AIC Outcome].[Outcome].&amp;[Claim or action - unsuccessful]"/>
    <s v="[AIC Outcome].[Outcome].&amp;[Civil proceedings completed]"/>
    <s v="[AIC Outcome].[Outcome].&amp;[Child Maintenance Enforcement action taken]"/>
    <s v="[AIC Outcome].[Outcome].&amp;[Change to banking arrangements]"/>
    <s v="[AIC Outcome].[Outcome].&amp;[Challenge to disciplinary - unsuccessful]"/>
    <s v="[AIC Outcome].[Outcome].&amp;[Cancellation - unsuccessful]"/>
    <s v="[AIC Outcome].[Outcome].&amp;[Business not found or ceased trading]"/>
    <s v="[AIC Outcome].[Outcome].&amp;[Budgeting change]"/>
    <s v="[AIC Outcome].[Outcome].&amp;[Blue badge - denied]"/>
    <s v="[AIC Outcome].[Outcome].&amp;[Benefit cap exemption obtained]"/>
    <s v="[AIC Outcome].[Outcome].&amp;[Benefit / tax credit loss]"/>
    <s v="[AIC Outcome].[Outcome].&amp;[Benefit / tax credit gain - Money put back into payment]"/>
    <s v="[AIC Outcome].[Outcome].&amp;[Appropriate service/ support obtained for client - unsuccessful]"/>
    <s v="[AIC Outcome].[Outcome].&amp;[Application under incapacity legislation]"/>
    <s v="[AIC Outcome].[Outcome].&amp;[Application made to Fuel Direct scheme]"/>
    <s v="[AIC Outcome].[Outcome].&amp;[Appeal made]"/>
    <s v="[AIC Outcome].[Outcome].&amp;[Apology given]"/>
    <s v="[AIC Outcome].[Outcome].&amp;[Ancillary relief - successful]"/>
    <s v="[AIC Outcome].[Outcome].&amp;[ADR - not upheld / unavailable]"/>
    <s v="[AIC Outcome].[Outcome].&amp;[Admission appeal - successful]"/>
    <s v="[AIC Outcome].[Outcome].&amp;[Able to access / engage in community activities]"/>
    <s v="[AIC Outcome].[Outcome].&amp;[Settled accomm secured (not under a homelessness duty)]"/>
    <s v="[AIC Outcome].[Outcome].&amp;[Right to enter/stay secured]"/>
    <s v="[AIC Outcome].[Outcome].&amp;[Remortgage / Consolidation loan]"/>
    <s v="[AIC Outcome].[Outcome].&amp;[Refund / Repair / Replacement agreed/scheduled]"/>
    <s v="[AIC Outcome].[Outcome].&amp;[Reference refused]"/>
    <s v="[AIC Outcome].[Outcome].&amp;[Reasonable adjustment for disability - made]"/>
    <s v="[AIC Outcome].[Outcome].&amp;[Pension plan made]"/>
    <s v="[AIC Outcome].[Outcome].&amp;[Other (non-financial)]"/>
    <s v="[AIC Outcome].[Outcome].&amp;[Not liable for debt]"/>
    <s v="[AIC Outcome].[Outcome].&amp;[NASS support secured]"/>
    <s v="[AIC Outcome].[Outcome].&amp;[Legal aid obtained - unsuccessful]"/>
    <s v="[AIC Outcome].[Outcome].&amp;[IVA - Individual Voluntary Agreement]"/>
    <s v="[AIC Outcome].[Outcome].&amp;[Indefinite leave]"/>
    <s v="[AIC Outcome].[Outcome].&amp;[Homelessness prevented - remained in home]"/>
    <s v="[AIC Outcome].[Outcome].&amp;[Health/social care charges reduced or eliminated]"/>
    <s v="[AIC Outcome].[Outcome].&amp;[Grievance upheld by employer]"/>
    <s v="[AIC Outcome].[Outcome].&amp;[Gender based violence - successful]"/>
    <s v="[AIC Outcome].[Outcome].&amp;[Food provision / referral]"/>
    <s v="[AIC Outcome].[Outcome].&amp;[Financial gain (please specify)]"/>
    <s v="[AIC Outcome].[Outcome].&amp;[Financial assistance - loans]"/>
    <s v="[AIC Outcome].[Outcome].&amp;[Enforcement action taken]"/>
    <s v="[AIC Outcome].[Outcome].&amp;[Disputed fine / charge / action - unsuccessful]"/>
    <s v="[AIC Outcome].[Outcome].&amp;[Discrimination remedy – unsuccessful]"/>
    <s v="[AIC Outcome].[Outcome].&amp;[Administration / Composition order]"/>
    <s v="[AIC Outcome].[Outcome].&amp;[Savings plan made]"/>
    <s v="[AIC Outcome].[Outcome].&amp;[Right to benefits secured]"/>
    <s v="[AIC Outcome].[Outcome].&amp;[Reinstatement]"/>
    <s v="[AIC Outcome].[Outcome].&amp;[Refund / Cancellation rights - successfully used]"/>
    <s v="[AIC Outcome].[Outcome].&amp;[Reference provided]"/>
    <s v="[AIC Outcome].[Outcome].&amp;[Realising assets (excluding home)]"/>
    <s v="[AIC Outcome].[Outcome].&amp;[Overpayment reduced or not recovered]"/>
    <s v="[AIC Outcome].[Outcome].&amp;[Other (financial)]"/>
    <s v="[AIC Outcome].[Outcome].&amp;[Non-financial admin issue resolved]"/>
    <s v="[AIC Outcome].[Outcome].&amp;[Mediation or conciliation unsuccessful]"/>
    <s v="[AIC Outcome].[Outcome].&amp;[Legal aid obtained - successful]"/>
    <s v="[AIC Outcome].[Outcome].&amp;[Issue unresolved or appeal unsuccessful]"/>
    <s v="[AIC Outcome].[Outcome].&amp;[Improvement in life skills]"/>
    <s v="[AIC Outcome].[Outcome].&amp;[Homelessness delayed]"/>
    <s v="[AIC Outcome].[Outcome].&amp;[Harassment or neighbour dispute resolved]"/>
    <s v="[AIC Outcome].[Outcome].&amp;[Grievance rejected by employer]"/>
    <s v="[AIC Outcome].[Outcome].&amp;[Funeral costs paid / part paid]"/>
    <s v="[AIC Outcome].[Outcome].&amp;[Flexible working hours agreed]"/>
    <s v="[AIC Outcome].[Outcome].&amp;[Financial gain]"/>
    <s v="[AIC Outcome].[Outcome].&amp;[Financial assistance - fees &amp; maintenance grants/waivers]"/>
    <s v="[AIC Outcome].[Outcome].&amp;[Enforcement action avoided/suspended]"/>
    <s v="[AIC Outcome].[Outcome].&amp;[Disputed fine / charge / action - successful]"/>
    <s v="[AIC Outcome].[Outcome].&amp;[Discrimination remedy – successful]"/>
    <s v="[AIC Outcome].[Outcome].&amp;[Deportation prevented/delayed]"/>
    <s v="[AIC Outcome].[Outcome].&amp;[Debt write off - other]"/>
    <s v="[AIC Outcome].[Outcome].&amp;[Crime prosecuted]"/>
    <s v="[AIC Outcome].[Outcome].&amp;[Court fees waived or refunded]"/>
    <s v="[AIC Outcome].[Outcome].&amp;[Contact arrangements - agreed]"/>
    <s v="[AIC Outcome].[Outcome].&amp;[Complaint made to organisation]"/>
    <s v="[AIC Outcome].[Outcome].&amp;[Compensation ordered/agreed but unpaid]"/>
    <s v="[AIC Outcome].[Outcome].&amp;[Compensation or remedy agreed by settlement]"/>
    <s v="[AIC Outcome].[Outcome].&amp;[Compensation - awarded]"/>
    <s v="[AIC Outcome].[Outcome].&amp;[collection action stopped/suspended/prevented]"/>
    <s v="[AIC Outcome].[Outcome].&amp;[client obtained appropriate help with court forms]"/>
    <s v="[AIC Outcome].[Outcome].&amp;[Claim or action - not possible]"/>
    <s v="[AIC Outcome].[Outcome].&amp;[Child maintenance received]"/>
    <s v="[AIC Outcome].[Outcome].&amp;[Charitable payment]"/>
    <s v="[AIC Outcome].[Outcome].&amp;[Challenge to disciplinary action - successful]"/>
    <s v="[AIC Outcome].[Outcome].&amp;[Cancellation - successful]"/>
    <s v="[AIC Outcome].[Outcome].&amp;[Bus pass obtained]"/>
    <s v="[AIC Outcome].[Outcome].&amp;[Blue badge - obtained]"/>
    <s v="[AIC Outcome].[Outcome].&amp;[Better deal with same supplier]"/>
    <s v="[AIC Outcome].[Outcome].&amp;[Bereavement Planning]"/>
    <s v="[AIC Outcome].[Outcome].&amp;[Benefit / tax credit maintained]"/>
    <s v="[AIC Outcome].[Outcome].&amp;[Benefit / tax credit gain - social fund awarded]"/>
    <s v="[AIC Outcome].[Outcome].&amp;[Benefit / tax credit gain - Compensation / &quot;ex-gratia&quot; payment]"/>
    <s v="[AIC Outcome].[Outcome].&amp;[Benefit / tax credit gain - a new award or increase]"/>
    <s v="[AIC Outcome].[Outcome].&amp;[Bailiff's action stopped/suspended/prevented]"/>
    <s v="[AIC Outcome].[Outcome].&amp;[Appropriate service/ support obtained for client - successful]"/>
    <s v="[AIC Outcome].[Outcome].&amp;[Application made to govt scheme for financial help/energy efficiency measures]"/>
    <s v="[AIC Outcome].[Outcome].&amp;[Application made to energy trust fund]"/>
    <s v="[AIC Outcome].[Outcome].&amp;[Apology refused]"/>
    <s v="[AIC Outcome].[Outcome].&amp;[Ancillary relief - unsuccessful]"/>
    <s v="[AIC Outcome].[Outcome].&amp;[ADR - used successfully]"/>
    <s v="[AIC Outcome].[Outcome].&amp;[Admission appeal - unsuccessful]"/>
    <s v="[AIC Outcome].[Outcome].&amp;[Able to participate in chosen training and/or education]"/>
    <s v="[AIC Outcome].[Type Of Outcome].[All]"/>
    <s v="[Monthly Calendar Outcome Date].[Financial].[Year].&amp;[2013-14]"/>
    <s v="[AIC Outcome].[Financial Outcome Category].&amp;[Re-imbursements, services, loans]"/>
    <s v="[AIC Outcome].[Advice Area].[All]"/>
    <s v="[AIC Outcome].[Advice Area].&amp;[Relationships &amp; family]"/>
    <s v="[AIC Outcome].[Advice Area].&amp;[Immigration &amp; asylum]"/>
    <s v="[AIC Outcome].[Advice Area].&amp;[Employment]"/>
    <s v="[AIC Outcome].[Advice Area].&amp;[Benefits &amp; tax credits]"/>
    <s v="[AIC Outcome].[Financial Outcome Category].&amp;[Not recorded/not applicable]"/>
    <s v="[AIC Outcome].[Advice Area].&amp;[Utilities &amp; communications]"/>
    <s v="[AIC Outcome].[Advice Area].&amp;[Other]"/>
    <s v="[AIC Outcome].[Advice Area].&amp;[Housing]"/>
    <s v="[AIC Outcome].[Advice Area].&amp;[Education]"/>
    <s v="[AIC Outcome].[Financial Outcome Category].&amp;[Income gain]"/>
    <s v="[AIC Outcome].[Advice Area].&amp;[Travel &amp; transport]"/>
    <s v="[AIC Outcome].[Advice Area].&amp;[Not recorded/not applicable]"/>
    <s v="[AIC Outcome].[Advice Area].&amp;[Health &amp; community care]"/>
    <s v="[AIC Outcome].[Advice Area].&amp;[Debt]"/>
    <s v="[AIC Outcome].[Financial Outcome Category].&amp;[Repayments rescheduled]"/>
    <s v="[AIC Outcome].[Financial Outcome Category].&amp;[Debts written off]"/>
    <s v="[AIC Outcome].[Advice Area].&amp;[Tax]"/>
    <s v="[AIC Outcome].[Advice Area].&amp;[Legal]"/>
    <s v="[AIC Outcome].[Advice Area].&amp;[Financial services &amp; capability]"/>
    <s v="[AIC Outcome].[Advice Area].&amp;[Consumer goods &amp; services]"/>
    <s v="{([AIC Outcome].[Financial Outcome Category].&amp;[Repayments rescheduled]),([AIC Outcome].[Financial Outcome Category].&amp;[Re-imbursements, services, loans]),([AIC Outcome].[Financial Outcome Category].&amp;[Not recorded/not applicable]),([AIC Outcome].[Financial Outcome Category].&amp;[Income gain]),([AIC Outcome].[Financial Outcome Category].&amp;[Debts written off])}"/>
    <s v="{[Local Organisation].[CAB].[All]}"/>
    <s v="[Advice Event Type].[Advice Event Type].&amp;[Enquiry AIC/Outcome Creation]"/>
    <s v="[Work Level].[Work Level].[All]"/>
    <s v="[Work Level].[Work Level].&amp;[Signposting]"/>
    <s v="[AIC Outcome].[AIC].[AIC Part1].&amp;[Discrimination]"/>
    <s v="[AIC Outcome].[Outcome].&amp;[Walsall NHS - Physical Activity]"/>
    <s v="[AIC Outcome].[Outcome].&amp;[Southwark - British Gas Grant]"/>
    <s v="[AIC Outcome].[Outcome].&amp;[South Liverpool 5.1 Maximise income including receipt of the right benefit]"/>
    <s v="[AIC Outcome].[Outcome].&amp;[South Liverpool 4.3 Increased feelings of safety and/or reduced anxiety]"/>
    <s v="[AIC Outcome].[Outcome].&amp;[South Liverpool - Enjoy &amp; Achieve - 2.4 - External services/groups]"/>
    <s v="[AIC Outcome].[Outcome].&amp;[South Gloucestershire - Wessex Water Form Submitted]"/>
    <s v="[AIC Outcome].[Outcome].&amp;[Stratford upon Avon and District - Debt Managed]"/>
    <s v="[AIC Outcome].[Outcome].&amp;[South Liverpool 6.1 Improve or maintain self-respect]"/>
    <s v="[AIC Outcome].[Outcome].&amp;[South Liverpool 4.4 Accessed/received relevant advocacy support]"/>
    <s v="[AIC Outcome].[Outcome].&amp;[South Liverpool 2.3 Participate in chosen work like/voluntary/unpaid work activities]"/>
    <s v="[AIC Outcome].[Outcome].&amp;[Sherwood and Newark - Mortgage Rescue Scheme]"/>
    <s v="[AIC Outcome].[Outcome].&amp;[Redbridge - LBR Council/Leasehold]"/>
    <s v="[AIC Outcome].[Outcome].&amp;[North Liverpool 4.3 Increased feelings of safety and/or reduced anxiety]"/>
    <s v="[AIC Outcome].[Outcome].&amp;[North Liverpool - Be Healthy - 1.2 - Manage mental health]"/>
    <s v="[AIC Outcome].[Outcome].&amp;[Lewes District - Helped to make informed choice]"/>
    <s v="[AIC Outcome].[Outcome].&amp;[Reasonable adjustment made for disabled client]"/>
    <s v="[AIC Outcome].[Outcome].&amp;[Mediation successful]"/>
    <s v="[AIC Outcome].[Outcome].&amp;[Gender based violence - unsuccessful]"/>
    <s v="[AIC Outcome].[Outcome].&amp;[Financial planning for the future]"/>
    <s v="[AIC Outcome].[Outcome].&amp;[Creditor action stopped/suspended/prevented]"/>
    <s v="[AIC Outcome].[Outcome].&amp;[Claim or complaint - not possible]"/>
    <s v="[AIC Outcome].[Outcome].&amp;[Civil penalty challenged and repaid]"/>
    <s v="[AIC Outcome].[Outcome].&amp;[Barriers to employment removed]"/>
    <s v="[AIC Outcome].[Outcome].&amp;[Sherwood and Newark - HOMELESSNESS PREVENTED: Private]"/>
    <s v="[AIC Outcome].[Outcome].&amp;[North Liverpool 3.1 Greater choice/involvement/control at service level + within the wider community]"/>
    <s v="[AIC Outcome].[Outcome].&amp;[Lewes District - Helped keep family together]"/>
    <s v="[AIC Outcome].[Outcome].&amp;[Gwynedd &amp; De Ynys Mon: Welsh Water/Dwr Cymru CAF - Accepted]"/>
    <s v="[AIC Outcome].[Outcome].&amp;[Challenge to discriminatory practice / policy / decision rejected]"/>
    <s v="[AIC Outcome].[Outcome].&amp;[Better deal through switching supplier]"/>
    <s v="[AIC Outcome].[Outcome].&amp;[Benefit / tax credit gain - overpayment reduced or not recovered]"/>
    <s v="[AIC Outcome].[Outcome].&amp;[Administration order only]"/>
    <s v="[AIC Outcome].[Outcome].&amp;[Sherwood and Newark - HOMELESSNESS PREVENTED: Other Social RP's]"/>
    <s v="[AIC Outcome].[Outcome].&amp;[Rutland - Homelessness Prevention]"/>
    <s v="[AIC Outcome].[Outcome].&amp;[North Liverpool 6.1 Improve or maintain self-respect]"/>
    <s v="[AIC Outcome].[Outcome].&amp;[Lewes District - Reduced stress/anxiety]"/>
    <s v="[AIC Outcome].[Outcome].&amp;[Lewes District - Avoided homelessness]"/>
    <s v="[AIC Outcome].[Outcome].&amp;[Buckingham Winslow &amp; District - Court Desk]"/>
    <s v="[AIC Outcome].[Outcome].&amp;[Social care charges reduced or eliminated]"/>
    <s v="[AIC Outcome].[Outcome].&amp;[Section 4 payments]"/>
    <s v="[AIC Outcome].[Outcome].&amp;[Money recovered]"/>
    <s v="[AIC Outcome].[Outcome].&amp;[Health charges reduced or eliminated]"/>
    <s v="[AIC Outcome].[Outcome].&amp;[Grievance or complaint rejected]"/>
    <s v="[AIC Outcome].[Outcome].&amp;[Feedback passed to third party]"/>
    <s v="[AIC Outcome].[Outcome].&amp;[Complaint successful]"/>
    <s v="[AIC Outcome].[Outcome].&amp;[Claim or complaint - unsuccessful]"/>
    <s v="[AIC Outcome].[Outcome].&amp;[Benefit cap or under-occupation - action taken to mitigate]"/>
    <s v="[AIC Outcome].[Outcome].&amp;[Benefit / tax credit loan agreed]"/>
    <s v="[AIC Outcome].[Outcome].&amp;[Redbridge - LBR Mortgage/ Debt]"/>
    <s v="[AIC Outcome].[Outcome].&amp;[North Liverpool 5.1 Maximise income including receipt of the right benefit]"/>
    <s v="[AIC Outcome].[Outcome].&amp;[Lewes District - Identified need for specialist advice]"/>
    <s v="[AIC Outcome].[Outcome].&amp;[Leeds - Debt Managed]"/>
    <s v="[AIC Outcome].[Outcome].&amp;[East Staffordshire - ALES Satisfaction]"/>
    <s v="[AIC Outcome].[Outcome].&amp;[Utility meter installed / moved / recalibrated]"/>
    <s v="[AIC Outcome].[Outcome].&amp;[Detention prevented / Client released]"/>
    <s v="[AIC Outcome].[Outcome].&amp;[Claimant Commitment amended]"/>
    <s v="[AIC Outcome].[Outcome].&amp;[Administration order with composition order]"/>
    <s v="{[National Funder].[Funder].[All]}"/>
    <s v="{[Monthly Calendar Enquiry Created].[Financial].[All]}"/>
    <s v="[Client Profile].[Gender].&amp;[Trans]"/>
    <s v="[Client Profile].[Gender].&amp;[Trans - Female]"/>
    <s v="[Client Profile].[Gender].&amp;[Trans - Male]"/>
    <s v="[AIC Outcome].[Advice Area].&amp;[Discrimination]"/>
    <s v="[Event Profile].[Channel].&amp;[Not recorded/not applicable]"/>
    <s v="[AIC Outcome].[AIC Part2].&amp;[Benefits &amp; tax credits]&amp;[02 Actual homelessness]"/>
    <s v="{[Monthly Calendar].[Financial].[Year].&amp;[2016-17]}"/>
    <s v="{[Monthly Calendar Outcome Date].[Financial].[Year].&amp;[2016-17]}"/>
    <s v="{([Client Event Type].[Client Event Type].&amp;[Phone call]),([Client Event Type].[Client Event Type].&amp;[Letter]),([Client Event Type].[Client Event Type].&amp;[Gateway]),([Client Event Type].[Client Event Type].&amp;[Face to face]),([Client Event Type].[Client Event Type].&amp;[Enquiry]),([Client Event Type].[Client Event Type].&amp;[Email]),([Client Event Type].[Client Event Type].&amp;[Day sheet])}"/>
    <s v="[Advice Event Type].[Advice Event Type].&amp;[Gateway AIC Creation]"/>
    <s v="[Advice Event Type].[Advice Event Type].&amp;[Day sheet AIC Creation]"/>
    <s v="{([Advice Event Type].[Advice Event Type].&amp;[Gateway AIC Creation]),([Advice Event Type].[Advice Event Type].&amp;[Enquiry AIC/Outcome Creation]),([Advice Event Type].[Advice Event Type].&amp;[Day sheet AIC Creation])}"/>
    <s v="{[Client Event Type].[Client Event Type].&amp;[Enquiry],[Client Event Type].[Client Event Type].&amp;[Gateway]}"/>
    <s v="{[Client Event Type].[Client Event Type].&amp;[Email],[Client Event Type].[Client Event Type].&amp;[Letter],[Client Event Type].[Client Event Type].&amp;[Phone call],[Client Event Type].[Client Event Type].&amp;[Face to face]}"/>
    <s v="{[Advice Event Type].[Advice Event Type].&amp;[Gateway AIC Creation],[Advice Event Type].[Advice Event Type].&amp;[Enquiry AIC/Outcome Creation]}"/>
    <s v="{[Advice Event Type].[Advice Event Type].&amp;[Day sheet AIC Creation]}"/>
    <s v="{[Local Organisation].[CAB].[Member].&amp;[York (member)]&amp;[Yorkshire &amp; the Humber]}"/>
    <s v="[AIC Outcome].[Outcome].&amp;[Client represented in court]"/>
  </metadataStrings>
  <mdxMetadata count="2753">
    <mdx n="0" f="s">
      <ms ns="1" c="0"/>
    </mdx>
    <mdx n="0" f="s">
      <ms ns="2" c="0"/>
    </mdx>
    <mdx n="0" f="m">
      <t c="1">
        <n x="3"/>
      </t>
    </mdx>
    <mdx n="0" f="m">
      <t c="1">
        <n x="4"/>
      </t>
    </mdx>
    <mdx n="0" f="m">
      <t c="1">
        <n x="5"/>
      </t>
    </mdx>
    <mdx n="0" f="m">
      <t c="1">
        <n x="6"/>
      </t>
    </mdx>
    <mdx n="0" f="m">
      <t c="1">
        <n x="7"/>
      </t>
    </mdx>
    <mdx n="0" f="m">
      <t c="1">
        <n x="8"/>
      </t>
    </mdx>
    <mdx n="0" f="m">
      <t c="1">
        <n x="9"/>
      </t>
    </mdx>
    <mdx n="0" f="m">
      <t c="1">
        <n x="10"/>
      </t>
    </mdx>
    <mdx n="0" f="m">
      <t c="1">
        <n x="11"/>
      </t>
    </mdx>
    <mdx n="0" f="m">
      <t c="1">
        <n x="12"/>
      </t>
    </mdx>
    <mdx n="0" f="m">
      <t c="1">
        <n x="13"/>
      </t>
    </mdx>
    <mdx n="0" f="m">
      <t c="1">
        <n x="14"/>
      </t>
    </mdx>
    <mdx n="0" f="m">
      <t c="1">
        <n x="15"/>
      </t>
    </mdx>
    <mdx n="0" f="m">
      <t c="1">
        <n x="16"/>
      </t>
    </mdx>
    <mdx n="0" f="m">
      <t c="1">
        <n x="17"/>
      </t>
    </mdx>
    <mdx n="0" f="m">
      <t c="1">
        <n x="18"/>
      </t>
    </mdx>
    <mdx n="0" f="m">
      <t c="1">
        <n x="19"/>
      </t>
    </mdx>
    <mdx n="0" f="m">
      <t c="1">
        <n x="20"/>
      </t>
    </mdx>
    <mdx n="21" f="m">
      <t c="1">
        <n x="22"/>
      </t>
    </mdx>
    <mdx n="21" f="m">
      <t c="1">
        <n x="23"/>
      </t>
    </mdx>
    <mdx n="21" f="m">
      <t c="1">
        <n x="24"/>
      </t>
    </mdx>
    <mdx n="21" f="m">
      <t c="1">
        <n x="25"/>
      </t>
    </mdx>
    <mdx n="21" f="m">
      <t c="1">
        <n x="26"/>
      </t>
    </mdx>
    <mdx n="21" f="m">
      <t c="1">
        <n x="27"/>
      </t>
    </mdx>
    <mdx n="21" f="m">
      <t c="1">
        <n x="28"/>
      </t>
    </mdx>
    <mdx n="21" f="m">
      <t c="1">
        <n x="29"/>
      </t>
    </mdx>
    <mdx n="21" f="s">
      <ms ns="30" c="0"/>
    </mdx>
    <mdx n="21" f="m">
      <t c="1">
        <n x="31"/>
      </t>
    </mdx>
    <mdx n="21" f="m">
      <t c="1">
        <n x="32"/>
      </t>
    </mdx>
    <mdx n="21" f="m">
      <t c="1">
        <n x="33"/>
      </t>
    </mdx>
    <mdx n="21" f="m">
      <t c="1">
        <n x="34"/>
      </t>
    </mdx>
    <mdx n="21" f="m">
      <t c="1">
        <n x="35"/>
      </t>
    </mdx>
    <mdx n="21" f="m">
      <t c="1">
        <n x="36"/>
      </t>
    </mdx>
    <mdx n="21" f="m">
      <t c="1">
        <n x="37"/>
      </t>
    </mdx>
    <mdx n="21" f="m">
      <t c="1">
        <n x="38"/>
      </t>
    </mdx>
    <mdx n="21" f="m">
      <t c="1">
        <n x="39"/>
      </t>
    </mdx>
    <mdx n="21" f="m">
      <t c="1">
        <n x="40"/>
      </t>
    </mdx>
    <mdx n="21" f="m">
      <t c="1">
        <n x="41"/>
      </t>
    </mdx>
    <mdx n="21" f="m">
      <t c="1">
        <n x="42"/>
      </t>
    </mdx>
    <mdx n="21" f="m">
      <t c="1">
        <n x="43"/>
      </t>
    </mdx>
    <mdx n="21" f="m">
      <t c="1">
        <n x="44"/>
      </t>
    </mdx>
    <mdx n="21" f="m">
      <t c="1">
        <n x="45"/>
      </t>
    </mdx>
    <mdx n="21" f="m">
      <t c="1">
        <n x="46"/>
      </t>
    </mdx>
    <mdx n="21" f="m">
      <t c="2">
        <n x="47"/>
        <n x="48"/>
      </t>
    </mdx>
    <mdx n="21" f="m">
      <t c="2">
        <n x="47"/>
        <n x="49"/>
      </t>
    </mdx>
    <mdx n="21" f="m">
      <t c="2">
        <n x="47"/>
        <n x="50"/>
      </t>
    </mdx>
    <mdx n="21" f="m">
      <t c="2">
        <n x="51"/>
        <n x="48"/>
      </t>
    </mdx>
    <mdx n="21" f="m">
      <t c="2">
        <n x="52"/>
        <n x="49"/>
      </t>
    </mdx>
    <mdx n="21" f="m">
      <t c="2">
        <n x="52"/>
        <n x="50"/>
      </t>
    </mdx>
    <mdx n="21" f="m">
      <t c="2">
        <n x="53"/>
        <n x="48"/>
      </t>
    </mdx>
    <mdx n="21" f="m">
      <t c="2">
        <n x="47"/>
        <n x="54"/>
      </t>
    </mdx>
    <mdx n="21" f="m">
      <t c="1">
        <n x="47"/>
      </t>
    </mdx>
    <mdx n="21" f="m">
      <t c="2">
        <n x="51"/>
        <n x="55"/>
      </t>
    </mdx>
    <mdx n="21" f="m">
      <t c="2">
        <n x="52"/>
        <n x="54"/>
      </t>
    </mdx>
    <mdx n="21" f="m">
      <t c="1">
        <n x="52"/>
      </t>
    </mdx>
    <mdx n="21" f="m">
      <t c="2">
        <n x="53"/>
        <n x="55"/>
      </t>
    </mdx>
    <mdx n="21" f="m">
      <t c="2">
        <n x="51"/>
        <n x="49"/>
      </t>
    </mdx>
    <mdx n="21" f="m">
      <t c="2">
        <n x="51"/>
        <n x="50"/>
      </t>
    </mdx>
    <mdx n="21" f="m">
      <t c="2">
        <n x="52"/>
        <n x="48"/>
      </t>
    </mdx>
    <mdx n="21" f="m">
      <t c="2">
        <n x="53"/>
        <n x="49"/>
      </t>
    </mdx>
    <mdx n="21" f="m">
      <t c="2">
        <n x="53"/>
        <n x="50"/>
      </t>
    </mdx>
    <mdx n="21" f="m">
      <t c="2">
        <n x="47"/>
        <n x="55"/>
      </t>
    </mdx>
    <mdx n="21" f="m">
      <t c="2">
        <n x="51"/>
        <n x="54"/>
      </t>
    </mdx>
    <mdx n="21" f="m">
      <t c="1">
        <n x="51"/>
      </t>
    </mdx>
    <mdx n="21" f="m">
      <t c="2">
        <n x="52"/>
        <n x="55"/>
      </t>
    </mdx>
    <mdx n="21" f="m">
      <t c="2">
        <n x="53"/>
        <n x="54"/>
      </t>
    </mdx>
    <mdx n="21" f="m">
      <t c="1">
        <n x="53"/>
      </t>
    </mdx>
    <mdx n="21" f="s">
      <ms ns="56" c="0"/>
    </mdx>
    <mdx n="21" f="m">
      <t c="1">
        <n x="57"/>
      </t>
    </mdx>
    <mdx n="21" f="m">
      <t c="1">
        <n x="58"/>
      </t>
    </mdx>
    <mdx n="21" f="m">
      <t c="1">
        <n x="59"/>
      </t>
    </mdx>
    <mdx n="21" f="m">
      <t c="1">
        <n x="60"/>
      </t>
    </mdx>
    <mdx n="21" f="m">
      <t c="1">
        <n x="61"/>
      </t>
    </mdx>
    <mdx n="21" f="s">
      <ms ns="62" c="0"/>
    </mdx>
    <mdx n="21" f="m">
      <t c="1">
        <n x="7"/>
      </t>
    </mdx>
    <mdx n="21" f="m">
      <t c="1">
        <n x="63"/>
      </t>
    </mdx>
    <mdx n="21" f="m">
      <t c="1">
        <n x="64"/>
      </t>
    </mdx>
    <mdx n="21" f="m">
      <t c="1">
        <n x="65"/>
      </t>
    </mdx>
    <mdx n="21" f="m">
      <t c="1">
        <n x="66"/>
      </t>
    </mdx>
    <mdx n="21" f="m">
      <t c="1">
        <n x="67"/>
      </t>
    </mdx>
    <mdx n="21" f="m">
      <t c="1">
        <n x="68"/>
      </t>
    </mdx>
    <mdx n="21" f="m">
      <t c="1">
        <n x="69"/>
      </t>
    </mdx>
    <mdx n="21" f="m">
      <t c="1">
        <n x="70"/>
      </t>
    </mdx>
    <mdx n="21" f="m">
      <t c="1">
        <n x="71"/>
      </t>
    </mdx>
    <mdx n="21" f="m">
      <t c="1">
        <n x="72"/>
      </t>
    </mdx>
    <mdx n="21" f="m">
      <t c="1">
        <n x="73"/>
      </t>
    </mdx>
    <mdx n="21" f="m">
      <t c="1">
        <n x="74"/>
      </t>
    </mdx>
    <mdx n="21" f="m">
      <t c="1">
        <n x="75"/>
      </t>
    </mdx>
    <mdx n="21" f="m">
      <t c="1">
        <n x="76"/>
      </t>
    </mdx>
    <mdx n="21" f="m">
      <t c="1">
        <n x="77"/>
      </t>
    </mdx>
    <mdx n="21" f="m">
      <t c="1">
        <n x="78"/>
      </t>
    </mdx>
    <mdx n="21" f="m">
      <t c="1">
        <n x="79"/>
      </t>
    </mdx>
    <mdx n="21" f="m">
      <t c="1">
        <n x="80"/>
      </t>
    </mdx>
    <mdx n="21" f="m">
      <t c="1">
        <n x="81"/>
      </t>
    </mdx>
    <mdx n="21" f="m">
      <t c="1">
        <n x="82"/>
      </t>
    </mdx>
    <mdx n="21" f="m">
      <t c="1">
        <n x="83"/>
      </t>
    </mdx>
    <mdx n="21" f="m">
      <t c="1">
        <n x="84"/>
      </t>
    </mdx>
    <mdx n="21" f="m">
      <t c="1">
        <n x="85"/>
      </t>
    </mdx>
    <mdx n="21" f="m">
      <t c="1">
        <n x="86"/>
      </t>
    </mdx>
    <mdx n="21" f="m">
      <t c="1">
        <n x="87"/>
      </t>
    </mdx>
    <mdx n="21" f="m">
      <t c="1">
        <n x="88"/>
      </t>
    </mdx>
    <mdx n="21" f="m">
      <t c="1">
        <n x="89"/>
      </t>
    </mdx>
    <mdx n="21" f="m">
      <t c="1">
        <n x="90"/>
      </t>
    </mdx>
    <mdx n="21" f="m">
      <t c="1">
        <n x="91"/>
      </t>
    </mdx>
    <mdx n="21" f="m">
      <t c="1">
        <n x="92"/>
      </t>
    </mdx>
    <mdx n="21" f="m">
      <t c="1">
        <n x="93"/>
      </t>
    </mdx>
    <mdx n="21" f="m">
      <t c="1">
        <n x="94"/>
      </t>
    </mdx>
    <mdx n="21" f="m">
      <t c="1">
        <n x="95"/>
      </t>
    </mdx>
    <mdx n="21" f="m">
      <t c="1">
        <n x="96"/>
      </t>
    </mdx>
    <mdx n="21" f="m">
      <t c="1">
        <n x="97"/>
      </t>
    </mdx>
    <mdx n="21" f="m">
      <t c="1">
        <n x="98"/>
      </t>
    </mdx>
    <mdx n="21" f="m">
      <t c="1">
        <n x="99"/>
      </t>
    </mdx>
    <mdx n="21" f="m">
      <t c="1">
        <n x="100"/>
      </t>
    </mdx>
    <mdx n="21" f="m">
      <t c="1">
        <n x="101"/>
      </t>
    </mdx>
    <mdx n="21" f="m">
      <t c="1">
        <n x="102"/>
      </t>
    </mdx>
    <mdx n="21" f="m">
      <t c="1">
        <n x="103"/>
      </t>
    </mdx>
    <mdx n="21" f="m">
      <t c="1">
        <n x="104"/>
      </t>
    </mdx>
    <mdx n="21" f="m">
      <t c="1">
        <n x="105"/>
      </t>
    </mdx>
    <mdx n="21" f="m">
      <t c="1">
        <n x="106"/>
      </t>
    </mdx>
    <mdx n="21" f="m">
      <t c="1">
        <n x="107"/>
      </t>
    </mdx>
    <mdx n="21" f="m">
      <t c="1">
        <n x="108"/>
      </t>
    </mdx>
    <mdx n="21" f="m">
      <t c="1">
        <n x="109"/>
      </t>
    </mdx>
    <mdx n="21" f="m">
      <t c="1">
        <n x="110"/>
      </t>
    </mdx>
    <mdx n="21" f="m">
      <t c="1">
        <n x="111"/>
      </t>
    </mdx>
    <mdx n="21" f="m">
      <t c="1">
        <n x="112"/>
      </t>
    </mdx>
    <mdx n="21" f="m">
      <t c="1">
        <n x="113"/>
      </t>
    </mdx>
    <mdx n="21" f="m">
      <t c="1">
        <n x="114"/>
      </t>
    </mdx>
    <mdx n="21" f="m">
      <t c="1">
        <n x="115"/>
      </t>
    </mdx>
    <mdx n="21" f="m">
      <t c="1">
        <n x="116"/>
      </t>
    </mdx>
    <mdx n="21" f="m">
      <t c="1">
        <n x="117"/>
      </t>
    </mdx>
    <mdx n="21" f="m">
      <t c="2">
        <n x="118"/>
        <n x="119"/>
      </t>
    </mdx>
    <mdx n="21" f="m">
      <t c="2">
        <n x="118"/>
        <n x="120"/>
      </t>
    </mdx>
    <mdx n="21" f="m">
      <t c="2">
        <n x="118"/>
        <n x="121"/>
      </t>
    </mdx>
    <mdx n="21" f="m">
      <t c="2">
        <n x="118"/>
        <n x="122"/>
      </t>
    </mdx>
    <mdx n="21" f="m">
      <t c="2">
        <n x="118"/>
        <n x="123"/>
      </t>
    </mdx>
    <mdx n="21" f="m">
      <t c="2">
        <n x="118"/>
        <n x="124"/>
      </t>
    </mdx>
    <mdx n="21" f="m">
      <t c="2">
        <n x="125"/>
        <n x="119"/>
      </t>
    </mdx>
    <mdx n="21" f="m">
      <t c="2">
        <n x="125"/>
        <n x="120"/>
      </t>
    </mdx>
    <mdx n="21" f="m">
      <t c="2">
        <n x="125"/>
        <n x="121"/>
      </t>
    </mdx>
    <mdx n="21" f="m">
      <t c="2">
        <n x="125"/>
        <n x="122"/>
      </t>
    </mdx>
    <mdx n="21" f="m">
      <t c="2">
        <n x="125"/>
        <n x="123"/>
      </t>
    </mdx>
    <mdx n="21" f="m">
      <t c="2">
        <n x="126"/>
        <n x="119"/>
      </t>
    </mdx>
    <mdx n="21" f="m">
      <t c="2">
        <n x="126"/>
        <n x="120"/>
      </t>
    </mdx>
    <mdx n="21" f="m">
      <t c="2">
        <n x="126"/>
        <n x="121"/>
      </t>
    </mdx>
    <mdx n="21" f="m">
      <t c="2">
        <n x="126"/>
        <n x="122"/>
      </t>
    </mdx>
    <mdx n="21" f="m">
      <t c="2">
        <n x="126"/>
        <n x="123"/>
      </t>
    </mdx>
    <mdx n="21" f="m">
      <t c="2">
        <n x="126"/>
        <n x="124"/>
      </t>
    </mdx>
    <mdx n="21" f="m">
      <t c="2">
        <n x="127"/>
        <n x="128"/>
      </t>
    </mdx>
    <mdx n="21" f="m">
      <t c="2">
        <n x="127"/>
        <n x="129"/>
      </t>
    </mdx>
    <mdx n="21" f="m">
      <t c="2">
        <n x="127"/>
        <n x="130"/>
      </t>
    </mdx>
    <mdx n="21" f="m">
      <t c="2">
        <n x="127"/>
        <n x="131"/>
      </t>
    </mdx>
    <mdx n="21" f="m">
      <t c="1">
        <n x="118"/>
      </t>
    </mdx>
    <mdx n="21" f="m">
      <t c="1">
        <n x="125"/>
      </t>
    </mdx>
    <mdx n="21" f="m">
      <t c="1">
        <n x="126"/>
      </t>
    </mdx>
    <mdx n="21" f="m">
      <t c="1">
        <n x="127"/>
      </t>
    </mdx>
    <mdx n="21" f="m">
      <t c="2">
        <n x="127"/>
        <n x="123"/>
      </t>
    </mdx>
    <mdx n="21" f="m">
      <t c="2">
        <n x="118"/>
        <n x="128"/>
      </t>
    </mdx>
    <mdx n="21" f="m">
      <t c="2">
        <n x="118"/>
        <n x="129"/>
      </t>
    </mdx>
    <mdx n="21" f="m">
      <t c="2">
        <n x="118"/>
        <n x="130"/>
      </t>
    </mdx>
    <mdx n="21" f="m">
      <t c="2">
        <n x="118"/>
        <n x="131"/>
      </t>
    </mdx>
    <mdx n="21" f="m">
      <t c="2">
        <n x="118"/>
        <n x="132"/>
      </t>
    </mdx>
    <mdx n="21" f="m">
      <t c="2">
        <n x="133"/>
        <n x="129"/>
      </t>
    </mdx>
    <mdx n="21" f="m">
      <t c="2">
        <n x="125"/>
        <n x="128"/>
      </t>
    </mdx>
    <mdx n="21" f="m">
      <t c="2">
        <n x="125"/>
        <n x="129"/>
      </t>
    </mdx>
    <mdx n="21" f="m">
      <t c="2">
        <n x="125"/>
        <n x="130"/>
      </t>
    </mdx>
    <mdx n="21" f="m">
      <t c="2">
        <n x="125"/>
        <n x="131"/>
      </t>
    </mdx>
    <mdx n="21" f="m">
      <t c="2">
        <n x="125"/>
        <n x="124"/>
      </t>
    </mdx>
    <mdx n="21" f="m">
      <t c="2">
        <n x="126"/>
        <n x="128"/>
      </t>
    </mdx>
    <mdx n="21" f="m">
      <t c="2">
        <n x="126"/>
        <n x="129"/>
      </t>
    </mdx>
    <mdx n="21" f="m">
      <t c="2">
        <n x="126"/>
        <n x="130"/>
      </t>
    </mdx>
    <mdx n="21" f="m">
      <t c="2">
        <n x="126"/>
        <n x="131"/>
      </t>
    </mdx>
    <mdx n="21" f="m">
      <t c="2">
        <n x="126"/>
        <n x="132"/>
      </t>
    </mdx>
    <mdx n="21" f="m">
      <t c="2">
        <n x="127"/>
        <n x="119"/>
      </t>
    </mdx>
    <mdx n="21" f="m">
      <t c="2">
        <n x="127"/>
        <n x="120"/>
      </t>
    </mdx>
    <mdx n="21" f="m">
      <t c="2">
        <n x="127"/>
        <n x="121"/>
      </t>
    </mdx>
    <mdx n="21" f="m">
      <t c="2">
        <n x="127"/>
        <n x="122"/>
      </t>
    </mdx>
    <mdx n="21" f="m">
      <t c="2">
        <n x="127"/>
        <n x="124"/>
      </t>
    </mdx>
    <mdx n="21" f="m">
      <t c="1">
        <n x="133"/>
      </t>
    </mdx>
    <mdx n="21" f="m">
      <t c="2">
        <n x="127"/>
        <n x="132"/>
      </t>
    </mdx>
    <mdx n="21" f="m">
      <t c="1">
        <n x="134"/>
      </t>
    </mdx>
    <mdx n="21" f="m">
      <t c="1">
        <n x="135"/>
      </t>
    </mdx>
    <mdx n="21" f="m">
      <t c="1">
        <n x="136"/>
      </t>
    </mdx>
    <mdx n="21" f="m">
      <t c="1">
        <n x="137"/>
      </t>
    </mdx>
    <mdx n="21" f="m">
      <t c="1">
        <n x="138"/>
      </t>
    </mdx>
    <mdx n="21" f="m">
      <t c="1">
        <n x="139"/>
      </t>
    </mdx>
    <mdx n="21" f="m">
      <t c="1">
        <n x="140"/>
      </t>
    </mdx>
    <mdx n="21" f="m">
      <t c="1">
        <n x="141"/>
      </t>
    </mdx>
    <mdx n="21" f="m">
      <t c="1">
        <n x="142"/>
      </t>
    </mdx>
    <mdx n="21" f="m">
      <t c="1">
        <n x="143"/>
      </t>
    </mdx>
    <mdx n="21" f="m">
      <t c="1">
        <n x="144"/>
      </t>
    </mdx>
    <mdx n="21" f="m">
      <t c="1">
        <n x="145"/>
      </t>
    </mdx>
    <mdx n="21" f="m">
      <t c="1">
        <n x="146"/>
      </t>
    </mdx>
    <mdx n="21" f="m">
      <t c="1">
        <n x="147"/>
      </t>
    </mdx>
    <mdx n="21" f="m">
      <t c="1">
        <n x="148"/>
      </t>
    </mdx>
    <mdx n="21" f="m">
      <t c="1">
        <n x="149"/>
      </t>
    </mdx>
    <mdx n="21" f="m">
      <t c="1">
        <n x="150"/>
      </t>
    </mdx>
    <mdx n="21" f="m">
      <t c="1">
        <n x="151"/>
      </t>
    </mdx>
    <mdx n="21" f="m">
      <t c="1">
        <n x="152"/>
      </t>
    </mdx>
    <mdx n="21" f="m">
      <t c="1">
        <n x="153"/>
      </t>
    </mdx>
    <mdx n="21" f="m">
      <t c="1">
        <n x="154"/>
      </t>
    </mdx>
    <mdx n="21" f="m">
      <t c="1">
        <n x="155"/>
      </t>
    </mdx>
    <mdx n="21" f="m">
      <t c="1">
        <n x="156"/>
      </t>
    </mdx>
    <mdx n="21" f="m">
      <t c="1">
        <n x="157"/>
      </t>
    </mdx>
    <mdx n="21" f="m">
      <t c="1">
        <n x="158"/>
      </t>
    </mdx>
    <mdx n="21" f="m">
      <t c="1">
        <n x="159"/>
      </t>
    </mdx>
    <mdx n="21" f="m">
      <t c="1">
        <n x="160"/>
      </t>
    </mdx>
    <mdx n="21" f="m">
      <t c="1">
        <n x="161"/>
      </t>
    </mdx>
    <mdx n="21" f="m">
      <t c="1">
        <n x="162"/>
      </t>
    </mdx>
    <mdx n="21" f="m">
      <t c="1">
        <n x="163"/>
      </t>
    </mdx>
    <mdx n="21" f="m">
      <t c="1">
        <n x="164"/>
      </t>
    </mdx>
    <mdx n="21" f="m">
      <t c="1">
        <n x="165"/>
      </t>
    </mdx>
    <mdx n="21" f="m">
      <t c="1">
        <n x="166"/>
      </t>
    </mdx>
    <mdx n="21" f="m">
      <t c="1">
        <n x="167"/>
      </t>
    </mdx>
    <mdx n="21" f="m">
      <t c="1">
        <n x="168"/>
      </t>
    </mdx>
    <mdx n="21" f="m">
      <t c="1">
        <n x="169"/>
      </t>
    </mdx>
    <mdx n="21" f="m">
      <t c="1">
        <n x="170"/>
      </t>
    </mdx>
    <mdx n="21" f="m">
      <t c="1">
        <n x="171"/>
      </t>
    </mdx>
    <mdx n="21" f="m">
      <t c="1">
        <n x="172"/>
      </t>
    </mdx>
    <mdx n="21" f="m">
      <t c="1">
        <n x="173"/>
      </t>
    </mdx>
    <mdx n="21" f="m">
      <t c="1">
        <n x="174"/>
      </t>
    </mdx>
    <mdx n="21" f="m">
      <t c="1">
        <n x="175"/>
      </t>
    </mdx>
    <mdx n="21" f="m">
      <t c="1">
        <n x="176"/>
      </t>
    </mdx>
    <mdx n="21" f="m">
      <t c="1">
        <n x="177"/>
      </t>
    </mdx>
    <mdx n="21" f="m">
      <t c="1">
        <n x="178"/>
      </t>
    </mdx>
    <mdx n="21" f="m">
      <t c="1">
        <n x="179"/>
      </t>
    </mdx>
    <mdx n="21" f="m">
      <t c="1">
        <n x="180"/>
      </t>
    </mdx>
    <mdx n="21" f="m">
      <t c="1">
        <n x="181"/>
      </t>
    </mdx>
    <mdx n="21" f="m">
      <t c="1">
        <n x="182"/>
      </t>
    </mdx>
    <mdx n="21" f="m">
      <t c="1">
        <n x="183"/>
      </t>
    </mdx>
    <mdx n="21" f="m">
      <t c="1">
        <n x="184"/>
      </t>
    </mdx>
    <mdx n="21" f="m">
      <t c="1">
        <n x="185"/>
      </t>
    </mdx>
    <mdx n="21" f="m">
      <t c="1">
        <n x="186"/>
      </t>
    </mdx>
    <mdx n="21" f="m">
      <t c="1">
        <n x="187"/>
      </t>
    </mdx>
    <mdx n="21" f="m">
      <t c="1">
        <n x="188"/>
      </t>
    </mdx>
    <mdx n="21" f="m">
      <t c="1">
        <n x="189"/>
      </t>
    </mdx>
    <mdx n="21" f="m">
      <t c="1">
        <n x="190"/>
      </t>
    </mdx>
    <mdx n="21" f="m">
      <t c="1">
        <n x="191"/>
      </t>
    </mdx>
    <mdx n="21" f="m">
      <t c="1">
        <n x="192"/>
      </t>
    </mdx>
    <mdx n="21" f="m">
      <t c="1">
        <n x="193"/>
      </t>
    </mdx>
    <mdx n="21" f="m">
      <t c="1">
        <n x="194"/>
      </t>
    </mdx>
    <mdx n="21" f="m">
      <t c="1">
        <n x="195"/>
      </t>
    </mdx>
    <mdx n="21" f="m">
      <t c="1">
        <n x="196"/>
      </t>
    </mdx>
    <mdx n="21" f="m">
      <t c="1">
        <n x="197"/>
      </t>
    </mdx>
    <mdx n="21" f="m">
      <t c="1">
        <n x="198"/>
      </t>
    </mdx>
    <mdx n="21" f="m">
      <t c="1">
        <n x="199"/>
      </t>
    </mdx>
    <mdx n="21" f="m">
      <t c="1">
        <n x="200"/>
      </t>
    </mdx>
    <mdx n="21" f="m">
      <t c="1">
        <n x="201"/>
      </t>
    </mdx>
    <mdx n="21" f="m">
      <t c="1">
        <n x="202"/>
      </t>
    </mdx>
    <mdx n="21" f="m">
      <t c="1">
        <n x="203"/>
      </t>
    </mdx>
    <mdx n="21" f="m">
      <t c="1">
        <n x="204"/>
      </t>
    </mdx>
    <mdx n="21" f="m">
      <t c="1">
        <n x="205"/>
      </t>
    </mdx>
    <mdx n="21" f="m">
      <t c="1">
        <n x="206"/>
      </t>
    </mdx>
    <mdx n="21" f="m">
      <t c="1">
        <n x="207"/>
      </t>
    </mdx>
    <mdx n="21" f="m">
      <t c="1">
        <n x="208"/>
      </t>
    </mdx>
    <mdx n="21" f="m">
      <t c="1">
        <n x="209"/>
      </t>
    </mdx>
    <mdx n="21" f="m">
      <t c="1">
        <n x="210"/>
      </t>
    </mdx>
    <mdx n="21" f="m">
      <t c="1">
        <n x="211"/>
      </t>
    </mdx>
    <mdx n="21" f="m">
      <t c="1">
        <n x="212"/>
      </t>
    </mdx>
    <mdx n="21" f="m">
      <t c="1">
        <n x="213"/>
      </t>
    </mdx>
    <mdx n="21" f="m">
      <t c="1">
        <n x="214"/>
      </t>
    </mdx>
    <mdx n="21" f="m">
      <t c="1">
        <n x="215"/>
      </t>
    </mdx>
    <mdx n="21" f="m">
      <t c="1">
        <n x="216"/>
      </t>
    </mdx>
    <mdx n="21" f="m">
      <t c="1">
        <n x="217"/>
      </t>
    </mdx>
    <mdx n="21" f="m">
      <t c="1">
        <n x="218"/>
      </t>
    </mdx>
    <mdx n="21" f="m">
      <t c="1">
        <n x="219"/>
      </t>
    </mdx>
    <mdx n="21" f="m">
      <t c="1">
        <n x="220"/>
      </t>
    </mdx>
    <mdx n="21" f="m">
      <t c="1">
        <n x="221"/>
      </t>
    </mdx>
    <mdx n="21" f="m">
      <t c="1">
        <n x="222"/>
      </t>
    </mdx>
    <mdx n="21" f="m">
      <t c="1">
        <n x="223"/>
      </t>
    </mdx>
    <mdx n="21" f="m">
      <t c="1">
        <n x="224"/>
      </t>
    </mdx>
    <mdx n="21" f="m">
      <t c="1">
        <n x="225"/>
      </t>
    </mdx>
    <mdx n="21" f="m">
      <t c="1">
        <n x="226"/>
      </t>
    </mdx>
    <mdx n="21" f="m">
      <t c="1">
        <n x="227"/>
      </t>
    </mdx>
    <mdx n="21" f="m">
      <t c="1">
        <n x="228"/>
      </t>
    </mdx>
    <mdx n="21" f="m">
      <t c="1">
        <n x="229"/>
      </t>
    </mdx>
    <mdx n="21" f="m">
      <t c="1">
        <n x="230"/>
      </t>
    </mdx>
    <mdx n="21" f="m">
      <t c="1">
        <n x="231"/>
      </t>
    </mdx>
    <mdx n="21" f="m">
      <t c="1">
        <n x="232"/>
      </t>
    </mdx>
    <mdx n="21" f="m">
      <t c="1">
        <n x="233"/>
      </t>
    </mdx>
    <mdx n="21" f="m">
      <t c="1">
        <n x="234"/>
      </t>
    </mdx>
    <mdx n="21" f="m">
      <t c="1">
        <n x="235"/>
      </t>
    </mdx>
    <mdx n="21" f="m">
      <t c="1">
        <n x="236"/>
      </t>
    </mdx>
    <mdx n="21" f="m">
      <t c="1">
        <n x="237"/>
      </t>
    </mdx>
    <mdx n="21" f="m">
      <t c="1">
        <n x="238"/>
      </t>
    </mdx>
    <mdx n="21" f="m">
      <t c="1">
        <n x="239"/>
      </t>
    </mdx>
    <mdx n="21" f="m">
      <t c="1">
        <n x="240"/>
      </t>
    </mdx>
    <mdx n="21" f="m">
      <t c="1">
        <n x="241"/>
      </t>
    </mdx>
    <mdx n="21" f="m">
      <t c="1">
        <n x="242"/>
      </t>
    </mdx>
    <mdx n="21" f="m">
      <t c="1">
        <n x="243"/>
      </t>
    </mdx>
    <mdx n="21" f="m">
      <t c="1">
        <n x="244"/>
      </t>
    </mdx>
    <mdx n="21" f="m">
      <t c="1">
        <n x="245"/>
      </t>
    </mdx>
    <mdx n="21" f="m">
      <t c="1">
        <n x="246"/>
      </t>
    </mdx>
    <mdx n="21" f="m">
      <t c="1">
        <n x="247"/>
      </t>
    </mdx>
    <mdx n="21" f="m">
      <t c="1">
        <n x="248"/>
      </t>
    </mdx>
    <mdx n="0" f="s">
      <ms ns="249" c="0"/>
    </mdx>
    <mdx n="0" f="m">
      <t c="1">
        <n x="250"/>
      </t>
    </mdx>
    <mdx n="0" f="m">
      <t c="1">
        <n x="251"/>
      </t>
    </mdx>
    <mdx n="0" f="m">
      <t c="2">
        <n x="8"/>
        <n x="252"/>
      </t>
    </mdx>
    <mdx n="0" f="m">
      <t c="2">
        <n x="8"/>
        <n x="253"/>
      </t>
    </mdx>
    <mdx n="0" f="m">
      <t c="2">
        <n x="8"/>
        <n x="254"/>
      </t>
    </mdx>
    <mdx n="0" f="m">
      <t c="2">
        <n x="11"/>
        <n x="255"/>
      </t>
    </mdx>
    <mdx n="0" f="m">
      <t c="2">
        <n x="11"/>
        <n x="256"/>
      </t>
    </mdx>
    <mdx n="0" f="m">
      <t c="2">
        <n x="11"/>
        <n x="257"/>
      </t>
    </mdx>
    <mdx n="0" f="m">
      <t c="2">
        <n x="11"/>
        <n x="258"/>
      </t>
    </mdx>
    <mdx n="0" f="m">
      <t c="2">
        <n x="19"/>
        <n x="259"/>
      </t>
    </mdx>
    <mdx n="0" f="m">
      <t c="2">
        <n x="19"/>
        <n x="260"/>
      </t>
    </mdx>
    <mdx n="0" f="m">
      <t c="2">
        <n x="4"/>
        <n x="261"/>
      </t>
    </mdx>
    <mdx n="0" f="m">
      <t c="2">
        <n x="4"/>
        <n x="262"/>
      </t>
    </mdx>
    <mdx n="0" f="m">
      <t c="2">
        <n x="4"/>
        <n x="263"/>
      </t>
    </mdx>
    <mdx n="0" f="m">
      <t c="2">
        <n x="4"/>
        <n x="264"/>
      </t>
    </mdx>
    <mdx n="0" f="m">
      <t c="2">
        <n x="9"/>
        <n x="265"/>
      </t>
    </mdx>
    <mdx n="0" f="m">
      <t c="2">
        <n x="9"/>
        <n x="266"/>
      </t>
    </mdx>
    <mdx n="0" f="m">
      <t c="2">
        <n x="9"/>
        <n x="267"/>
      </t>
    </mdx>
    <mdx n="0" f="m">
      <t c="2">
        <n x="9"/>
        <n x="268"/>
      </t>
    </mdx>
    <mdx n="0" f="m">
      <t c="2">
        <n x="16"/>
        <n x="269"/>
      </t>
    </mdx>
    <mdx n="0" f="m">
      <t c="2">
        <n x="16"/>
        <n x="270"/>
      </t>
    </mdx>
    <mdx n="0" f="m">
      <t c="2">
        <n x="16"/>
        <n x="271"/>
      </t>
    </mdx>
    <mdx n="0" f="m">
      <t c="2">
        <n x="8"/>
        <n x="272"/>
      </t>
    </mdx>
    <mdx n="0" f="m">
      <t c="2">
        <n x="8"/>
        <n x="273"/>
      </t>
    </mdx>
    <mdx n="0" f="m">
      <t c="2">
        <n x="8"/>
        <n x="274"/>
      </t>
    </mdx>
    <mdx n="0" f="m">
      <t c="2">
        <n x="8"/>
        <n x="275"/>
      </t>
    </mdx>
    <mdx n="0" f="m">
      <t c="2">
        <n x="8"/>
        <n x="276"/>
      </t>
    </mdx>
    <mdx n="0" f="m">
      <t c="2">
        <n x="11"/>
        <n x="277"/>
      </t>
    </mdx>
    <mdx n="0" f="m">
      <t c="2">
        <n x="11"/>
        <n x="278"/>
      </t>
    </mdx>
    <mdx n="0" f="m">
      <t c="2">
        <n x="11"/>
        <n x="279"/>
      </t>
    </mdx>
    <mdx n="0" f="m">
      <t c="2">
        <n x="11"/>
        <n x="280"/>
      </t>
    </mdx>
    <mdx n="0" f="m">
      <t c="2">
        <n x="11"/>
        <n x="281"/>
      </t>
    </mdx>
    <mdx n="0" f="m">
      <t c="2">
        <n x="11"/>
        <n x="282"/>
      </t>
    </mdx>
    <mdx n="0" f="m">
      <t c="2">
        <n x="19"/>
        <n x="283"/>
      </t>
    </mdx>
    <mdx n="0" f="m">
      <t c="2">
        <n x="19"/>
        <n x="284"/>
      </t>
    </mdx>
    <mdx n="0" f="m">
      <t c="2">
        <n x="19"/>
        <n x="285"/>
      </t>
    </mdx>
    <mdx n="0" f="m">
      <t c="2">
        <n x="4"/>
        <n x="286"/>
      </t>
    </mdx>
    <mdx n="0" f="m">
      <t c="2">
        <n x="4"/>
        <n x="287"/>
      </t>
    </mdx>
    <mdx n="0" f="m">
      <t c="2">
        <n x="4"/>
        <n x="288"/>
      </t>
    </mdx>
    <mdx n="0" f="m">
      <t c="2">
        <n x="4"/>
        <n x="289"/>
      </t>
    </mdx>
    <mdx n="0" f="m">
      <t c="2">
        <n x="4"/>
        <n x="290"/>
      </t>
    </mdx>
    <mdx n="0" f="m">
      <t c="2">
        <n x="4"/>
        <n x="291"/>
      </t>
    </mdx>
    <mdx n="0" f="m">
      <t c="2">
        <n x="4"/>
        <n x="292"/>
      </t>
    </mdx>
    <mdx n="0" f="m">
      <t c="2">
        <n x="9"/>
        <n x="293"/>
      </t>
    </mdx>
    <mdx n="0" f="m">
      <t c="2">
        <n x="9"/>
        <n x="294"/>
      </t>
    </mdx>
    <mdx n="0" f="m">
      <t c="2">
        <n x="9"/>
        <n x="295"/>
      </t>
    </mdx>
    <mdx n="0" f="m">
      <t c="2">
        <n x="9"/>
        <n x="296"/>
      </t>
    </mdx>
    <mdx n="0" f="m">
      <t c="2">
        <n x="16"/>
        <n x="297"/>
      </t>
    </mdx>
    <mdx n="0" f="m">
      <t c="2">
        <n x="16"/>
        <n x="298"/>
      </t>
    </mdx>
    <mdx n="0" f="m">
      <t c="2">
        <n x="16"/>
        <n x="299"/>
      </t>
    </mdx>
    <mdx n="0" f="m">
      <t c="2">
        <n x="16"/>
        <n x="300"/>
      </t>
    </mdx>
    <mdx n="0" f="m">
      <t c="2">
        <n x="16"/>
        <n x="301"/>
      </t>
    </mdx>
    <mdx n="0" f="m">
      <t c="2">
        <n x="16"/>
        <n x="302"/>
      </t>
    </mdx>
    <mdx n="0" f="m">
      <t c="2">
        <n x="17"/>
        <n x="303"/>
      </t>
    </mdx>
    <mdx n="0" f="m">
      <t c="2">
        <n x="17"/>
        <n x="304"/>
      </t>
    </mdx>
    <mdx n="0" f="m">
      <t c="2">
        <n x="5"/>
        <n x="305"/>
      </t>
    </mdx>
    <mdx n="0" f="m">
      <t c="2">
        <n x="5"/>
        <n x="306"/>
      </t>
    </mdx>
    <mdx n="0" f="m">
      <t c="2">
        <n x="5"/>
        <n x="307"/>
      </t>
    </mdx>
    <mdx n="0" f="m">
      <t c="2">
        <n x="5"/>
        <n x="308"/>
      </t>
    </mdx>
    <mdx n="0" f="m">
      <t c="2">
        <n x="20"/>
        <n x="309"/>
      </t>
    </mdx>
    <mdx n="0" f="m">
      <t c="2">
        <n x="20"/>
        <n x="310"/>
      </t>
    </mdx>
    <mdx n="0" f="m">
      <t c="2">
        <n x="20"/>
        <n x="311"/>
      </t>
    </mdx>
    <mdx n="0" f="m">
      <t c="2">
        <n x="20"/>
        <n x="312"/>
      </t>
    </mdx>
    <mdx n="0" f="m">
      <t c="2">
        <n x="20"/>
        <n x="313"/>
      </t>
    </mdx>
    <mdx n="0" f="m">
      <t c="2">
        <n x="16"/>
        <n x="314"/>
      </t>
    </mdx>
    <mdx n="0" f="m">
      <t c="2">
        <n x="16"/>
        <n x="315"/>
      </t>
    </mdx>
    <mdx n="0" f="m">
      <t c="2">
        <n x="17"/>
        <n x="316"/>
      </t>
    </mdx>
    <mdx n="0" f="m">
      <t c="2">
        <n x="17"/>
        <n x="317"/>
      </t>
    </mdx>
    <mdx n="0" f="m">
      <t c="2">
        <n x="17"/>
        <n x="318"/>
      </t>
    </mdx>
    <mdx n="0" f="m">
      <t c="2">
        <n x="17"/>
        <n x="319"/>
      </t>
    </mdx>
    <mdx n="0" f="m">
      <t c="2">
        <n x="5"/>
        <n x="320"/>
      </t>
    </mdx>
    <mdx n="0" f="m">
      <t c="2">
        <n x="5"/>
        <n x="321"/>
      </t>
    </mdx>
    <mdx n="0" f="m">
      <t c="2">
        <n x="5"/>
        <n x="322"/>
      </t>
    </mdx>
    <mdx n="0" f="m">
      <t c="2">
        <n x="5"/>
        <n x="323"/>
      </t>
    </mdx>
    <mdx n="0" f="m">
      <t c="2">
        <n x="14"/>
        <n x="324"/>
      </t>
    </mdx>
    <mdx n="0" f="m">
      <t c="2">
        <n x="14"/>
        <n x="325"/>
      </t>
    </mdx>
    <mdx n="0" f="m">
      <t c="2">
        <n x="14"/>
        <n x="326"/>
      </t>
    </mdx>
    <mdx n="0" f="m">
      <t c="2">
        <n x="14"/>
        <n x="327"/>
      </t>
    </mdx>
    <mdx n="0" f="m">
      <t c="2">
        <n x="14"/>
        <n x="328"/>
      </t>
    </mdx>
    <mdx n="0" f="m">
      <t c="2">
        <n x="14"/>
        <n x="329"/>
      </t>
    </mdx>
    <mdx n="0" f="m">
      <t c="2">
        <n x="14"/>
        <n x="330"/>
      </t>
    </mdx>
    <mdx n="0" f="m">
      <t c="2">
        <n x="14"/>
        <n x="331"/>
      </t>
    </mdx>
    <mdx n="0" f="m">
      <t c="2">
        <n x="14"/>
        <n x="332"/>
      </t>
    </mdx>
    <mdx n="0" f="m">
      <t c="2">
        <n x="18"/>
        <n x="333"/>
      </t>
    </mdx>
    <mdx n="0" f="m">
      <t c="2">
        <n x="18"/>
        <n x="334"/>
      </t>
    </mdx>
    <mdx n="0" f="m">
      <t c="2">
        <n x="18"/>
        <n x="335"/>
      </t>
    </mdx>
    <mdx n="0" f="m">
      <t c="2">
        <n x="18"/>
        <n x="336"/>
      </t>
    </mdx>
    <mdx n="0" f="m">
      <t c="2">
        <n x="18"/>
        <n x="337"/>
      </t>
    </mdx>
    <mdx n="0" f="m">
      <t c="2">
        <n x="18"/>
        <n x="338"/>
      </t>
    </mdx>
    <mdx n="0" f="m">
      <t c="2">
        <n x="18"/>
        <n x="339"/>
      </t>
    </mdx>
    <mdx n="0" f="m">
      <t c="2">
        <n x="18"/>
        <n x="340"/>
      </t>
    </mdx>
    <mdx n="0" f="m">
      <t c="2">
        <n x="18"/>
        <n x="341"/>
      </t>
    </mdx>
    <mdx n="0" f="m">
      <t c="2">
        <n x="13"/>
        <n x="342"/>
      </t>
    </mdx>
    <mdx n="0" f="m">
      <t c="2">
        <n x="13"/>
        <n x="343"/>
      </t>
    </mdx>
    <mdx n="0" f="m">
      <t c="2">
        <n x="13"/>
        <n x="344"/>
      </t>
    </mdx>
    <mdx n="0" f="m">
      <t c="2">
        <n x="13"/>
        <n x="345"/>
      </t>
    </mdx>
    <mdx n="0" f="m">
      <t c="2">
        <n x="13"/>
        <n x="346"/>
      </t>
    </mdx>
    <mdx n="0" f="m">
      <t c="2">
        <n x="13"/>
        <n x="347"/>
      </t>
    </mdx>
    <mdx n="0" f="m">
      <t c="2">
        <n x="6"/>
        <n x="348"/>
      </t>
    </mdx>
    <mdx n="0" f="m">
      <t c="2">
        <n x="6"/>
        <n x="349"/>
      </t>
    </mdx>
    <mdx n="0" f="m">
      <t c="2">
        <n x="6"/>
        <n x="350"/>
      </t>
    </mdx>
    <mdx n="0" f="m">
      <t c="2">
        <n x="6"/>
        <n x="351"/>
      </t>
    </mdx>
    <mdx n="0" f="m">
      <t c="2">
        <n x="10"/>
        <n x="352"/>
      </t>
    </mdx>
    <mdx n="0" f="m">
      <t c="2">
        <n x="10"/>
        <n x="353"/>
      </t>
    </mdx>
    <mdx n="0" f="m">
      <t c="2">
        <n x="10"/>
        <n x="354"/>
      </t>
    </mdx>
    <mdx n="0" f="m">
      <t c="2">
        <n x="10"/>
        <n x="355"/>
      </t>
    </mdx>
    <mdx n="0" f="m">
      <t c="2">
        <n x="10"/>
        <n x="356"/>
      </t>
    </mdx>
    <mdx n="0" f="m">
      <t c="2">
        <n x="10"/>
        <n x="357"/>
      </t>
    </mdx>
    <mdx n="0" f="m">
      <t c="2">
        <n x="10"/>
        <n x="358"/>
      </t>
    </mdx>
    <mdx n="0" f="m">
      <t c="2">
        <n x="10"/>
        <n x="359"/>
      </t>
    </mdx>
    <mdx n="0" f="m">
      <t c="2">
        <n x="10"/>
        <n x="360"/>
      </t>
    </mdx>
    <mdx n="0" f="m">
      <t c="2">
        <n x="10"/>
        <n x="361"/>
      </t>
    </mdx>
    <mdx n="0" f="m">
      <t c="2">
        <n x="10"/>
        <n x="362"/>
      </t>
    </mdx>
    <mdx n="0" f="m">
      <t c="2">
        <n x="10"/>
        <n x="363"/>
      </t>
    </mdx>
    <mdx n="0" f="m">
      <t c="2">
        <n x="10"/>
        <n x="364"/>
      </t>
    </mdx>
    <mdx n="0" f="m">
      <t c="2">
        <n x="12"/>
        <n x="365"/>
      </t>
    </mdx>
    <mdx n="0" f="m">
      <t c="2">
        <n x="12"/>
        <n x="366"/>
      </t>
    </mdx>
    <mdx n="0" f="m">
      <t c="2">
        <n x="12"/>
        <n x="367"/>
      </t>
    </mdx>
    <mdx n="0" f="m">
      <t c="2">
        <n x="12"/>
        <n x="368"/>
      </t>
    </mdx>
    <mdx n="0" f="m">
      <t c="2">
        <n x="12"/>
        <n x="369"/>
      </t>
    </mdx>
    <mdx n="0" f="m">
      <t c="2">
        <n x="12"/>
        <n x="370"/>
      </t>
    </mdx>
    <mdx n="0" f="m">
      <t c="2">
        <n x="12"/>
        <n x="371"/>
      </t>
    </mdx>
    <mdx n="0" f="m">
      <t c="2">
        <n x="12"/>
        <n x="372"/>
      </t>
    </mdx>
    <mdx n="0" f="m">
      <t c="2">
        <n x="12"/>
        <n x="373"/>
      </t>
    </mdx>
    <mdx n="0" f="m">
      <t c="2">
        <n x="12"/>
        <n x="374"/>
      </t>
    </mdx>
    <mdx n="0" f="m">
      <t c="2">
        <n x="20"/>
        <n x="375"/>
      </t>
    </mdx>
    <mdx n="0" f="m">
      <t c="2">
        <n x="20"/>
        <n x="376"/>
      </t>
    </mdx>
    <mdx n="0" f="m">
      <t c="2">
        <n x="20"/>
        <n x="377"/>
      </t>
    </mdx>
    <mdx n="0" f="m">
      <t c="2">
        <n x="20"/>
        <n x="378"/>
      </t>
    </mdx>
    <mdx n="0" f="m">
      <t c="2">
        <n x="20"/>
        <n x="379"/>
      </t>
    </mdx>
    <mdx n="0" f="m">
      <t c="2">
        <n x="20"/>
        <n x="380"/>
      </t>
    </mdx>
    <mdx n="0" f="m">
      <t c="2">
        <n x="20"/>
        <n x="381"/>
      </t>
    </mdx>
    <mdx n="0" f="m">
      <t c="2">
        <n x="20"/>
        <n x="382"/>
      </t>
    </mdx>
    <mdx n="0" f="m">
      <t c="2">
        <n x="20"/>
        <n x="383"/>
      </t>
    </mdx>
    <mdx n="0" f="m">
      <t c="2">
        <n x="16"/>
        <n x="384"/>
      </t>
    </mdx>
    <mdx n="0" f="m">
      <t c="2">
        <n x="17"/>
        <n x="385"/>
      </t>
    </mdx>
    <mdx n="0" f="m">
      <t c="2">
        <n x="17"/>
        <n x="386"/>
      </t>
    </mdx>
    <mdx n="0" f="m">
      <t c="2">
        <n x="5"/>
        <n x="387"/>
      </t>
    </mdx>
    <mdx n="0" f="m">
      <t c="2">
        <n x="5"/>
        <n x="388"/>
      </t>
    </mdx>
    <mdx n="0" f="m">
      <t c="2">
        <n x="5"/>
        <n x="389"/>
      </t>
    </mdx>
    <mdx n="0" f="m">
      <t c="2">
        <n x="20"/>
        <n x="390"/>
      </t>
    </mdx>
    <mdx n="0" f="m">
      <t c="2">
        <n x="20"/>
        <n x="391"/>
      </t>
    </mdx>
    <mdx n="0" f="m">
      <t c="2">
        <n x="20"/>
        <n x="392"/>
      </t>
    </mdx>
    <mdx n="0" f="m">
      <t c="2">
        <n x="20"/>
        <n x="393"/>
      </t>
    </mdx>
    <mdx n="0" f="m">
      <t c="2">
        <n x="16"/>
        <n x="394"/>
      </t>
    </mdx>
    <mdx n="0" f="m">
      <t c="2">
        <n x="16"/>
        <n x="395"/>
      </t>
    </mdx>
    <mdx n="0" f="m">
      <t c="2">
        <n x="17"/>
        <n x="396"/>
      </t>
    </mdx>
    <mdx n="0" f="m">
      <t c="2">
        <n x="17"/>
        <n x="397"/>
      </t>
    </mdx>
    <mdx n="0" f="m">
      <t c="2">
        <n x="17"/>
        <n x="398"/>
      </t>
    </mdx>
    <mdx n="0" f="m">
      <t c="2">
        <n x="5"/>
        <n x="399"/>
      </t>
    </mdx>
    <mdx n="0" f="m">
      <t c="2">
        <n x="5"/>
        <n x="400"/>
      </t>
    </mdx>
    <mdx n="0" f="m">
      <t c="2">
        <n x="5"/>
        <n x="401"/>
      </t>
    </mdx>
    <mdx n="0" f="m">
      <t c="2">
        <n x="5"/>
        <n x="402"/>
      </t>
    </mdx>
    <mdx n="0" f="m">
      <t c="2">
        <n x="14"/>
        <n x="403"/>
      </t>
    </mdx>
    <mdx n="0" f="m">
      <t c="2">
        <n x="14"/>
        <n x="404"/>
      </t>
    </mdx>
    <mdx n="0" f="m">
      <t c="2">
        <n x="14"/>
        <n x="405"/>
      </t>
    </mdx>
    <mdx n="0" f="m">
      <t c="2">
        <n x="14"/>
        <n x="406"/>
      </t>
    </mdx>
    <mdx n="0" f="m">
      <t c="2">
        <n x="14"/>
        <n x="407"/>
      </t>
    </mdx>
    <mdx n="0" f="m">
      <t c="2">
        <n x="14"/>
        <n x="408"/>
      </t>
    </mdx>
    <mdx n="0" f="m">
      <t c="2">
        <n x="14"/>
        <n x="409"/>
      </t>
    </mdx>
    <mdx n="0" f="m">
      <t c="2">
        <n x="18"/>
        <n x="410"/>
      </t>
    </mdx>
    <mdx n="0" f="m">
      <t c="2">
        <n x="18"/>
        <n x="411"/>
      </t>
    </mdx>
    <mdx n="0" f="m">
      <t c="2">
        <n x="18"/>
        <n x="412"/>
      </t>
    </mdx>
    <mdx n="0" f="m">
      <t c="2">
        <n x="18"/>
        <n x="413"/>
      </t>
    </mdx>
    <mdx n="0" f="m">
      <t c="2">
        <n x="18"/>
        <n x="414"/>
      </t>
    </mdx>
    <mdx n="0" f="m">
      <t c="2">
        <n x="18"/>
        <n x="415"/>
      </t>
    </mdx>
    <mdx n="0" f="m">
      <t c="2">
        <n x="18"/>
        <n x="416"/>
      </t>
    </mdx>
    <mdx n="0" f="m">
      <t c="2">
        <n x="18"/>
        <n x="417"/>
      </t>
    </mdx>
    <mdx n="0" f="m">
      <t c="2">
        <n x="18"/>
        <n x="418"/>
      </t>
    </mdx>
    <mdx n="0" f="m">
      <t c="2">
        <n x="18"/>
        <n x="419"/>
      </t>
    </mdx>
    <mdx n="0" f="m">
      <t c="2">
        <n x="18"/>
        <n x="420"/>
      </t>
    </mdx>
    <mdx n="0" f="m">
      <t c="2">
        <n x="13"/>
        <n x="421"/>
      </t>
    </mdx>
    <mdx n="0" f="m">
      <t c="2">
        <n x="13"/>
        <n x="422"/>
      </t>
    </mdx>
    <mdx n="0" f="m">
      <t c="2">
        <n x="13"/>
        <n x="423"/>
      </t>
    </mdx>
    <mdx n="0" f="m">
      <t c="2">
        <n x="13"/>
        <n x="424"/>
      </t>
    </mdx>
    <mdx n="0" f="m">
      <t c="2">
        <n x="13"/>
        <n x="425"/>
      </t>
    </mdx>
    <mdx n="0" f="m">
      <t c="2">
        <n x="13"/>
        <n x="426"/>
      </t>
    </mdx>
    <mdx n="0" f="m">
      <t c="2">
        <n x="13"/>
        <n x="427"/>
      </t>
    </mdx>
    <mdx n="0" f="m">
      <t c="2">
        <n x="13"/>
        <n x="428"/>
      </t>
    </mdx>
    <mdx n="0" f="m">
      <t c="2">
        <n x="13"/>
        <n x="429"/>
      </t>
    </mdx>
    <mdx n="0" f="m">
      <t c="2">
        <n x="6"/>
        <n x="430"/>
      </t>
    </mdx>
    <mdx n="0" f="m">
      <t c="2">
        <n x="6"/>
        <n x="431"/>
      </t>
    </mdx>
    <mdx n="0" f="m">
      <t c="2">
        <n x="6"/>
        <n x="432"/>
      </t>
    </mdx>
    <mdx n="0" f="m">
      <t c="2">
        <n x="10"/>
        <n x="433"/>
      </t>
    </mdx>
    <mdx n="0" f="m">
      <t c="2">
        <n x="10"/>
        <n x="434"/>
      </t>
    </mdx>
    <mdx n="0" f="m">
      <t c="2">
        <n x="10"/>
        <n x="435"/>
      </t>
    </mdx>
    <mdx n="0" f="m">
      <t c="2">
        <n x="10"/>
        <n x="436"/>
      </t>
    </mdx>
    <mdx n="0" f="m">
      <t c="2">
        <n x="10"/>
        <n x="437"/>
      </t>
    </mdx>
    <mdx n="0" f="m">
      <t c="2">
        <n x="10"/>
        <n x="438"/>
      </t>
    </mdx>
    <mdx n="0" f="m">
      <t c="2">
        <n x="10"/>
        <n x="439"/>
      </t>
    </mdx>
    <mdx n="0" f="m">
      <t c="2">
        <n x="10"/>
        <n x="440"/>
      </t>
    </mdx>
    <mdx n="0" f="m">
      <t c="2">
        <n x="10"/>
        <n x="441"/>
      </t>
    </mdx>
    <mdx n="0" f="m">
      <t c="2">
        <n x="10"/>
        <n x="442"/>
      </t>
    </mdx>
    <mdx n="0" f="m">
      <t c="2">
        <n x="10"/>
        <n x="443"/>
      </t>
    </mdx>
    <mdx n="0" f="m">
      <t c="2">
        <n x="10"/>
        <n x="444"/>
      </t>
    </mdx>
    <mdx n="0" f="m">
      <t c="2">
        <n x="10"/>
        <n x="445"/>
      </t>
    </mdx>
    <mdx n="0" f="m">
      <t c="2">
        <n x="10"/>
        <n x="446"/>
      </t>
    </mdx>
    <mdx n="0" f="m">
      <t c="2">
        <n x="10"/>
        <n x="447"/>
      </t>
    </mdx>
    <mdx n="0" f="m">
      <t c="2">
        <n x="10"/>
        <n x="448"/>
      </t>
    </mdx>
    <mdx n="0" f="m">
      <t c="2">
        <n x="10"/>
        <n x="449"/>
      </t>
    </mdx>
    <mdx n="0" f="m">
      <t c="2">
        <n x="10"/>
        <n x="450"/>
      </t>
    </mdx>
    <mdx n="0" f="m">
      <t c="2">
        <n x="12"/>
        <n x="451"/>
      </t>
    </mdx>
    <mdx n="0" f="m">
      <t c="2">
        <n x="12"/>
        <n x="452"/>
      </t>
    </mdx>
    <mdx n="0" f="m">
      <t c="2">
        <n x="12"/>
        <n x="453"/>
      </t>
    </mdx>
    <mdx n="0" f="m">
      <t c="2">
        <n x="12"/>
        <n x="454"/>
      </t>
    </mdx>
    <mdx n="0" f="m">
      <t c="2">
        <n x="12"/>
        <n x="455"/>
      </t>
    </mdx>
    <mdx n="0" f="m">
      <t c="2">
        <n x="12"/>
        <n x="456"/>
      </t>
    </mdx>
    <mdx n="0" f="m">
      <t c="2">
        <n x="12"/>
        <n x="457"/>
      </t>
    </mdx>
    <mdx n="0" f="m">
      <t c="2">
        <n x="12"/>
        <n x="458"/>
      </t>
    </mdx>
    <mdx n="0" f="m">
      <t c="2">
        <n x="12"/>
        <n x="459"/>
      </t>
    </mdx>
    <mdx n="0" f="m">
      <t c="2">
        <n x="12"/>
        <n x="460"/>
      </t>
    </mdx>
    <mdx n="0" f="m">
      <t c="2">
        <n x="12"/>
        <n x="461"/>
      </t>
    </mdx>
    <mdx n="0" f="m">
      <t c="2">
        <n x="12"/>
        <n x="462"/>
      </t>
    </mdx>
    <mdx n="0" f="m">
      <t c="2">
        <n x="12"/>
        <n x="463"/>
      </t>
    </mdx>
    <mdx n="0" f="m">
      <t c="2">
        <n x="20"/>
        <n x="464"/>
      </t>
    </mdx>
    <mdx n="0" f="m">
      <t c="2">
        <n x="20"/>
        <n x="465"/>
      </t>
    </mdx>
    <mdx n="0" f="m">
      <t c="2">
        <n x="20"/>
        <n x="466"/>
      </t>
    </mdx>
    <mdx n="0" f="m">
      <t c="2">
        <n x="20"/>
        <n x="467"/>
      </t>
    </mdx>
    <mdx n="0" f="m">
      <t c="2">
        <n x="20"/>
        <n x="468"/>
      </t>
    </mdx>
    <mdx n="0" f="m">
      <t c="2">
        <n x="20"/>
        <n x="469"/>
      </t>
    </mdx>
    <mdx n="0" f="m">
      <t c="2">
        <n x="20"/>
        <n x="470"/>
      </t>
    </mdx>
    <mdx n="0" f="m">
      <t c="2">
        <n x="20"/>
        <n x="471"/>
      </t>
    </mdx>
    <mdx n="0" f="m">
      <t c="2">
        <n x="20"/>
        <n x="472"/>
      </t>
    </mdx>
    <mdx n="0" f="m">
      <t c="2">
        <n x="20"/>
        <n x="473"/>
      </t>
    </mdx>
    <mdx n="474" f="m">
      <t c="1">
        <n x="7"/>
      </t>
    </mdx>
    <mdx n="474" f="m">
      <t c="1">
        <n x="10"/>
      </t>
    </mdx>
    <mdx n="474" f="m">
      <t c="1">
        <n x="475"/>
      </t>
    </mdx>
    <mdx n="474" f="m">
      <t c="1">
        <n x="476"/>
      </t>
    </mdx>
    <mdx n="474" f="m">
      <t c="1">
        <n x="12"/>
      </t>
    </mdx>
    <mdx n="474" f="m">
      <t c="1">
        <n x="477"/>
      </t>
    </mdx>
    <mdx n="474" f="m">
      <t c="1">
        <n x="19"/>
      </t>
    </mdx>
    <mdx n="474" f="m">
      <t c="2">
        <n x="478"/>
        <n x="479"/>
      </t>
    </mdx>
    <mdx n="474" f="m">
      <t c="1">
        <n x="478"/>
      </t>
    </mdx>
    <mdx n="474" f="m">
      <t c="2">
        <n x="478"/>
        <n x="480"/>
      </t>
    </mdx>
    <mdx n="474" f="m">
      <t c="2">
        <n x="478"/>
        <n x="481"/>
      </t>
    </mdx>
    <mdx n="474" f="m">
      <t c="2">
        <n x="478"/>
        <n x="482"/>
      </t>
    </mdx>
    <mdx n="474" f="m">
      <t c="1">
        <n x="483"/>
      </t>
    </mdx>
    <mdx n="474" f="m">
      <t c="1">
        <n x="484"/>
      </t>
    </mdx>
    <mdx n="474" f="m">
      <t c="1">
        <n x="485"/>
      </t>
    </mdx>
    <mdx n="474" f="m">
      <t c="2">
        <n x="478"/>
        <n x="486"/>
      </t>
    </mdx>
    <mdx n="474" f="m">
      <t c="2">
        <n x="478"/>
        <n x="487"/>
      </t>
    </mdx>
    <mdx n="474" f="m">
      <t c="2">
        <n x="478"/>
        <n x="488"/>
      </t>
    </mdx>
    <mdx n="474" f="m">
      <t c="2">
        <n x="478"/>
        <n x="489"/>
      </t>
    </mdx>
    <mdx n="474" f="m">
      <t c="2">
        <n x="478"/>
        <n x="490"/>
      </t>
    </mdx>
    <mdx n="474" f="m">
      <t c="2">
        <n x="478"/>
        <n x="491"/>
      </t>
    </mdx>
    <mdx n="474" f="m">
      <t c="2">
        <n x="478"/>
        <n x="492"/>
      </t>
    </mdx>
    <mdx n="474" f="m">
      <t c="2">
        <n x="478"/>
        <n x="493"/>
      </t>
    </mdx>
    <mdx n="474" f="m">
      <t c="2">
        <n x="478"/>
        <n x="494"/>
      </t>
    </mdx>
    <mdx n="474" f="m">
      <t c="2">
        <n x="478"/>
        <n x="495"/>
      </t>
    </mdx>
    <mdx n="474" f="m">
      <t c="2">
        <n x="483"/>
        <n x="496"/>
      </t>
    </mdx>
    <mdx n="474" f="m">
      <t c="2">
        <n x="484"/>
        <n x="497"/>
      </t>
    </mdx>
    <mdx n="474" f="m">
      <t c="2">
        <n x="484"/>
        <n x="498"/>
      </t>
    </mdx>
    <mdx n="474" f="m">
      <t c="2">
        <n x="484"/>
        <n x="499"/>
      </t>
    </mdx>
    <mdx n="474" f="m">
      <t c="2">
        <n x="484"/>
        <n x="500"/>
      </t>
    </mdx>
    <mdx n="474" f="m">
      <t c="2">
        <n x="484"/>
        <n x="501"/>
      </t>
    </mdx>
    <mdx n="474" f="m">
      <t c="2">
        <n x="484"/>
        <n x="502"/>
      </t>
    </mdx>
    <mdx n="474" f="m">
      <t c="2">
        <n x="484"/>
        <n x="503"/>
      </t>
    </mdx>
    <mdx n="474" f="m">
      <t c="2">
        <n x="484"/>
        <n x="504"/>
      </t>
    </mdx>
    <mdx n="474" f="m">
      <t c="2">
        <n x="484"/>
        <n x="505"/>
      </t>
    </mdx>
    <mdx n="474" f="m">
      <t c="2">
        <n x="484"/>
        <n x="506"/>
      </t>
    </mdx>
    <mdx n="474" f="m">
      <t c="2">
        <n x="484"/>
        <n x="507"/>
      </t>
    </mdx>
    <mdx n="474" f="m">
      <t c="2">
        <n x="484"/>
        <n x="508"/>
      </t>
    </mdx>
    <mdx n="474" f="m">
      <t c="2">
        <n x="484"/>
        <n x="509"/>
      </t>
    </mdx>
    <mdx n="474" f="m">
      <t c="2">
        <n x="484"/>
        <n x="510"/>
      </t>
    </mdx>
    <mdx n="474" f="m">
      <t c="2">
        <n x="484"/>
        <n x="511"/>
      </t>
    </mdx>
    <mdx n="474" f="m">
      <t c="2">
        <n x="484"/>
        <n x="512"/>
      </t>
    </mdx>
    <mdx n="474" f="m">
      <t c="2">
        <n x="484"/>
        <n x="513"/>
      </t>
    </mdx>
    <mdx n="474" f="m">
      <t c="2">
        <n x="484"/>
        <n x="514"/>
      </t>
    </mdx>
    <mdx n="474" f="m">
      <t c="2">
        <n x="484"/>
        <n x="515"/>
      </t>
    </mdx>
    <mdx n="474" f="m">
      <t c="2">
        <n x="484"/>
        <n x="516"/>
      </t>
    </mdx>
    <mdx n="474" f="m">
      <t c="2">
        <n x="484"/>
        <n x="517"/>
      </t>
    </mdx>
    <mdx n="474" f="m">
      <t c="2">
        <n x="484"/>
        <n x="518"/>
      </t>
    </mdx>
    <mdx n="474" f="m">
      <t c="2">
        <n x="484"/>
        <n x="519"/>
      </t>
    </mdx>
    <mdx n="474" f="m">
      <t c="2">
        <n x="484"/>
        <n x="520"/>
      </t>
    </mdx>
    <mdx n="474" f="m">
      <t c="2">
        <n x="484"/>
        <n x="521"/>
      </t>
    </mdx>
    <mdx n="474" f="m">
      <t c="2">
        <n x="484"/>
        <n x="522"/>
      </t>
    </mdx>
    <mdx n="474" f="m">
      <t c="2">
        <n x="484"/>
        <n x="523"/>
      </t>
    </mdx>
    <mdx n="474" f="m">
      <t c="2">
        <n x="484"/>
        <n x="524"/>
      </t>
    </mdx>
    <mdx n="474" f="m">
      <t c="2">
        <n x="484"/>
        <n x="525"/>
      </t>
    </mdx>
    <mdx n="474" f="m">
      <t c="2">
        <n x="484"/>
        <n x="526"/>
      </t>
    </mdx>
    <mdx n="474" f="m">
      <t c="2">
        <n x="484"/>
        <n x="527"/>
      </t>
    </mdx>
    <mdx n="474" f="m">
      <t c="2">
        <n x="484"/>
        <n x="528"/>
      </t>
    </mdx>
    <mdx n="474" f="m">
      <t c="2">
        <n x="484"/>
        <n x="529"/>
      </t>
    </mdx>
    <mdx n="474" f="m">
      <t c="2">
        <n x="484"/>
        <n x="530"/>
      </t>
    </mdx>
    <mdx n="474" f="m">
      <t c="2">
        <n x="484"/>
        <n x="531"/>
      </t>
    </mdx>
    <mdx n="474" f="m">
      <t c="2">
        <n x="484"/>
        <n x="532"/>
      </t>
    </mdx>
    <mdx n="474" f="m">
      <t c="2">
        <n x="484"/>
        <n x="533"/>
      </t>
    </mdx>
    <mdx n="474" f="m">
      <t c="2">
        <n x="484"/>
        <n x="534"/>
      </t>
    </mdx>
    <mdx n="474" f="m">
      <t c="2">
        <n x="484"/>
        <n x="535"/>
      </t>
    </mdx>
    <mdx n="474" f="m">
      <t c="2">
        <n x="484"/>
        <n x="536"/>
      </t>
    </mdx>
    <mdx n="474" f="m">
      <t c="2">
        <n x="484"/>
        <n x="537"/>
      </t>
    </mdx>
    <mdx n="474" f="m">
      <t c="2">
        <n x="484"/>
        <n x="538"/>
      </t>
    </mdx>
    <mdx n="474" f="m">
      <t c="2">
        <n x="484"/>
        <n x="539"/>
      </t>
    </mdx>
    <mdx n="474" f="m">
      <t c="2">
        <n x="484"/>
        <n x="540"/>
      </t>
    </mdx>
    <mdx n="474" f="m">
      <t c="2">
        <n x="484"/>
        <n x="541"/>
      </t>
    </mdx>
    <mdx n="474" f="m">
      <t c="2">
        <n x="484"/>
        <n x="542"/>
      </t>
    </mdx>
    <mdx n="474" f="m">
      <t c="2">
        <n x="484"/>
        <n x="543"/>
      </t>
    </mdx>
    <mdx n="474" f="m">
      <t c="2">
        <n x="484"/>
        <n x="544"/>
      </t>
    </mdx>
    <mdx n="474" f="m">
      <t c="2">
        <n x="484"/>
        <n x="545"/>
      </t>
    </mdx>
    <mdx n="474" f="m">
      <t c="2">
        <n x="484"/>
        <n x="546"/>
      </t>
    </mdx>
    <mdx n="474" f="m">
      <t c="2">
        <n x="484"/>
        <n x="547"/>
      </t>
    </mdx>
    <mdx n="474" f="m">
      <t c="2">
        <n x="484"/>
        <n x="548"/>
      </t>
    </mdx>
    <mdx n="474" f="m">
      <t c="2">
        <n x="484"/>
        <n x="549"/>
      </t>
    </mdx>
    <mdx n="474" f="m">
      <t c="2">
        <n x="484"/>
        <n x="550"/>
      </t>
    </mdx>
    <mdx n="474" f="m">
      <t c="2">
        <n x="484"/>
        <n x="551"/>
      </t>
    </mdx>
    <mdx n="474" f="m">
      <t c="2">
        <n x="484"/>
        <n x="552"/>
      </t>
    </mdx>
    <mdx n="474" f="m">
      <t c="2">
        <n x="484"/>
        <n x="553"/>
      </t>
    </mdx>
    <mdx n="474" f="m">
      <t c="2">
        <n x="484"/>
        <n x="554"/>
      </t>
    </mdx>
    <mdx n="474" f="m">
      <t c="2">
        <n x="485"/>
        <n x="555"/>
      </t>
    </mdx>
    <mdx n="474" f="m">
      <t c="2">
        <n x="485"/>
        <n x="556"/>
      </t>
    </mdx>
    <mdx n="474" f="m">
      <t c="2">
        <n x="485"/>
        <n x="557"/>
      </t>
    </mdx>
    <mdx n="474" f="m">
      <t c="2">
        <n x="485"/>
        <n x="558"/>
      </t>
    </mdx>
    <mdx n="474" f="m">
      <t c="2">
        <n x="485"/>
        <n x="559"/>
      </t>
    </mdx>
    <mdx n="474" f="m">
      <t c="2">
        <n x="485"/>
        <n x="560"/>
      </t>
    </mdx>
    <mdx n="474" f="m">
      <t c="2">
        <n x="485"/>
        <n x="561"/>
      </t>
    </mdx>
    <mdx n="474" f="m">
      <t c="2">
        <n x="485"/>
        <n x="562"/>
      </t>
    </mdx>
    <mdx n="474" f="m">
      <t c="2">
        <n x="478"/>
        <n x="563"/>
      </t>
    </mdx>
    <mdx n="474" f="m">
      <t c="2">
        <n x="478"/>
        <n x="564"/>
      </t>
    </mdx>
    <mdx n="474" f="m">
      <t c="2">
        <n x="478"/>
        <n x="565"/>
      </t>
    </mdx>
    <mdx n="474" f="m">
      <t c="2">
        <n x="478"/>
        <n x="566"/>
      </t>
    </mdx>
    <mdx n="474" f="m">
      <t c="2">
        <n x="478"/>
        <n x="567"/>
      </t>
    </mdx>
    <mdx n="474" f="m">
      <t c="2">
        <n x="478"/>
        <n x="568"/>
      </t>
    </mdx>
    <mdx n="474" f="m">
      <t c="2">
        <n x="478"/>
        <n x="569"/>
      </t>
    </mdx>
    <mdx n="474" f="m">
      <t c="2">
        <n x="478"/>
        <n x="570"/>
      </t>
    </mdx>
    <mdx n="474" f="m">
      <t c="2">
        <n x="478"/>
        <n x="571"/>
      </t>
    </mdx>
    <mdx n="474" f="m">
      <t c="2">
        <n x="478"/>
        <n x="572"/>
      </t>
    </mdx>
    <mdx n="474" f="m">
      <t c="2">
        <n x="483"/>
        <n x="489"/>
      </t>
    </mdx>
    <mdx n="474" f="m">
      <t c="2">
        <n x="483"/>
        <n x="573"/>
      </t>
    </mdx>
    <mdx n="474" f="m">
      <t c="2">
        <n x="484"/>
        <n x="574"/>
      </t>
    </mdx>
    <mdx n="474" f="m">
      <t c="2">
        <n x="484"/>
        <n x="575"/>
      </t>
    </mdx>
    <mdx n="474" f="m">
      <t c="2">
        <n x="484"/>
        <n x="576"/>
      </t>
    </mdx>
    <mdx n="474" f="m">
      <t c="2">
        <n x="484"/>
        <n x="577"/>
      </t>
    </mdx>
    <mdx n="474" f="m">
      <t c="2">
        <n x="484"/>
        <n x="578"/>
      </t>
    </mdx>
    <mdx n="474" f="m">
      <t c="2">
        <n x="484"/>
        <n x="579"/>
      </t>
    </mdx>
    <mdx n="474" f="m">
      <t c="2">
        <n x="484"/>
        <n x="580"/>
      </t>
    </mdx>
    <mdx n="474" f="m">
      <t c="2">
        <n x="484"/>
        <n x="581"/>
      </t>
    </mdx>
    <mdx n="474" f="m">
      <t c="2">
        <n x="484"/>
        <n x="582"/>
      </t>
    </mdx>
    <mdx n="474" f="m">
      <t c="2">
        <n x="484"/>
        <n x="583"/>
      </t>
    </mdx>
    <mdx n="474" f="m">
      <t c="2">
        <n x="484"/>
        <n x="584"/>
      </t>
    </mdx>
    <mdx n="474" f="m">
      <t c="2">
        <n x="484"/>
        <n x="585"/>
      </t>
    </mdx>
    <mdx n="474" f="m">
      <t c="2">
        <n x="484"/>
        <n x="586"/>
      </t>
    </mdx>
    <mdx n="474" f="m">
      <t c="2">
        <n x="484"/>
        <n x="587"/>
      </t>
    </mdx>
    <mdx n="474" f="m">
      <t c="2">
        <n x="484"/>
        <n x="588"/>
      </t>
    </mdx>
    <mdx n="474" f="m">
      <t c="2">
        <n x="484"/>
        <n x="589"/>
      </t>
    </mdx>
    <mdx n="474" f="m">
      <t c="2">
        <n x="484"/>
        <n x="590"/>
      </t>
    </mdx>
    <mdx n="474" f="m">
      <t c="2">
        <n x="484"/>
        <n x="591"/>
      </t>
    </mdx>
    <mdx n="474" f="m">
      <t c="2">
        <n x="484"/>
        <n x="592"/>
      </t>
    </mdx>
    <mdx n="474" f="m">
      <t c="2">
        <n x="484"/>
        <n x="593"/>
      </t>
    </mdx>
    <mdx n="474" f="m">
      <t c="2">
        <n x="484"/>
        <n x="594"/>
      </t>
    </mdx>
    <mdx n="474" f="m">
      <t c="2">
        <n x="484"/>
        <n x="595"/>
      </t>
    </mdx>
    <mdx n="474" f="m">
      <t c="2">
        <n x="484"/>
        <n x="596"/>
      </t>
    </mdx>
    <mdx n="474" f="m">
      <t c="2">
        <n x="484"/>
        <n x="597"/>
      </t>
    </mdx>
    <mdx n="474" f="m">
      <t c="2">
        <n x="484"/>
        <n x="598"/>
      </t>
    </mdx>
    <mdx n="474" f="m">
      <t c="2">
        <n x="484"/>
        <n x="599"/>
      </t>
    </mdx>
    <mdx n="474" f="m">
      <t c="2">
        <n x="484"/>
        <n x="600"/>
      </t>
    </mdx>
    <mdx n="474" f="m">
      <t c="2">
        <n x="484"/>
        <n x="601"/>
      </t>
    </mdx>
    <mdx n="474" f="m">
      <t c="2">
        <n x="484"/>
        <n x="602"/>
      </t>
    </mdx>
    <mdx n="474" f="m">
      <t c="2">
        <n x="484"/>
        <n x="603"/>
      </t>
    </mdx>
    <mdx n="474" f="m">
      <t c="2">
        <n x="484"/>
        <n x="604"/>
      </t>
    </mdx>
    <mdx n="474" f="m">
      <t c="2">
        <n x="484"/>
        <n x="605"/>
      </t>
    </mdx>
    <mdx n="474" f="m">
      <t c="2">
        <n x="484"/>
        <n x="606"/>
      </t>
    </mdx>
    <mdx n="474" f="m">
      <t c="2">
        <n x="484"/>
        <n x="607"/>
      </t>
    </mdx>
    <mdx n="474" f="m">
      <t c="2">
        <n x="484"/>
        <n x="608"/>
      </t>
    </mdx>
    <mdx n="474" f="m">
      <t c="2">
        <n x="484"/>
        <n x="609"/>
      </t>
    </mdx>
    <mdx n="474" f="m">
      <t c="2">
        <n x="484"/>
        <n x="610"/>
      </t>
    </mdx>
    <mdx n="474" f="m">
      <t c="2">
        <n x="484"/>
        <n x="611"/>
      </t>
    </mdx>
    <mdx n="474" f="m">
      <t c="2">
        <n x="484"/>
        <n x="612"/>
      </t>
    </mdx>
    <mdx n="474" f="m">
      <t c="2">
        <n x="484"/>
        <n x="613"/>
      </t>
    </mdx>
    <mdx n="474" f="m">
      <t c="2">
        <n x="484"/>
        <n x="614"/>
      </t>
    </mdx>
    <mdx n="474" f="m">
      <t c="2">
        <n x="484"/>
        <n x="615"/>
      </t>
    </mdx>
    <mdx n="474" f="m">
      <t c="2">
        <n x="484"/>
        <n x="616"/>
      </t>
    </mdx>
    <mdx n="474" f="m">
      <t c="2">
        <n x="484"/>
        <n x="617"/>
      </t>
    </mdx>
    <mdx n="474" f="m">
      <t c="2">
        <n x="484"/>
        <n x="618"/>
      </t>
    </mdx>
    <mdx n="474" f="m">
      <t c="2">
        <n x="484"/>
        <n x="619"/>
      </t>
    </mdx>
    <mdx n="474" f="m">
      <t c="2">
        <n x="484"/>
        <n x="620"/>
      </t>
    </mdx>
    <mdx n="474" f="m">
      <t c="2">
        <n x="484"/>
        <n x="621"/>
      </t>
    </mdx>
    <mdx n="474" f="m">
      <t c="2">
        <n x="484"/>
        <n x="622"/>
      </t>
    </mdx>
    <mdx n="474" f="m">
      <t c="2">
        <n x="484"/>
        <n x="623"/>
      </t>
    </mdx>
    <mdx n="474" f="m">
      <t c="2">
        <n x="484"/>
        <n x="624"/>
      </t>
    </mdx>
    <mdx n="474" f="m">
      <t c="2">
        <n x="484"/>
        <n x="625"/>
      </t>
    </mdx>
    <mdx n="474" f="m">
      <t c="2">
        <n x="484"/>
        <n x="626"/>
      </t>
    </mdx>
    <mdx n="474" f="m">
      <t c="2">
        <n x="484"/>
        <n x="627"/>
      </t>
    </mdx>
    <mdx n="474" f="m">
      <t c="2">
        <n x="484"/>
        <n x="628"/>
      </t>
    </mdx>
    <mdx n="474" f="m">
      <t c="2">
        <n x="484"/>
        <n x="629"/>
      </t>
    </mdx>
    <mdx n="474" f="m">
      <t c="2">
        <n x="484"/>
        <n x="630"/>
      </t>
    </mdx>
    <mdx n="474" f="m">
      <t c="2">
        <n x="485"/>
        <n x="631"/>
      </t>
    </mdx>
    <mdx n="474" f="m">
      <t c="2">
        <n x="485"/>
        <n x="632"/>
      </t>
    </mdx>
    <mdx n="474" f="m">
      <t c="2">
        <n x="485"/>
        <n x="633"/>
      </t>
    </mdx>
    <mdx n="474" f="m">
      <t c="2">
        <n x="485"/>
        <n x="634"/>
      </t>
    </mdx>
    <mdx n="474" f="m">
      <t c="2">
        <n x="485"/>
        <n x="635"/>
      </t>
    </mdx>
    <mdx n="474" f="m">
      <t c="2">
        <n x="485"/>
        <n x="636"/>
      </t>
    </mdx>
    <mdx n="474" f="m">
      <t c="2">
        <n x="485"/>
        <n x="637"/>
      </t>
    </mdx>
    <mdx n="474" f="m">
      <t c="2">
        <n x="485"/>
        <n x="638"/>
      </t>
    </mdx>
    <mdx n="474" f="m">
      <t c="2">
        <n x="485"/>
        <n x="639"/>
      </t>
    </mdx>
    <mdx n="474" f="m">
      <t c="2">
        <n x="485"/>
        <n x="640"/>
      </t>
    </mdx>
    <mdx n="474" f="m">
      <t c="2">
        <n x="485"/>
        <n x="641"/>
      </t>
    </mdx>
    <mdx n="474" f="m">
      <t c="2">
        <n x="485"/>
        <n x="642"/>
      </t>
    </mdx>
    <mdx n="474" f="m">
      <t c="2">
        <n x="485"/>
        <n x="643"/>
      </t>
    </mdx>
    <mdx n="474" f="m">
      <t c="2">
        <n x="485"/>
        <n x="644"/>
      </t>
    </mdx>
    <mdx n="474" f="m">
      <t c="2">
        <n x="485"/>
        <n x="645"/>
      </t>
    </mdx>
    <mdx n="474" f="m">
      <t c="2">
        <n x="485"/>
        <n x="567"/>
      </t>
    </mdx>
    <mdx n="474" f="m">
      <t c="2">
        <n x="485"/>
        <n x="646"/>
      </t>
    </mdx>
    <mdx n="474" f="m">
      <t c="2">
        <n x="485"/>
        <n x="647"/>
      </t>
    </mdx>
    <mdx n="474" f="m">
      <t c="2">
        <n x="485"/>
        <n x="648"/>
      </t>
    </mdx>
    <mdx n="474" f="m">
      <t c="2">
        <n x="485"/>
        <n x="649"/>
      </t>
    </mdx>
    <mdx n="474" f="m">
      <t c="2">
        <n x="485"/>
        <n x="496"/>
      </t>
    </mdx>
    <mdx n="474" f="m">
      <t c="2">
        <n x="485"/>
        <n x="650"/>
      </t>
    </mdx>
    <mdx n="474" f="m">
      <t c="2">
        <n x="485"/>
        <n x="651"/>
      </t>
    </mdx>
    <mdx n="474" f="m">
      <t c="2">
        <n x="485"/>
        <n x="652"/>
      </t>
    </mdx>
    <mdx n="474" f="m">
      <t c="2">
        <n x="485"/>
        <n x="653"/>
      </t>
    </mdx>
    <mdx n="474" f="m">
      <t c="2">
        <n x="485"/>
        <n x="654"/>
      </t>
    </mdx>
    <mdx n="474" f="m">
      <t c="2">
        <n x="485"/>
        <n x="655"/>
      </t>
    </mdx>
    <mdx n="474" f="m">
      <t c="2">
        <n x="485"/>
        <n x="656"/>
      </t>
    </mdx>
    <mdx n="474" f="m">
      <t c="2">
        <n x="485"/>
        <n x="657"/>
      </t>
    </mdx>
    <mdx n="474" f="m">
      <t c="2">
        <n x="485"/>
        <n x="658"/>
      </t>
    </mdx>
    <mdx n="474" f="m">
      <t c="2">
        <n x="485"/>
        <n x="659"/>
      </t>
    </mdx>
    <mdx n="474" f="m">
      <t c="2">
        <n x="485"/>
        <n x="660"/>
      </t>
    </mdx>
    <mdx n="474" f="m">
      <t c="2">
        <n x="485"/>
        <n x="661"/>
      </t>
    </mdx>
    <mdx n="474" f="m">
      <t c="2">
        <n x="485"/>
        <n x="662"/>
      </t>
    </mdx>
    <mdx n="474" f="m">
      <t c="2">
        <n x="485"/>
        <n x="663"/>
      </t>
    </mdx>
    <mdx n="474" f="m">
      <t c="2">
        <n x="485"/>
        <n x="664"/>
      </t>
    </mdx>
    <mdx n="474" f="m">
      <t c="2">
        <n x="485"/>
        <n x="665"/>
      </t>
    </mdx>
    <mdx n="474" f="m">
      <t c="2">
        <n x="485"/>
        <n x="666"/>
      </t>
    </mdx>
    <mdx n="474" f="m">
      <t c="2">
        <n x="485"/>
        <n x="667"/>
      </t>
    </mdx>
    <mdx n="474" f="m">
      <t c="2">
        <n x="485"/>
        <n x="489"/>
      </t>
    </mdx>
    <mdx n="474" f="m">
      <t c="2">
        <n x="485"/>
        <n x="668"/>
      </t>
    </mdx>
    <mdx n="474" f="m">
      <t c="2">
        <n x="485"/>
        <n x="669"/>
      </t>
    </mdx>
    <mdx n="474" f="m">
      <t c="2">
        <n x="485"/>
        <n x="670"/>
      </t>
    </mdx>
    <mdx n="474" f="m">
      <t c="2">
        <n x="485"/>
        <n x="671"/>
      </t>
    </mdx>
    <mdx n="474" f="m">
      <t c="2">
        <n x="485"/>
        <n x="672"/>
      </t>
    </mdx>
    <mdx n="474" f="m">
      <t c="2">
        <n x="485"/>
        <n x="673"/>
      </t>
    </mdx>
    <mdx n="474" f="m">
      <t c="2">
        <n x="485"/>
        <n x="674"/>
      </t>
    </mdx>
    <mdx n="474" f="m">
      <t c="2">
        <n x="485"/>
        <n x="675"/>
      </t>
    </mdx>
    <mdx n="474" f="m">
      <t c="2">
        <n x="485"/>
        <n x="676"/>
      </t>
    </mdx>
    <mdx n="474" f="m">
      <t c="2">
        <n x="485"/>
        <n x="677"/>
      </t>
    </mdx>
    <mdx n="474" f="m">
      <t c="2">
        <n x="485"/>
        <n x="678"/>
      </t>
    </mdx>
    <mdx n="474" f="m">
      <t c="2">
        <n x="485"/>
        <n x="679"/>
      </t>
    </mdx>
    <mdx n="474" f="m">
      <t c="2">
        <n x="485"/>
        <n x="680"/>
      </t>
    </mdx>
    <mdx n="474" f="m">
      <t c="2">
        <n x="485"/>
        <n x="681"/>
      </t>
    </mdx>
    <mdx n="474" f="m">
      <t c="2">
        <n x="485"/>
        <n x="682"/>
      </t>
    </mdx>
    <mdx n="474" f="m">
      <t c="2">
        <n x="485"/>
        <n x="683"/>
      </t>
    </mdx>
    <mdx n="474" f="m">
      <t c="2">
        <n x="485"/>
        <n x="684"/>
      </t>
    </mdx>
    <mdx n="474" f="m">
      <t c="2">
        <n x="485"/>
        <n x="685"/>
      </t>
    </mdx>
    <mdx n="474" f="m">
      <t c="2">
        <n x="485"/>
        <n x="686"/>
      </t>
    </mdx>
    <mdx n="474" f="m">
      <t c="2">
        <n x="485"/>
        <n x="687"/>
      </t>
    </mdx>
    <mdx n="474" f="m">
      <t c="2">
        <n x="485"/>
        <n x="688"/>
      </t>
    </mdx>
    <mdx n="474" f="m">
      <t c="2">
        <n x="485"/>
        <n x="689"/>
      </t>
    </mdx>
    <mdx n="474" f="m">
      <t c="2">
        <n x="485"/>
        <n x="690"/>
      </t>
    </mdx>
    <mdx n="474" f="m">
      <t c="2">
        <n x="485"/>
        <n x="691"/>
      </t>
    </mdx>
    <mdx n="474" f="m">
      <t c="2">
        <n x="485"/>
        <n x="692"/>
      </t>
    </mdx>
    <mdx n="474" f="m">
      <t c="2">
        <n x="485"/>
        <n x="693"/>
      </t>
    </mdx>
    <mdx n="474" f="m">
      <t c="2">
        <n x="485"/>
        <n x="694"/>
      </t>
    </mdx>
    <mdx n="474" f="m">
      <t c="2">
        <n x="485"/>
        <n x="695"/>
      </t>
    </mdx>
    <mdx n="474" f="m">
      <t c="2">
        <n x="485"/>
        <n x="696"/>
      </t>
    </mdx>
    <mdx n="474" f="m">
      <t c="2">
        <n x="485"/>
        <n x="697"/>
      </t>
    </mdx>
    <mdx n="474" f="m">
      <t c="2">
        <n x="485"/>
        <n x="698"/>
      </t>
    </mdx>
    <mdx n="474" f="m">
      <t c="2">
        <n x="485"/>
        <n x="699"/>
      </t>
    </mdx>
    <mdx n="474" f="m">
      <t c="2">
        <n x="485"/>
        <n x="700"/>
      </t>
    </mdx>
    <mdx n="474" f="m">
      <t c="2">
        <n x="485"/>
        <n x="701"/>
      </t>
    </mdx>
    <mdx n="474" f="m">
      <t c="2">
        <n x="485"/>
        <n x="702"/>
      </t>
    </mdx>
    <mdx n="474" f="m">
      <t c="2">
        <n x="485"/>
        <n x="703"/>
      </t>
    </mdx>
    <mdx n="474" f="m">
      <t c="2">
        <n x="485"/>
        <n x="704"/>
      </t>
    </mdx>
    <mdx n="474" f="m">
      <t c="2">
        <n x="485"/>
        <n x="573"/>
      </t>
    </mdx>
    <mdx n="474" f="m">
      <t c="2">
        <n x="485"/>
        <n x="572"/>
      </t>
    </mdx>
    <mdx n="474" f="m">
      <t c="2">
        <n x="485"/>
        <n x="705"/>
      </t>
    </mdx>
    <mdx n="474" f="m">
      <t c="2">
        <n x="485"/>
        <n x="706"/>
      </t>
    </mdx>
    <mdx n="474" f="m">
      <t c="2">
        <n x="485"/>
        <n x="707"/>
      </t>
    </mdx>
    <mdx n="474" f="m">
      <t c="2">
        <n x="485"/>
        <n x="708"/>
      </t>
    </mdx>
    <mdx n="474" f="m">
      <t c="2">
        <n x="485"/>
        <n x="709"/>
      </t>
    </mdx>
    <mdx n="474" f="m">
      <t c="2">
        <n x="485"/>
        <n x="710"/>
      </t>
    </mdx>
    <mdx n="474" f="m">
      <t c="2">
        <n x="485"/>
        <n x="711"/>
      </t>
    </mdx>
    <mdx n="474" f="m">
      <t c="2">
        <n x="485"/>
        <n x="712"/>
      </t>
    </mdx>
    <mdx n="474" f="m">
      <t c="2">
        <n x="485"/>
        <n x="713"/>
      </t>
    </mdx>
    <mdx n="474" f="m">
      <t c="2">
        <n x="485"/>
        <n x="714"/>
      </t>
    </mdx>
    <mdx n="474" f="m">
      <t c="2">
        <n x="485"/>
        <n x="715"/>
      </t>
    </mdx>
    <mdx n="474" f="m">
      <t c="2">
        <n x="485"/>
        <n x="716"/>
      </t>
    </mdx>
    <mdx n="474" f="m">
      <t c="2">
        <n x="485"/>
        <n x="717"/>
      </t>
    </mdx>
    <mdx n="474" f="m">
      <t c="2">
        <n x="485"/>
        <n x="718"/>
      </t>
    </mdx>
    <mdx n="474" f="m">
      <t c="2">
        <n x="485"/>
        <n x="719"/>
      </t>
    </mdx>
    <mdx n="474" f="m">
      <t c="2">
        <n x="485"/>
        <n x="720"/>
      </t>
    </mdx>
    <mdx n="474" f="m">
      <t c="2">
        <n x="485"/>
        <n x="721"/>
      </t>
    </mdx>
    <mdx n="474" f="m">
      <t c="2">
        <n x="485"/>
        <n x="722"/>
      </t>
    </mdx>
    <mdx n="474" f="m">
      <t c="2">
        <n x="485"/>
        <n x="723"/>
      </t>
    </mdx>
    <mdx n="474" f="m">
      <t c="2">
        <n x="485"/>
        <n x="724"/>
      </t>
    </mdx>
    <mdx n="474" f="m">
      <t c="2">
        <n x="485"/>
        <n x="725"/>
      </t>
    </mdx>
    <mdx n="474" f="m">
      <t c="2">
        <n x="485"/>
        <n x="726"/>
      </t>
    </mdx>
    <mdx n="474" f="m">
      <t c="2">
        <n x="485"/>
        <n x="727"/>
      </t>
    </mdx>
    <mdx n="474" f="m">
      <t c="2">
        <n x="485"/>
        <n x="728"/>
      </t>
    </mdx>
    <mdx n="474" f="m">
      <t c="2">
        <n x="485"/>
        <n x="729"/>
      </t>
    </mdx>
    <mdx n="474" f="m">
      <t c="2">
        <n x="485"/>
        <n x="730"/>
      </t>
    </mdx>
    <mdx n="474" f="m">
      <t c="2">
        <n x="485"/>
        <n x="731"/>
      </t>
    </mdx>
    <mdx n="474" f="m">
      <t c="2">
        <n x="485"/>
        <n x="732"/>
      </t>
    </mdx>
    <mdx n="474" f="m">
      <t c="2">
        <n x="485"/>
        <n x="733"/>
      </t>
    </mdx>
    <mdx n="474" f="m">
      <t c="2">
        <n x="485"/>
        <n x="734"/>
      </t>
    </mdx>
    <mdx n="474" f="m">
      <t c="2">
        <n x="485"/>
        <n x="735"/>
      </t>
    </mdx>
    <mdx n="474" f="m">
      <t c="2">
        <n x="485"/>
        <n x="736"/>
      </t>
    </mdx>
    <mdx n="474" f="m">
      <t c="2">
        <n x="485"/>
        <n x="737"/>
      </t>
    </mdx>
    <mdx n="474" f="m">
      <t c="2">
        <n x="485"/>
        <n x="738"/>
      </t>
    </mdx>
    <mdx n="474" f="m">
      <t c="2">
        <n x="485"/>
        <n x="739"/>
      </t>
    </mdx>
    <mdx n="474" f="m">
      <t c="2">
        <n x="485"/>
        <n x="740"/>
      </t>
    </mdx>
    <mdx n="474" f="m">
      <t c="2">
        <n x="485"/>
        <n x="741"/>
      </t>
    </mdx>
    <mdx n="474" f="m">
      <t c="2">
        <n x="485"/>
        <n x="742"/>
      </t>
    </mdx>
    <mdx n="474" f="m">
      <t c="2">
        <n x="485"/>
        <n x="743"/>
      </t>
    </mdx>
    <mdx n="474" f="m">
      <t c="2">
        <n x="485"/>
        <n x="744"/>
      </t>
    </mdx>
    <mdx n="474" f="m">
      <t c="2">
        <n x="485"/>
        <n x="745"/>
      </t>
    </mdx>
    <mdx n="474" f="m">
      <t c="2">
        <n x="485"/>
        <n x="746"/>
      </t>
    </mdx>
    <mdx n="474" f="m">
      <t c="2">
        <n x="485"/>
        <n x="747"/>
      </t>
    </mdx>
    <mdx n="474" f="m">
      <t c="2">
        <n x="485"/>
        <n x="748"/>
      </t>
    </mdx>
    <mdx n="474" f="m">
      <t c="2">
        <n x="485"/>
        <n x="749"/>
      </t>
    </mdx>
    <mdx n="474" f="m">
      <t c="2">
        <n x="485"/>
        <n x="750"/>
      </t>
    </mdx>
    <mdx n="474" f="m">
      <t c="2">
        <n x="485"/>
        <n x="751"/>
      </t>
    </mdx>
    <mdx n="474" f="m">
      <t c="2">
        <n x="485"/>
        <n x="752"/>
      </t>
    </mdx>
    <mdx n="474" f="m">
      <t c="2">
        <n x="485"/>
        <n x="753"/>
      </t>
    </mdx>
    <mdx n="474" f="m">
      <t c="2">
        <n x="485"/>
        <n x="754"/>
      </t>
    </mdx>
    <mdx n="474" f="m">
      <t c="2">
        <n x="485"/>
        <n x="755"/>
      </t>
    </mdx>
    <mdx n="474" f="m">
      <t c="2">
        <n x="485"/>
        <n x="756"/>
      </t>
    </mdx>
    <mdx n="474" f="m">
      <t c="2">
        <n x="485"/>
        <n x="757"/>
      </t>
    </mdx>
    <mdx n="474" f="m">
      <t c="2">
        <n x="485"/>
        <n x="758"/>
      </t>
    </mdx>
    <mdx n="474" f="m">
      <t c="2">
        <n x="485"/>
        <n x="759"/>
      </t>
    </mdx>
    <mdx n="474" f="m">
      <t c="2">
        <n x="485"/>
        <n x="760"/>
      </t>
    </mdx>
    <mdx n="474" f="m">
      <t c="2">
        <n x="485"/>
        <n x="761"/>
      </t>
    </mdx>
    <mdx n="474" f="m">
      <t c="2">
        <n x="485"/>
        <n x="762"/>
      </t>
    </mdx>
    <mdx n="474" f="m">
      <t c="2">
        <n x="485"/>
        <n x="763"/>
      </t>
    </mdx>
    <mdx n="474" f="m">
      <t c="2">
        <n x="485"/>
        <n x="764"/>
      </t>
    </mdx>
    <mdx n="474" f="m">
      <t c="2">
        <n x="485"/>
        <n x="765"/>
      </t>
    </mdx>
    <mdx n="474" f="m">
      <t c="2">
        <n x="485"/>
        <n x="766"/>
      </t>
    </mdx>
    <mdx n="474" f="m">
      <t c="2">
        <n x="485"/>
        <n x="767"/>
      </t>
    </mdx>
    <mdx n="474" f="m">
      <t c="2">
        <n x="485"/>
        <n x="768"/>
      </t>
    </mdx>
    <mdx n="474" f="m">
      <t c="2">
        <n x="485"/>
        <n x="769"/>
      </t>
    </mdx>
    <mdx n="474" f="m">
      <t c="2">
        <n x="485"/>
        <n x="770"/>
      </t>
    </mdx>
    <mdx n="474" f="m">
      <t c="2">
        <n x="485"/>
        <n x="771"/>
      </t>
    </mdx>
    <mdx n="474" f="m">
      <t c="2">
        <n x="485"/>
        <n x="772"/>
      </t>
    </mdx>
    <mdx n="474" f="m">
      <t c="2">
        <n x="485"/>
        <n x="773"/>
      </t>
    </mdx>
    <mdx n="474" f="m">
      <t c="2">
        <n x="485"/>
        <n x="774"/>
      </t>
    </mdx>
    <mdx n="474" f="m">
      <t c="2">
        <n x="485"/>
        <n x="775"/>
      </t>
    </mdx>
    <mdx n="474" f="m">
      <t c="2">
        <n x="485"/>
        <n x="494"/>
      </t>
    </mdx>
    <mdx n="474" f="m">
      <t c="2">
        <n x="485"/>
        <n x="776"/>
      </t>
    </mdx>
    <mdx n="474" f="m">
      <t c="2">
        <n x="485"/>
        <n x="777"/>
      </t>
    </mdx>
    <mdx n="474" f="m">
      <t c="2">
        <n x="485"/>
        <n x="778"/>
      </t>
    </mdx>
    <mdx n="474" f="m">
      <t c="2">
        <n x="485"/>
        <n x="779"/>
      </t>
    </mdx>
    <mdx n="474" f="m">
      <t c="2">
        <n x="485"/>
        <n x="780"/>
      </t>
    </mdx>
    <mdx n="474" f="m">
      <t c="2">
        <n x="485"/>
        <n x="781"/>
      </t>
    </mdx>
    <mdx n="474" f="m">
      <t c="2">
        <n x="485"/>
        <n x="782"/>
      </t>
    </mdx>
    <mdx n="474" f="m">
      <t c="2">
        <n x="485"/>
        <n x="783"/>
      </t>
    </mdx>
    <mdx n="474" f="m">
      <t c="2">
        <n x="485"/>
        <n x="784"/>
      </t>
    </mdx>
    <mdx n="474" f="m">
      <t c="2">
        <n x="485"/>
        <n x="785"/>
      </t>
    </mdx>
    <mdx n="474" f="m">
      <t c="2">
        <n x="485"/>
        <n x="786"/>
      </t>
    </mdx>
    <mdx n="474" f="m">
      <t c="2">
        <n x="485"/>
        <n x="787"/>
      </t>
    </mdx>
    <mdx n="474" f="m">
      <t c="2">
        <n x="485"/>
        <n x="788"/>
      </t>
    </mdx>
    <mdx n="474" f="m">
      <t c="2">
        <n x="485"/>
        <n x="789"/>
      </t>
    </mdx>
    <mdx n="474" f="m">
      <t c="2">
        <n x="485"/>
        <n x="790"/>
      </t>
    </mdx>
    <mdx n="474" f="m">
      <t c="2">
        <n x="485"/>
        <n x="791"/>
      </t>
    </mdx>
    <mdx n="474" f="m">
      <t c="2">
        <n x="485"/>
        <n x="792"/>
      </t>
    </mdx>
    <mdx n="474" f="m">
      <t c="2">
        <n x="485"/>
        <n x="793"/>
      </t>
    </mdx>
    <mdx n="474" f="m">
      <t c="1">
        <n x="794"/>
      </t>
    </mdx>
    <mdx n="474" f="m">
      <t c="1">
        <n x="795"/>
      </t>
    </mdx>
    <mdx n="474" f="m">
      <t c="1">
        <n x="796"/>
      </t>
    </mdx>
    <mdx n="474" f="m">
      <t c="1">
        <n x="797"/>
      </t>
    </mdx>
    <mdx n="474" f="m">
      <t c="1">
        <n x="798"/>
      </t>
    </mdx>
    <mdx n="474" f="m">
      <t c="1">
        <n x="799"/>
      </t>
    </mdx>
    <mdx n="474" f="m">
      <t c="1">
        <n x="800"/>
      </t>
    </mdx>
    <mdx n="474" f="m">
      <t c="1">
        <n x="801"/>
      </t>
    </mdx>
    <mdx n="474" f="m">
      <t c="1">
        <n x="802"/>
      </t>
    </mdx>
    <mdx n="474" f="m">
      <t c="1">
        <n x="803"/>
      </t>
    </mdx>
    <mdx n="474" f="m">
      <t c="1">
        <n x="804"/>
      </t>
    </mdx>
    <mdx n="474" f="m">
      <t c="1">
        <n x="805"/>
      </t>
    </mdx>
    <mdx n="474" f="m">
      <t c="1">
        <n x="806"/>
      </t>
    </mdx>
    <mdx n="474" f="m">
      <t c="1">
        <n x="807"/>
      </t>
    </mdx>
    <mdx n="474" f="m">
      <t c="1">
        <n x="808"/>
      </t>
    </mdx>
    <mdx n="474" f="m">
      <t c="1">
        <n x="809"/>
      </t>
    </mdx>
    <mdx n="474" f="m">
      <t c="1">
        <n x="810"/>
      </t>
    </mdx>
    <mdx n="474" f="m">
      <t c="1">
        <n x="811"/>
      </t>
    </mdx>
    <mdx n="474" f="m">
      <t c="1">
        <n x="812"/>
      </t>
    </mdx>
    <mdx n="474" f="m">
      <t c="1">
        <n x="813"/>
      </t>
    </mdx>
    <mdx n="474" f="m">
      <t c="1">
        <n x="814"/>
      </t>
    </mdx>
    <mdx n="474" f="m">
      <t c="1">
        <n x="815"/>
      </t>
    </mdx>
    <mdx n="474" f="m">
      <t c="1">
        <n x="816"/>
      </t>
    </mdx>
    <mdx n="474" f="m">
      <t c="1">
        <n x="817"/>
      </t>
    </mdx>
    <mdx n="474" f="s">
      <ms ns="818" c="0"/>
    </mdx>
    <mdx n="0" f="s">
      <ms ns="819" c="0"/>
    </mdx>
    <mdx n="0" f="m">
      <t c="1">
        <n x="820"/>
      </t>
    </mdx>
    <mdx n="21" f="m">
      <t c="1">
        <n x="821"/>
      </t>
    </mdx>
    <mdx n="21" f="m">
      <t c="1">
        <n x="822"/>
      </t>
    </mdx>
    <mdx n="474" f="m">
      <t c="2">
        <n x="484"/>
        <n x="489"/>
      </t>
    </mdx>
    <mdx n="474" f="m">
      <t c="2">
        <n x="483"/>
        <n x="784"/>
      </t>
    </mdx>
    <mdx n="474" f="m">
      <t c="2">
        <n x="483"/>
        <n x="731"/>
      </t>
    </mdx>
    <mdx n="474" f="m">
      <t c="2">
        <n x="483"/>
        <n x="745"/>
      </t>
    </mdx>
    <mdx n="474" f="m">
      <t c="2">
        <n x="484"/>
        <n x="824"/>
      </t>
    </mdx>
    <mdx n="474" f="m">
      <t c="2">
        <n x="484"/>
        <n x="825"/>
      </t>
    </mdx>
    <mdx n="474" f="m">
      <t c="2">
        <n x="484"/>
        <n x="826"/>
      </t>
    </mdx>
    <mdx n="474" f="m">
      <t c="2">
        <n x="484"/>
        <n x="827"/>
      </t>
    </mdx>
    <mdx n="474" f="m">
      <t c="2">
        <n x="484"/>
        <n x="828"/>
      </t>
    </mdx>
    <mdx n="474" f="m">
      <t c="2">
        <n x="484"/>
        <n x="829"/>
      </t>
    </mdx>
    <mdx n="474" f="m">
      <t c="2">
        <n x="484"/>
        <n x="830"/>
      </t>
    </mdx>
    <mdx n="474" f="m">
      <t c="2">
        <n x="484"/>
        <n x="831"/>
      </t>
    </mdx>
    <mdx n="474" f="m">
      <t c="2">
        <n x="484"/>
        <n x="832"/>
      </t>
    </mdx>
    <mdx n="474" f="m">
      <t c="2">
        <n x="484"/>
        <n x="833"/>
      </t>
    </mdx>
    <mdx n="474" f="m">
      <t c="2">
        <n x="484"/>
        <n x="834"/>
      </t>
    </mdx>
    <mdx n="474" f="m">
      <t c="2">
        <n x="484"/>
        <n x="835"/>
      </t>
    </mdx>
    <mdx n="474" f="m">
      <t c="2">
        <n x="484"/>
        <n x="836"/>
      </t>
    </mdx>
    <mdx n="474" f="m">
      <t c="2">
        <n x="484"/>
        <n x="837"/>
      </t>
    </mdx>
    <mdx n="474" f="m">
      <t c="2">
        <n x="484"/>
        <n x="838"/>
      </t>
    </mdx>
    <mdx n="474" f="m">
      <t c="2">
        <n x="485"/>
        <n x="839"/>
      </t>
    </mdx>
    <mdx n="474" f="m">
      <t c="2">
        <n x="485"/>
        <n x="840"/>
      </t>
    </mdx>
    <mdx n="474" f="m">
      <t c="2">
        <n x="485"/>
        <n x="841"/>
      </t>
    </mdx>
    <mdx n="474" f="m">
      <t c="2">
        <n x="485"/>
        <n x="842"/>
      </t>
    </mdx>
    <mdx n="474" f="m">
      <t c="2">
        <n x="485"/>
        <n x="843"/>
      </t>
    </mdx>
    <mdx n="474" f="m">
      <t c="2">
        <n x="485"/>
        <n x="844"/>
      </t>
    </mdx>
    <mdx n="474" f="m">
      <t c="2">
        <n x="485"/>
        <n x="845"/>
      </t>
    </mdx>
    <mdx n="474" f="m">
      <t c="2">
        <n x="485"/>
        <n x="846"/>
      </t>
    </mdx>
    <mdx n="474" f="m">
      <t c="2">
        <n x="484"/>
        <n x="847"/>
      </t>
    </mdx>
    <mdx n="474" f="m">
      <t c="2">
        <n x="484"/>
        <n x="848"/>
      </t>
    </mdx>
    <mdx n="474" f="m">
      <t c="2">
        <n x="484"/>
        <n x="849"/>
      </t>
    </mdx>
    <mdx n="474" f="m">
      <t c="2">
        <n x="484"/>
        <n x="850"/>
      </t>
    </mdx>
    <mdx n="474" f="m">
      <t c="2">
        <n x="485"/>
        <n x="851"/>
      </t>
    </mdx>
    <mdx n="474" f="m">
      <t c="2">
        <n x="485"/>
        <n x="852"/>
      </t>
    </mdx>
    <mdx n="474" f="m">
      <t c="2">
        <n x="485"/>
        <n x="853"/>
      </t>
    </mdx>
    <mdx n="474" f="m">
      <t c="2">
        <n x="485"/>
        <n x="854"/>
      </t>
    </mdx>
    <mdx n="474" f="m">
      <t c="2">
        <n x="484"/>
        <n x="855"/>
      </t>
    </mdx>
    <mdx n="474" f="m">
      <t c="2">
        <n x="484"/>
        <n x="856"/>
      </t>
    </mdx>
    <mdx n="474" f="m">
      <t c="2">
        <n x="484"/>
        <n x="857"/>
      </t>
    </mdx>
    <mdx n="474" f="m">
      <t c="2">
        <n x="484"/>
        <n x="858"/>
      </t>
    </mdx>
    <mdx n="474" f="m">
      <t c="2">
        <n x="484"/>
        <n x="859"/>
      </t>
    </mdx>
    <mdx n="474" f="m">
      <t c="2">
        <n x="484"/>
        <n x="860"/>
      </t>
    </mdx>
    <mdx n="474" f="m">
      <t c="2">
        <n x="485"/>
        <n x="861"/>
      </t>
    </mdx>
    <mdx n="474" f="m">
      <t c="2">
        <n x="485"/>
        <n x="862"/>
      </t>
    </mdx>
    <mdx n="474" f="m">
      <t c="2">
        <n x="485"/>
        <n x="863"/>
      </t>
    </mdx>
    <mdx n="474" f="m">
      <t c="2">
        <n x="485"/>
        <n x="864"/>
      </t>
    </mdx>
    <mdx n="474" f="m">
      <t c="2">
        <n x="485"/>
        <n x="865"/>
      </t>
    </mdx>
    <mdx n="474" f="m">
      <t c="2">
        <n x="485"/>
        <n x="866"/>
      </t>
    </mdx>
    <mdx n="474" f="m">
      <t c="2">
        <n x="485"/>
        <n x="867"/>
      </t>
    </mdx>
    <mdx n="474" f="m">
      <t c="2">
        <n x="485"/>
        <n x="868"/>
      </t>
    </mdx>
    <mdx n="474" f="m">
      <t c="2">
        <n x="485"/>
        <n x="869"/>
      </t>
    </mdx>
    <mdx n="474" f="m">
      <t c="2">
        <n x="485"/>
        <n x="870"/>
      </t>
    </mdx>
    <mdx n="474" f="m">
      <t c="2">
        <n x="484"/>
        <n x="871"/>
      </t>
    </mdx>
    <mdx n="474" f="m">
      <t c="2">
        <n x="484"/>
        <n x="872"/>
      </t>
    </mdx>
    <mdx n="474" f="m">
      <t c="2">
        <n x="484"/>
        <n x="873"/>
      </t>
    </mdx>
    <mdx n="474" f="m">
      <t c="2">
        <n x="484"/>
        <n x="874"/>
      </t>
    </mdx>
    <mdx n="474" f="m">
      <t c="2">
        <n x="484"/>
        <n x="875"/>
      </t>
    </mdx>
    <mdx n="474" f="m">
      <t c="2">
        <n x="485"/>
        <n x="876"/>
      </t>
    </mdx>
    <mdx n="474" f="m">
      <t c="2">
        <n x="485"/>
        <n x="877"/>
      </t>
    </mdx>
    <mdx n="474" f="m">
      <t c="2">
        <n x="485"/>
        <n x="878"/>
      </t>
    </mdx>
    <mdx n="474" f="m">
      <t c="2">
        <n x="485"/>
        <n x="879"/>
      </t>
    </mdx>
    <mdx n="0" f="s">
      <ms ns="880" c="0"/>
    </mdx>
    <mdx n="474" f="s">
      <ms ns="881" c="0"/>
    </mdx>
    <mdx n="21" f="m">
      <t c="1">
        <n x="882"/>
      </t>
    </mdx>
    <mdx n="21" f="m">
      <t c="1">
        <n x="883"/>
      </t>
    </mdx>
    <mdx n="21" f="m">
      <t c="1">
        <n x="884"/>
      </t>
    </mdx>
    <mdx n="474" f="m">
      <t c="1">
        <n x="885"/>
      </t>
    </mdx>
    <mdx n="21" f="m">
      <t c="1">
        <n x="886"/>
      </t>
    </mdx>
    <mdx n="0" f="m">
      <t c="2">
        <n x="20"/>
        <n x="887"/>
      </t>
    </mdx>
    <mdx n="0" f="s">
      <ms ns="888" c="0"/>
    </mdx>
    <mdx n="474" f="s">
      <ms ns="889" c="0"/>
    </mdx>
    <mdx n="21" f="s">
      <ms ns="890" c="0"/>
    </mdx>
    <mdx n="0" f="m">
      <t c="1">
        <n x="891"/>
      </t>
    </mdx>
    <mdx n="0" f="m">
      <t c="1">
        <n x="892"/>
      </t>
    </mdx>
    <mdx n="0" f="s">
      <ms ns="893" c="0"/>
    </mdx>
    <mdx n="21" f="s">
      <ms ns="894" c="0"/>
    </mdx>
    <mdx n="21" f="s">
      <ms ns="895" c="0"/>
    </mdx>
    <mdx n="0" f="s">
      <ms ns="896" c="0"/>
    </mdx>
    <mdx n="0" f="s">
      <ms ns="897" c="0"/>
    </mdx>
    <mdx n="0" f="s">
      <ms ns="898" c="0"/>
    </mdx>
    <mdx n="474" f="m">
      <t c="2">
        <n x="478"/>
        <n x="899"/>
      </t>
    </mdx>
    <mdx n="0" f="v">
      <t c="5">
        <n x="888" s="1"/>
        <n x="880" s="1"/>
        <n x="898" s="1"/>
        <n x="891"/>
        <n x="15"/>
      </t>
    </mdx>
    <mdx n="0" f="v">
      <t c="5">
        <n x="888" s="1"/>
        <n x="880" s="1"/>
        <n x="898" s="1"/>
        <n x="820"/>
        <n x="15"/>
      </t>
    </mdx>
    <mdx n="0" f="v">
      <t c="5">
        <n x="888" s="1"/>
        <n x="880" s="1"/>
        <n x="898" s="1"/>
        <n x="891"/>
        <n x="7"/>
      </t>
    </mdx>
    <mdx n="0" f="v">
      <t c="5">
        <n x="888" s="1"/>
        <n x="880" s="1"/>
        <n x="898" s="1"/>
        <n x="896" s="1"/>
        <n x="7"/>
      </t>
    </mdx>
    <mdx n="21" f="v">
      <t c="5">
        <n x="888" s="1"/>
        <n x="880" s="1"/>
        <n x="898" s="1"/>
        <n x="47"/>
        <n x="7"/>
      </t>
    </mdx>
    <mdx n="21" f="v">
      <t c="5">
        <n x="888" s="1"/>
        <n x="880" s="1"/>
        <n x="898" s="1"/>
        <n x="895" s="1"/>
        <n x="7"/>
      </t>
    </mdx>
    <mdx n="21" f="v">
      <t c="5">
        <n x="888" s="1"/>
        <n x="880" s="1"/>
        <n x="898" s="1"/>
        <n x="28"/>
        <n x="7"/>
      </t>
    </mdx>
    <mdx n="0" f="v">
      <t c="5">
        <n x="888" s="1"/>
        <n x="880" s="1"/>
        <n x="898" s="1"/>
        <n x="896" s="1"/>
        <n x="15"/>
      </t>
    </mdx>
    <mdx n="0" f="v">
      <t c="5">
        <n x="888" s="1"/>
        <n x="880" s="1"/>
        <n x="898" s="1"/>
        <n x="893" s="1"/>
        <n x="15"/>
      </t>
    </mdx>
    <mdx n="0" f="v">
      <t c="5">
        <n x="888" s="1"/>
        <n x="880" s="1"/>
        <n x="898" s="1"/>
        <n x="892"/>
        <n x="15"/>
      </t>
    </mdx>
    <mdx n="21" f="v">
      <t c="5">
        <n x="888" s="1"/>
        <n x="880" s="1"/>
        <n x="898" s="1"/>
        <n x="894" s="1"/>
        <n x="7"/>
      </t>
    </mdx>
    <mdx n="21" f="v">
      <t c="5">
        <n x="888" s="1"/>
        <n x="880" s="1"/>
        <n x="898" s="1"/>
        <n x="53"/>
        <n x="7"/>
      </t>
    </mdx>
    <mdx n="0" f="v">
      <t c="5">
        <n x="888" s="1"/>
        <n x="880" s="1"/>
        <n x="898" s="1"/>
        <n x="893" s="1"/>
        <n x="7"/>
      </t>
    </mdx>
    <mdx n="0" f="v">
      <t c="5">
        <n x="888" s="1"/>
        <n x="880" s="1"/>
        <n x="898" s="1"/>
        <n x="820"/>
        <n x="7"/>
      </t>
    </mdx>
    <mdx n="21" f="v">
      <t c="5">
        <n x="888" s="1"/>
        <n x="880" s="1"/>
        <n x="898" s="1"/>
        <n x="51"/>
        <n x="7"/>
      </t>
    </mdx>
    <mdx n="21" f="v">
      <t c="5">
        <n x="888" s="1"/>
        <n x="880" s="1"/>
        <n x="898" s="1"/>
        <n x="28"/>
        <n x="27"/>
      </t>
    </mdx>
    <mdx n="21" f="v">
      <t c="5">
        <n x="888" s="1"/>
        <n x="880" s="1"/>
        <n x="898" s="1"/>
        <n x="22"/>
        <n x="7"/>
      </t>
    </mdx>
    <mdx n="0" f="v">
      <t c="5">
        <n x="888" s="1"/>
        <n x="880" s="1"/>
        <n x="898" s="1"/>
        <n x="892"/>
        <n x="7"/>
      </t>
    </mdx>
    <mdx n="21" f="v">
      <t c="5">
        <n x="888" s="1"/>
        <n x="880" s="1"/>
        <n x="898" s="1"/>
        <n x="52"/>
        <n x="7"/>
      </t>
    </mdx>
    <mdx n="21" f="v">
      <t c="5">
        <n x="888" s="1"/>
        <n x="880" s="1"/>
        <n x="898" s="1"/>
        <n x="25"/>
        <n x="7"/>
      </t>
    </mdx>
    <mdx n="21" f="v">
      <t c="5">
        <n x="888" s="1"/>
        <n x="880" s="1"/>
        <n x="898" s="1"/>
        <n x="890" s="1"/>
        <n x="7"/>
      </t>
    </mdx>
    <mdx n="0" f="v">
      <t c="6">
        <n x="250"/>
        <n x="898" s="1"/>
        <n x="888" s="1"/>
        <n x="880" s="1"/>
        <n x="13"/>
        <n x="15"/>
      </t>
    </mdx>
    <mdx n="21" f="v">
      <t c="6">
        <n x="898" s="1"/>
        <n x="888" s="1"/>
        <n x="880" s="1"/>
        <n x="51"/>
        <n x="55"/>
        <n x="27"/>
      </t>
    </mdx>
    <mdx n="0" f="v">
      <t c="6">
        <n x="1" s="1"/>
        <n x="888" s="1"/>
        <n x="898" s="1"/>
        <n x="880" s="1"/>
        <n x="19"/>
        <n x="7"/>
      </t>
    </mdx>
    <mdx n="0" f="v">
      <t c="6">
        <n x="1" s="1"/>
        <n x="888" s="1"/>
        <n x="898" s="1"/>
        <n x="880" s="1"/>
        <n x="4"/>
        <n x="15"/>
      </t>
    </mdx>
    <mdx n="0" f="v">
      <t c="6">
        <n x="1" s="1"/>
        <n x="888" s="1"/>
        <n x="898" s="1"/>
        <n x="880" s="1"/>
        <n x="12"/>
        <n x="15"/>
      </t>
    </mdx>
    <mdx n="0" f="v">
      <t c="6">
        <n x="1" s="1"/>
        <n x="888" s="1"/>
        <n x="898" s="1"/>
        <n x="880" s="1"/>
        <n x="19"/>
        <n x="15"/>
      </t>
    </mdx>
    <mdx n="0" f="v">
      <t c="6">
        <n x="1" s="1"/>
        <n x="888" s="1"/>
        <n x="898" s="1"/>
        <n x="880" s="1"/>
        <n x="4"/>
        <n x="7"/>
      </t>
    </mdx>
    <mdx n="21" f="v">
      <t c="5">
        <n x="898" s="1"/>
        <n x="888" s="1"/>
        <n x="880" s="1"/>
        <n x="51"/>
        <n x="27"/>
      </t>
    </mdx>
    <mdx n="0" f="v">
      <t c="6">
        <n x="1" s="1"/>
        <n x="888" s="1"/>
        <n x="898" s="1"/>
        <n x="880" s="1"/>
        <n x="14"/>
        <n x="7"/>
      </t>
    </mdx>
    <mdx n="0" f="v">
      <t c="7">
        <n x="1" s="1"/>
        <n x="898" s="1"/>
        <n x="888" s="1"/>
        <n x="880" s="1"/>
        <n x="12"/>
        <n x="371"/>
        <n x="15"/>
      </t>
    </mdx>
    <mdx n="0" f="v">
      <t c="7">
        <n x="1" s="1"/>
        <n x="898" s="1"/>
        <n x="888" s="1"/>
        <n x="880" s="1"/>
        <n x="13"/>
        <n x="344"/>
        <n x="15"/>
      </t>
    </mdx>
    <mdx n="0" f="v">
      <t c="7">
        <n x="1" s="1"/>
        <n x="898" s="1"/>
        <n x="888" s="1"/>
        <n x="880" s="1"/>
        <n x="12"/>
        <n x="369"/>
        <n x="15"/>
      </t>
    </mdx>
    <mdx n="21" f="v">
      <t c="6">
        <n x="898" s="1"/>
        <n x="888" s="1"/>
        <n x="880" s="1"/>
        <n x="47"/>
        <n x="55"/>
        <n x="27"/>
      </t>
    </mdx>
    <mdx n="21" f="v">
      <t c="7">
        <n x="898" s="1"/>
        <n x="888" s="1"/>
        <n x="880" s="1"/>
        <n x="25"/>
        <n x="27"/>
        <n x="46"/>
        <n x="29"/>
      </t>
    </mdx>
    <mdx n="0" f="v">
      <t c="7">
        <n x="1" s="1"/>
        <n x="898" s="1"/>
        <n x="888" s="1"/>
        <n x="880" s="1"/>
        <n x="12"/>
        <n x="453"/>
        <n x="15"/>
      </t>
    </mdx>
    <mdx n="0" f="v">
      <t c="7">
        <n x="1" s="1"/>
        <n x="898" s="1"/>
        <n x="888" s="1"/>
        <n x="880" s="1"/>
        <n x="17"/>
        <n x="398"/>
        <n x="15"/>
      </t>
    </mdx>
    <mdx n="21" f="v">
      <t c="6">
        <n x="898" s="1"/>
        <n x="888" s="1"/>
        <n x="880" s="1"/>
        <n x="28"/>
        <n x="822"/>
        <n x="27"/>
      </t>
    </mdx>
    <mdx n="0" f="v">
      <t c="6">
        <n x="250"/>
        <n x="898" s="1"/>
        <n x="888" s="1"/>
        <n x="880" s="1"/>
        <n x="8"/>
        <n x="15"/>
      </t>
    </mdx>
    <mdx n="21" f="v">
      <t c="6">
        <n x="898" s="1"/>
        <n x="888" s="1"/>
        <n x="880" s="1"/>
        <n x="53"/>
        <n x="55"/>
        <n x="27"/>
      </t>
    </mdx>
    <mdx n="0" f="v">
      <t c="6">
        <n x="1" s="1"/>
        <n x="888" s="1"/>
        <n x="898" s="1"/>
        <n x="880" s="1"/>
        <n x="3"/>
        <n x="15"/>
      </t>
    </mdx>
    <mdx n="0" f="v">
      <t c="6">
        <n x="1" s="1"/>
        <n x="888" s="1"/>
        <n x="898" s="1"/>
        <n x="880" s="1"/>
        <n x="17"/>
        <n x="7"/>
      </t>
    </mdx>
    <mdx n="0" f="v">
      <t c="6">
        <n x="1" s="1"/>
        <n x="888" s="1"/>
        <n x="898" s="1"/>
        <n x="880" s="1"/>
        <n x="6"/>
        <n x="7"/>
      </t>
    </mdx>
    <mdx n="0" f="v">
      <t c="6">
        <n x="1" s="1"/>
        <n x="888" s="1"/>
        <n x="898" s="1"/>
        <n x="880" s="1"/>
        <n x="11"/>
        <n x="15"/>
      </t>
    </mdx>
    <mdx n="0" f="v">
      <t c="6">
        <n x="250"/>
        <n x="898" s="1"/>
        <n x="888" s="1"/>
        <n x="880" s="1"/>
        <n x="16"/>
        <n x="15"/>
      </t>
    </mdx>
    <mdx n="21" f="v">
      <t c="5">
        <n x="898" s="1"/>
        <n x="888" s="1"/>
        <n x="880" s="1"/>
        <n x="52"/>
        <n x="27"/>
      </t>
    </mdx>
    <mdx n="21" f="v">
      <t c="7">
        <n x="898" s="1"/>
        <n x="888" s="1"/>
        <n x="880" s="1"/>
        <n x="25"/>
        <n x="27"/>
        <n x="44"/>
        <n x="23"/>
      </t>
    </mdx>
    <mdx n="0" f="v">
      <t c="6">
        <n x="250"/>
        <n x="898" s="1"/>
        <n x="888" s="1"/>
        <n x="880" s="1"/>
        <n x="19"/>
        <n x="15"/>
      </t>
    </mdx>
    <mdx n="21" f="v">
      <t c="6">
        <n x="898" s="1"/>
        <n x="888" s="1"/>
        <n x="880" s="1"/>
        <n x="47"/>
        <n x="49"/>
        <n x="27"/>
      </t>
    </mdx>
    <mdx n="21" f="v">
      <t c="6">
        <n x="898" s="1"/>
        <n x="888" s="1"/>
        <n x="880" s="1"/>
        <n x="53"/>
        <n x="49"/>
        <n x="27"/>
      </t>
    </mdx>
    <mdx n="0" f="v">
      <t c="6">
        <n x="1" s="1"/>
        <n x="898" s="1"/>
        <n x="888" s="1"/>
        <n x="880" s="1"/>
        <n x="17"/>
        <n x="15"/>
      </t>
    </mdx>
    <mdx n="0" f="v">
      <t c="6">
        <n x="1" s="1"/>
        <n x="898" s="1"/>
        <n x="888" s="1"/>
        <n x="880" s="1"/>
        <n x="14"/>
        <n x="15"/>
      </t>
    </mdx>
    <mdx n="0" f="v">
      <t c="6">
        <n x="250"/>
        <n x="898" s="1"/>
        <n x="888" s="1"/>
        <n x="880" s="1"/>
        <n x="12"/>
        <n x="15"/>
      </t>
    </mdx>
    <mdx n="0" f="v">
      <t c="7">
        <n x="1" s="1"/>
        <n x="898" s="1"/>
        <n x="888" s="1"/>
        <n x="880" s="1"/>
        <n x="20"/>
        <n x="313"/>
        <n x="15"/>
      </t>
    </mdx>
    <mdx n="0" f="v">
      <t c="6">
        <n x="1" s="1"/>
        <n x="888" s="1"/>
        <n x="898" s="1"/>
        <n x="880" s="1"/>
        <n x="9"/>
        <n x="7"/>
      </t>
    </mdx>
    <mdx n="0" f="v">
      <t c="7">
        <n x="1" s="1"/>
        <n x="898" s="1"/>
        <n x="888" s="1"/>
        <n x="880" s="1"/>
        <n x="12"/>
        <n x="366"/>
        <n x="15"/>
      </t>
    </mdx>
    <mdx n="0" f="v">
      <t c="7">
        <n x="1" s="1"/>
        <n x="898" s="1"/>
        <n x="888" s="1"/>
        <n x="880" s="1"/>
        <n x="10"/>
        <n x="433"/>
        <n x="15"/>
      </t>
    </mdx>
    <mdx n="0" f="v">
      <t c="7">
        <n x="1" s="1"/>
        <n x="898" s="1"/>
        <n x="888" s="1"/>
        <n x="880" s="1"/>
        <n x="14"/>
        <n x="331"/>
        <n x="15"/>
      </t>
    </mdx>
    <mdx n="0" f="v">
      <t c="7">
        <n x="1" s="1"/>
        <n x="898" s="1"/>
        <n x="888" s="1"/>
        <n x="880" s="1"/>
        <n x="8"/>
        <n x="275"/>
        <n x="15"/>
      </t>
    </mdx>
    <mdx n="0" f="v">
      <t c="7">
        <n x="1" s="1"/>
        <n x="898" s="1"/>
        <n x="888" s="1"/>
        <n x="880" s="1"/>
        <n x="9"/>
        <n x="296"/>
        <n x="15"/>
      </t>
    </mdx>
    <mdx n="0" f="v">
      <t c="7">
        <n x="1" s="1"/>
        <n x="898" s="1"/>
        <n x="888" s="1"/>
        <n x="880" s="1"/>
        <n x="5"/>
        <n x="323"/>
        <n x="15"/>
      </t>
    </mdx>
    <mdx n="0" f="v">
      <t c="7">
        <n x="1" s="1"/>
        <n x="898" s="1"/>
        <n x="888" s="1"/>
        <n x="880" s="1"/>
        <n x="12"/>
        <n x="459"/>
        <n x="15"/>
      </t>
    </mdx>
    <mdx n="0" f="v">
      <t c="7">
        <n x="1" s="1"/>
        <n x="898" s="1"/>
        <n x="888" s="1"/>
        <n x="880" s="1"/>
        <n x="18"/>
        <n x="335"/>
        <n x="15"/>
      </t>
    </mdx>
    <mdx n="0" f="v">
      <t c="7">
        <n x="1" s="1"/>
        <n x="898" s="1"/>
        <n x="888" s="1"/>
        <n x="880" s="1"/>
        <n x="10"/>
        <n x="449"/>
        <n x="15"/>
      </t>
    </mdx>
    <mdx n="0" f="v">
      <t c="7">
        <n x="1" s="1"/>
        <n x="898" s="1"/>
        <n x="888" s="1"/>
        <n x="880" s="1"/>
        <n x="5"/>
        <n x="306"/>
        <n x="15"/>
      </t>
    </mdx>
    <mdx n="0" f="v">
      <t c="7">
        <n x="1" s="1"/>
        <n x="898" s="1"/>
        <n x="888" s="1"/>
        <n x="880" s="1"/>
        <n x="11"/>
        <n x="282"/>
        <n x="15"/>
      </t>
    </mdx>
    <mdx n="21" f="v">
      <t c="7">
        <n x="898" s="1"/>
        <n x="888" s="1"/>
        <n x="880" s="1"/>
        <n x="25"/>
        <n x="27"/>
        <n x="42"/>
        <n x="23"/>
      </t>
    </mdx>
    <mdx n="0" f="v">
      <t c="7">
        <n x="1" s="1"/>
        <n x="898" s="1"/>
        <n x="888" s="1"/>
        <n x="880" s="1"/>
        <n x="8"/>
        <n x="276"/>
        <n x="15"/>
      </t>
    </mdx>
    <mdx n="0" f="v">
      <t c="7">
        <n x="1" s="1"/>
        <n x="898" s="1"/>
        <n x="888" s="1"/>
        <n x="880" s="1"/>
        <n x="6"/>
        <n x="349"/>
        <n x="15"/>
      </t>
    </mdx>
    <mdx n="0" f="v">
      <t c="7">
        <n x="1" s="1"/>
        <n x="898" s="1"/>
        <n x="888" s="1"/>
        <n x="880" s="1"/>
        <n x="20"/>
        <n x="468"/>
        <n x="15"/>
      </t>
    </mdx>
    <mdx n="0" f="v">
      <t c="7">
        <n x="1" s="1"/>
        <n x="898" s="1"/>
        <n x="888" s="1"/>
        <n x="880" s="1"/>
        <n x="4"/>
        <n x="292"/>
        <n x="15"/>
      </t>
    </mdx>
    <mdx n="0" f="v">
      <t c="7">
        <n x="1" s="1"/>
        <n x="898" s="1"/>
        <n x="888" s="1"/>
        <n x="880" s="1"/>
        <n x="4"/>
        <n x="263"/>
        <n x="15"/>
      </t>
    </mdx>
    <mdx n="0" f="v">
      <t c="7">
        <n x="1" s="1"/>
        <n x="898" s="1"/>
        <n x="888" s="1"/>
        <n x="880" s="1"/>
        <n x="5"/>
        <n x="305"/>
        <n x="15"/>
      </t>
    </mdx>
    <mdx n="0" f="v">
      <t c="7">
        <n x="1" s="1"/>
        <n x="898" s="1"/>
        <n x="888" s="1"/>
        <n x="880" s="1"/>
        <n x="6"/>
        <n x="351"/>
        <n x="15"/>
      </t>
    </mdx>
    <mdx n="0" f="v">
      <t c="7">
        <n x="1" s="1"/>
        <n x="898" s="1"/>
        <n x="888" s="1"/>
        <n x="880" s="1"/>
        <n x="9"/>
        <n x="294"/>
        <n x="15"/>
      </t>
    </mdx>
    <mdx n="0" f="v">
      <t c="7">
        <n x="1" s="1"/>
        <n x="898" s="1"/>
        <n x="888" s="1"/>
        <n x="880" s="1"/>
        <n x="16"/>
        <n x="301"/>
        <n x="15"/>
      </t>
    </mdx>
    <mdx n="0" f="v">
      <t c="7">
        <n x="1" s="1"/>
        <n x="898" s="1"/>
        <n x="888" s="1"/>
        <n x="880" s="1"/>
        <n x="4"/>
        <n x="287"/>
        <n x="15"/>
      </t>
    </mdx>
    <mdx n="0" f="v">
      <t c="6">
        <n x="250"/>
        <n x="898" s="1"/>
        <n x="888" s="1"/>
        <n x="880" s="1"/>
        <n x="5"/>
        <n x="15"/>
      </t>
    </mdx>
    <mdx n="0" f="v">
      <t c="6">
        <n x="250"/>
        <n x="898" s="1"/>
        <n x="888" s="1"/>
        <n x="880" s="1"/>
        <n x="11"/>
        <n x="15"/>
      </t>
    </mdx>
    <mdx n="0" f="v">
      <t c="7">
        <n x="1" s="1"/>
        <n x="898" s="1"/>
        <n x="888" s="1"/>
        <n x="880" s="1"/>
        <n x="13"/>
        <n x="347"/>
        <n x="15"/>
      </t>
    </mdx>
    <mdx n="0" f="v">
      <t c="7">
        <n x="1" s="1"/>
        <n x="898" s="1"/>
        <n x="888" s="1"/>
        <n x="880" s="1"/>
        <n x="10"/>
        <n x="362"/>
        <n x="15"/>
      </t>
    </mdx>
    <mdx n="0" f="v">
      <t c="7">
        <n x="1" s="1"/>
        <n x="898" s="1"/>
        <n x="888" s="1"/>
        <n x="880" s="1"/>
        <n x="16"/>
        <n x="299"/>
        <n x="15"/>
      </t>
    </mdx>
    <mdx n="0" f="v">
      <t c="7">
        <n x="1" s="1"/>
        <n x="898" s="1"/>
        <n x="888" s="1"/>
        <n x="880" s="1"/>
        <n x="4"/>
        <n x="262"/>
        <n x="15"/>
      </t>
    </mdx>
    <mdx n="21" f="v">
      <t c="7">
        <n x="898" s="1"/>
        <n x="888" s="1"/>
        <n x="880" s="1"/>
        <n x="25"/>
        <n x="27"/>
        <n x="46"/>
        <n x="24"/>
      </t>
    </mdx>
    <mdx n="0" f="v">
      <t c="7">
        <n x="1" s="1"/>
        <n x="898" s="1"/>
        <n x="888" s="1"/>
        <n x="880" s="1"/>
        <n x="4"/>
        <n x="264"/>
        <n x="15"/>
      </t>
    </mdx>
    <mdx n="0" f="v">
      <t c="7">
        <n x="1" s="1"/>
        <n x="898" s="1"/>
        <n x="888" s="1"/>
        <n x="880" s="1"/>
        <n x="20"/>
        <n x="464"/>
        <n x="15"/>
      </t>
    </mdx>
    <mdx n="0" f="v">
      <t c="7">
        <n x="1" s="1"/>
        <n x="898" s="1"/>
        <n x="888" s="1"/>
        <n x="880" s="1"/>
        <n x="19"/>
        <n x="259"/>
        <n x="15"/>
      </t>
    </mdx>
    <mdx n="0" f="v">
      <t c="7">
        <n x="1" s="1"/>
        <n x="898" s="1"/>
        <n x="888" s="1"/>
        <n x="880" s="1"/>
        <n x="14"/>
        <n x="326"/>
        <n x="15"/>
      </t>
    </mdx>
    <mdx n="0" f="v">
      <t c="7">
        <n x="1" s="1"/>
        <n x="898" s="1"/>
        <n x="888" s="1"/>
        <n x="880" s="1"/>
        <n x="16"/>
        <n x="315"/>
        <n x="15"/>
      </t>
    </mdx>
    <mdx n="0" f="v">
      <t c="7">
        <n x="1" s="1"/>
        <n x="898" s="1"/>
        <n x="888" s="1"/>
        <n x="880" s="1"/>
        <n x="20"/>
        <n x="379"/>
        <n x="15"/>
      </t>
    </mdx>
    <mdx n="0" f="v">
      <t c="7">
        <n x="1" s="1"/>
        <n x="898" s="1"/>
        <n x="888" s="1"/>
        <n x="880" s="1"/>
        <n x="20"/>
        <n x="471"/>
        <n x="15"/>
      </t>
    </mdx>
    <mdx n="0" f="v">
      <t c="7">
        <n x="1" s="1"/>
        <n x="898" s="1"/>
        <n x="888" s="1"/>
        <n x="880" s="1"/>
        <n x="14"/>
        <n x="404"/>
        <n x="15"/>
      </t>
    </mdx>
    <mdx n="0" f="v">
      <t c="7">
        <n x="1" s="1"/>
        <n x="898" s="1"/>
        <n x="888" s="1"/>
        <n x="880" s="1"/>
        <n x="20"/>
        <n x="383"/>
        <n x="15"/>
      </t>
    </mdx>
    <mdx n="0" f="v">
      <t c="6">
        <n x="1" s="1"/>
        <n x="888" s="1"/>
        <n x="898" s="1"/>
        <n x="880" s="1"/>
        <n x="12"/>
        <n x="7"/>
      </t>
    </mdx>
    <mdx n="0" f="v">
      <t c="6">
        <n x="250"/>
        <n x="898" s="1"/>
        <n x="888" s="1"/>
        <n x="880" s="1"/>
        <n x="3"/>
        <n x="15"/>
      </t>
    </mdx>
    <mdx n="0" f="v">
      <t c="6">
        <n x="1" s="1"/>
        <n x="898" s="1"/>
        <n x="888" s="1"/>
        <n x="880" s="1"/>
        <n x="16"/>
        <n x="15"/>
      </t>
    </mdx>
    <mdx n="0" f="v">
      <t c="7">
        <n x="1" s="1"/>
        <n x="898" s="1"/>
        <n x="888" s="1"/>
        <n x="880" s="1"/>
        <n x="18"/>
        <n x="339"/>
        <n x="15"/>
      </t>
    </mdx>
    <mdx n="0" f="v">
      <t c="7">
        <n x="1" s="1"/>
        <n x="898" s="1"/>
        <n x="888" s="1"/>
        <n x="880" s="1"/>
        <n x="11"/>
        <n x="277"/>
        <n x="15"/>
      </t>
    </mdx>
    <mdx n="21" f="v">
      <t c="6">
        <n x="898" s="1"/>
        <n x="888" s="1"/>
        <n x="880" s="1"/>
        <n x="52"/>
        <n x="55"/>
        <n x="27"/>
      </t>
    </mdx>
    <mdx n="0" f="v">
      <t c="6">
        <n x="1" s="1"/>
        <n x="888" s="1"/>
        <n x="898" s="1"/>
        <n x="880" s="1"/>
        <n x="13"/>
        <n x="15"/>
      </t>
    </mdx>
    <mdx n="0" f="v">
      <t c="6">
        <n x="1" s="1"/>
        <n x="888" s="1"/>
        <n x="898" s="1"/>
        <n x="880" s="1"/>
        <n x="6"/>
        <n x="15"/>
      </t>
    </mdx>
    <mdx n="21" f="v">
      <t c="7">
        <n x="898" s="1"/>
        <n x="888" s="1"/>
        <n x="880" s="1"/>
        <n x="25"/>
        <n x="27"/>
        <n x="42"/>
        <n x="24"/>
      </t>
    </mdx>
    <mdx n="0" f="v">
      <t c="6">
        <n x="1" s="1"/>
        <n x="888" s="1"/>
        <n x="898" s="1"/>
        <n x="880" s="1"/>
        <n x="18"/>
        <n x="7"/>
      </t>
    </mdx>
    <mdx n="21" f="v">
      <t c="7">
        <n x="898" s="1"/>
        <n x="888" s="1"/>
        <n x="880" s="1"/>
        <n x="25"/>
        <n x="27"/>
        <n x="44"/>
        <n x="29"/>
      </t>
    </mdx>
    <mdx n="0" f="v">
      <t c="7">
        <n x="1" s="1"/>
        <n x="898" s="1"/>
        <n x="888" s="1"/>
        <n x="880" s="1"/>
        <n x="10"/>
        <n x="353"/>
        <n x="15"/>
      </t>
    </mdx>
    <mdx n="0" f="v">
      <t c="6">
        <n x="1" s="1"/>
        <n x="888" s="1"/>
        <n x="898" s="1"/>
        <n x="880" s="1"/>
        <n x="5"/>
        <n x="15"/>
      </t>
    </mdx>
    <mdx n="21" f="v">
      <t c="5">
        <n x="898" s="1"/>
        <n x="888" s="1"/>
        <n x="880" s="1"/>
        <n x="47"/>
        <n x="27"/>
      </t>
    </mdx>
    <mdx n="0" f="v">
      <t c="7">
        <n x="1" s="1"/>
        <n x="898" s="1"/>
        <n x="888" s="1"/>
        <n x="880" s="1"/>
        <n x="16"/>
        <n x="298"/>
        <n x="15"/>
      </t>
    </mdx>
    <mdx n="0" f="v">
      <t c="7">
        <n x="1" s="1"/>
        <n x="898" s="1"/>
        <n x="888" s="1"/>
        <n x="880" s="1"/>
        <n x="5"/>
        <n x="307"/>
        <n x="15"/>
      </t>
    </mdx>
    <mdx n="0" f="v">
      <t c="7">
        <n x="1" s="1"/>
        <n x="898" s="1"/>
        <n x="888" s="1"/>
        <n x="880" s="1"/>
        <n x="10"/>
        <n x="441"/>
        <n x="15"/>
      </t>
    </mdx>
    <mdx n="0" f="v">
      <t c="7">
        <n x="1" s="1"/>
        <n x="898" s="1"/>
        <n x="888" s="1"/>
        <n x="880" s="1"/>
        <n x="20"/>
        <n x="310"/>
        <n x="15"/>
      </t>
    </mdx>
    <mdx n="0" f="v">
      <t c="7">
        <n x="1" s="1"/>
        <n x="898" s="1"/>
        <n x="888" s="1"/>
        <n x="880" s="1"/>
        <n x="10"/>
        <n x="355"/>
        <n x="15"/>
      </t>
    </mdx>
    <mdx n="0" f="v">
      <t c="7">
        <n x="1" s="1"/>
        <n x="898" s="1"/>
        <n x="888" s="1"/>
        <n x="880" s="1"/>
        <n x="13"/>
        <n x="342"/>
        <n x="15"/>
      </t>
    </mdx>
    <mdx n="0" f="v">
      <t c="7">
        <n x="1" s="1"/>
        <n x="898" s="1"/>
        <n x="888" s="1"/>
        <n x="880" s="1"/>
        <n x="12"/>
        <n x="367"/>
        <n x="15"/>
      </t>
    </mdx>
    <mdx n="0" f="v">
      <t c="7">
        <n x="1" s="1"/>
        <n x="898" s="1"/>
        <n x="888" s="1"/>
        <n x="880" s="1"/>
        <n x="14"/>
        <n x="324"/>
        <n x="15"/>
      </t>
    </mdx>
    <mdx n="0" f="v">
      <t c="7">
        <n x="1" s="1"/>
        <n x="898" s="1"/>
        <n x="888" s="1"/>
        <n x="880" s="1"/>
        <n x="11"/>
        <n x="258"/>
        <n x="15"/>
      </t>
    </mdx>
    <mdx n="21" f="v">
      <t c="6">
        <n x="898" s="1"/>
        <n x="888" s="1"/>
        <n x="880" s="1"/>
        <n x="28"/>
        <n x="59"/>
        <n x="27"/>
      </t>
    </mdx>
    <mdx n="0" f="v">
      <t c="7">
        <n x="1" s="1"/>
        <n x="898" s="1"/>
        <n x="888" s="1"/>
        <n x="880" s="1"/>
        <n x="18"/>
        <n x="417"/>
        <n x="15"/>
      </t>
    </mdx>
    <mdx n="0" f="v">
      <t c="7">
        <n x="1" s="1"/>
        <n x="898" s="1"/>
        <n x="888" s="1"/>
        <n x="880" s="1"/>
        <n x="9"/>
        <n x="265"/>
        <n x="15"/>
      </t>
    </mdx>
    <mdx n="0" f="v">
      <t c="7">
        <n x="1" s="1"/>
        <n x="898" s="1"/>
        <n x="888" s="1"/>
        <n x="880" s="1"/>
        <n x="9"/>
        <n x="293"/>
        <n x="15"/>
      </t>
    </mdx>
    <mdx n="0" f="v">
      <t c="6">
        <n x="250"/>
        <n x="898" s="1"/>
        <n x="888" s="1"/>
        <n x="880" s="1"/>
        <n x="14"/>
        <n x="15"/>
      </t>
    </mdx>
    <mdx n="21" f="v">
      <t c="6">
        <n x="898" s="1"/>
        <n x="888" s="1"/>
        <n x="880" s="1"/>
        <n x="27"/>
        <n x="25"/>
        <n x="29"/>
      </t>
    </mdx>
    <mdx n="0" f="v">
      <t c="7">
        <n x="1" s="1"/>
        <n x="898" s="1"/>
        <n x="888" s="1"/>
        <n x="880" s="1"/>
        <n x="11"/>
        <n x="278"/>
        <n x="15"/>
      </t>
    </mdx>
    <mdx n="0" f="v">
      <t c="7">
        <n x="1" s="1"/>
        <n x="898" s="1"/>
        <n x="888" s="1"/>
        <n x="880" s="1"/>
        <n x="20"/>
        <n x="376"/>
        <n x="15"/>
      </t>
    </mdx>
    <mdx n="0" f="v">
      <t c="7">
        <n x="1" s="1"/>
        <n x="898" s="1"/>
        <n x="888" s="1"/>
        <n x="880" s="1"/>
        <n x="12"/>
        <n x="456"/>
        <n x="15"/>
      </t>
    </mdx>
    <mdx n="0" f="v">
      <t c="7">
        <n x="1" s="1"/>
        <n x="898" s="1"/>
        <n x="888" s="1"/>
        <n x="880" s="1"/>
        <n x="19"/>
        <n x="284"/>
        <n x="15"/>
      </t>
    </mdx>
    <mdx n="0" f="v">
      <t c="7">
        <n x="1" s="1"/>
        <n x="898" s="1"/>
        <n x="888" s="1"/>
        <n x="880" s="1"/>
        <n x="6"/>
        <n x="432"/>
        <n x="15"/>
      </t>
    </mdx>
    <mdx n="0" f="v">
      <t c="7">
        <n x="1" s="1"/>
        <n x="898" s="1"/>
        <n x="888" s="1"/>
        <n x="880" s="1"/>
        <n x="10"/>
        <n x="436"/>
        <n x="15"/>
      </t>
    </mdx>
    <mdx n="0" f="v">
      <t c="7">
        <n x="1" s="1"/>
        <n x="898" s="1"/>
        <n x="888" s="1"/>
        <n x="880" s="1"/>
        <n x="12"/>
        <n x="462"/>
        <n x="15"/>
      </t>
    </mdx>
    <mdx n="0" f="v">
      <t c="7">
        <n x="1" s="1"/>
        <n x="898" s="1"/>
        <n x="888" s="1"/>
        <n x="880" s="1"/>
        <n x="17"/>
        <n x="397"/>
        <n x="15"/>
      </t>
    </mdx>
    <mdx n="0" f="v">
      <t c="7">
        <n x="1" s="1"/>
        <n x="898" s="1"/>
        <n x="888" s="1"/>
        <n x="880" s="1"/>
        <n x="17"/>
        <n x="318"/>
        <n x="15"/>
      </t>
    </mdx>
    <mdx n="0" f="v">
      <t c="7">
        <n x="1" s="1"/>
        <n x="898" s="1"/>
        <n x="888" s="1"/>
        <n x="880" s="1"/>
        <n x="5"/>
        <n x="320"/>
        <n x="15"/>
      </t>
    </mdx>
    <mdx n="0" f="v">
      <t c="7">
        <n x="1" s="1"/>
        <n x="898" s="1"/>
        <n x="888" s="1"/>
        <n x="880" s="1"/>
        <n x="10"/>
        <n x="359"/>
        <n x="15"/>
      </t>
    </mdx>
    <mdx n="0" f="v">
      <t c="7">
        <n x="1" s="1"/>
        <n x="898" s="1"/>
        <n x="888" s="1"/>
        <n x="880" s="1"/>
        <n x="18"/>
        <n x="338"/>
        <n x="15"/>
      </t>
    </mdx>
    <mdx n="0" f="v">
      <t c="7">
        <n x="1" s="1"/>
        <n x="898" s="1"/>
        <n x="888" s="1"/>
        <n x="880" s="1"/>
        <n x="8"/>
        <n x="254"/>
        <n x="15"/>
      </t>
    </mdx>
    <mdx n="0" f="v">
      <t c="7">
        <n x="1" s="1"/>
        <n x="898" s="1"/>
        <n x="888" s="1"/>
        <n x="880" s="1"/>
        <n x="5"/>
        <n x="388"/>
        <n x="15"/>
      </t>
    </mdx>
    <mdx n="0" f="v">
      <t c="7">
        <n x="1" s="1"/>
        <n x="898" s="1"/>
        <n x="888" s="1"/>
        <n x="880" s="1"/>
        <n x="5"/>
        <n x="399"/>
        <n x="15"/>
      </t>
    </mdx>
    <mdx n="0" f="v">
      <t c="7">
        <n x="1" s="1"/>
        <n x="898" s="1"/>
        <n x="888" s="1"/>
        <n x="880" s="1"/>
        <n x="20"/>
        <n x="377"/>
        <n x="15"/>
      </t>
    </mdx>
    <mdx n="0" f="v">
      <t c="7">
        <n x="1" s="1"/>
        <n x="898" s="1"/>
        <n x="888" s="1"/>
        <n x="880" s="1"/>
        <n x="18"/>
        <n x="415"/>
        <n x="15"/>
      </t>
    </mdx>
    <mdx n="0" f="v">
      <t c="7">
        <n x="1" s="1"/>
        <n x="898" s="1"/>
        <n x="888" s="1"/>
        <n x="880" s="1"/>
        <n x="5"/>
        <n x="308"/>
        <n x="15"/>
      </t>
    </mdx>
    <mdx n="0" f="v">
      <t c="7">
        <n x="1" s="1"/>
        <n x="898" s="1"/>
        <n x="888" s="1"/>
        <n x="880" s="1"/>
        <n x="10"/>
        <n x="354"/>
        <n x="15"/>
      </t>
    </mdx>
    <mdx n="0" f="v">
      <t c="7">
        <n x="1" s="1"/>
        <n x="898" s="1"/>
        <n x="888" s="1"/>
        <n x="880" s="1"/>
        <n x="16"/>
        <n x="269"/>
        <n x="15"/>
      </t>
    </mdx>
    <mdx n="0" f="v">
      <t c="7">
        <n x="1" s="1"/>
        <n x="898" s="1"/>
        <n x="888" s="1"/>
        <n x="880" s="1"/>
        <n x="4"/>
        <n x="290"/>
        <n x="15"/>
      </t>
    </mdx>
    <mdx n="0" f="v">
      <t c="7">
        <n x="1" s="1"/>
        <n x="898" s="1"/>
        <n x="888" s="1"/>
        <n x="880" s="1"/>
        <n x="20"/>
        <n x="378"/>
        <n x="15"/>
      </t>
    </mdx>
    <mdx n="0" f="v">
      <t c="7">
        <n x="1" s="1"/>
        <n x="898" s="1"/>
        <n x="888" s="1"/>
        <n x="880" s="1"/>
        <n x="14"/>
        <n x="406"/>
        <n x="15"/>
      </t>
    </mdx>
    <mdx n="0" f="v">
      <t c="7">
        <n x="1" s="1"/>
        <n x="898" s="1"/>
        <n x="888" s="1"/>
        <n x="880" s="1"/>
        <n x="6"/>
        <n x="430"/>
        <n x="15"/>
      </t>
    </mdx>
    <mdx n="0" f="v">
      <t c="7">
        <n x="1" s="1"/>
        <n x="898" s="1"/>
        <n x="888" s="1"/>
        <n x="880" s="1"/>
        <n x="5"/>
        <n x="401"/>
        <n x="15"/>
      </t>
    </mdx>
    <mdx n="0" f="v">
      <t c="7">
        <n x="1" s="1"/>
        <n x="898" s="1"/>
        <n x="888" s="1"/>
        <n x="880" s="1"/>
        <n x="18"/>
        <n x="337"/>
        <n x="15"/>
      </t>
    </mdx>
    <mdx n="0" f="v">
      <t c="7">
        <n x="1" s="1"/>
        <n x="898" s="1"/>
        <n x="888" s="1"/>
        <n x="880" s="1"/>
        <n x="14"/>
        <n x="328"/>
        <n x="15"/>
      </t>
    </mdx>
    <mdx n="21" f="v">
      <t c="6">
        <n x="898" s="1"/>
        <n x="888" s="1"/>
        <n x="880" s="1"/>
        <n x="27"/>
        <n x="30" s="1"/>
        <n x="24"/>
      </t>
    </mdx>
    <mdx n="0" f="v">
      <t c="7">
        <n x="1" s="1"/>
        <n x="898" s="1"/>
        <n x="888" s="1"/>
        <n x="880" s="1"/>
        <n x="18"/>
        <n x="336"/>
        <n x="15"/>
      </t>
    </mdx>
    <mdx n="0" f="v">
      <t c="7">
        <n x="1" s="1"/>
        <n x="898" s="1"/>
        <n x="888" s="1"/>
        <n x="880" s="1"/>
        <n x="17"/>
        <n x="317"/>
        <n x="15"/>
      </t>
    </mdx>
    <mdx n="0" f="v">
      <t c="7">
        <n x="1" s="1"/>
        <n x="898" s="1"/>
        <n x="888" s="1"/>
        <n x="880" s="1"/>
        <n x="17"/>
        <n x="304"/>
        <n x="15"/>
      </t>
    </mdx>
    <mdx n="0" f="v">
      <t c="7">
        <n x="1" s="1"/>
        <n x="898" s="1"/>
        <n x="888" s="1"/>
        <n x="880" s="1"/>
        <n x="10"/>
        <n x="447"/>
        <n x="15"/>
      </t>
    </mdx>
    <mdx n="0" f="v">
      <t c="7">
        <n x="1" s="1"/>
        <n x="898" s="1"/>
        <n x="888" s="1"/>
        <n x="880" s="1"/>
        <n x="20"/>
        <n x="309"/>
        <n x="15"/>
      </t>
    </mdx>
    <mdx n="0" f="v">
      <t c="5">
        <n x="250"/>
        <n x="898" s="1"/>
        <n x="888" s="1"/>
        <n x="880" s="1"/>
        <n x="15"/>
      </t>
    </mdx>
    <mdx n="0" f="v">
      <t c="7">
        <n x="1" s="1"/>
        <n x="898" s="1"/>
        <n x="888" s="1"/>
        <n x="880" s="1"/>
        <n x="10"/>
        <n x="444"/>
        <n x="15"/>
      </t>
    </mdx>
    <mdx n="21" f="v">
      <t c="6">
        <n x="898" s="1"/>
        <n x="888" s="1"/>
        <n x="880" s="1"/>
        <n x="28"/>
        <n x="821"/>
        <n x="27"/>
      </t>
    </mdx>
    <mdx n="0" f="v">
      <t c="7">
        <n x="1" s="1"/>
        <n x="898" s="1"/>
        <n x="888" s="1"/>
        <n x="880" s="1"/>
        <n x="18"/>
        <n x="341"/>
        <n x="15"/>
      </t>
    </mdx>
    <mdx n="21" f="v">
      <t c="6">
        <n x="898" s="1"/>
        <n x="888" s="1"/>
        <n x="880" s="1"/>
        <n x="27"/>
        <n x="30" s="1"/>
        <n x="26"/>
      </t>
    </mdx>
    <mdx n="0" f="v">
      <t c="7">
        <n x="1" s="1"/>
        <n x="898" s="1"/>
        <n x="888" s="1"/>
        <n x="880" s="1"/>
        <n x="18"/>
        <n x="410"/>
        <n x="15"/>
      </t>
    </mdx>
    <mdx n="0" f="v">
      <t c="6">
        <n x="1" s="1"/>
        <n x="888" s="1"/>
        <n x="898" s="1"/>
        <n x="880" s="1"/>
        <n x="11"/>
        <n x="7"/>
      </t>
    </mdx>
    <mdx n="21" f="v">
      <t c="7">
        <n x="898" s="1"/>
        <n x="888" s="1"/>
        <n x="880" s="1"/>
        <n x="25"/>
        <n x="27"/>
        <n x="46"/>
        <n x="23"/>
      </t>
    </mdx>
    <mdx n="0" f="v">
      <t c="7">
        <n x="1" s="1"/>
        <n x="898" s="1"/>
        <n x="888" s="1"/>
        <n x="880" s="1"/>
        <n x="11"/>
        <n x="257"/>
        <n x="15"/>
      </t>
    </mdx>
    <mdx n="0" f="v">
      <t c="7">
        <n x="1" s="1"/>
        <n x="898" s="1"/>
        <n x="888" s="1"/>
        <n x="880" s="1"/>
        <n x="14"/>
        <n x="405"/>
        <n x="15"/>
      </t>
    </mdx>
    <mdx n="0" f="v">
      <t c="7">
        <n x="1" s="1"/>
        <n x="898" s="1"/>
        <n x="888" s="1"/>
        <n x="880" s="1"/>
        <n x="10"/>
        <n x="361"/>
        <n x="15"/>
      </t>
    </mdx>
    <mdx n="21" f="v">
      <t c="6">
        <n x="898" s="1"/>
        <n x="888" s="1"/>
        <n x="880" s="1"/>
        <n x="27"/>
        <n x="28"/>
        <n x="24"/>
      </t>
    </mdx>
    <mdx n="0" f="v">
      <t c="7">
        <n x="1" s="1"/>
        <n x="898" s="1"/>
        <n x="888" s="1"/>
        <n x="880" s="1"/>
        <n x="14"/>
        <n x="327"/>
        <n x="15"/>
      </t>
    </mdx>
    <mdx n="0" f="v">
      <t c="7">
        <n x="1" s="1"/>
        <n x="898" s="1"/>
        <n x="888" s="1"/>
        <n x="880" s="1"/>
        <n x="11"/>
        <n x="281"/>
        <n x="15"/>
      </t>
    </mdx>
    <mdx n="0" f="v">
      <t c="7">
        <n x="1" s="1"/>
        <n x="898" s="1"/>
        <n x="888" s="1"/>
        <n x="880" s="1"/>
        <n x="12"/>
        <n x="454"/>
        <n x="15"/>
      </t>
    </mdx>
    <mdx n="0" f="v">
      <t c="7">
        <n x="1" s="1"/>
        <n x="898" s="1"/>
        <n x="888" s="1"/>
        <n x="880" s="1"/>
        <n x="18"/>
        <n x="413"/>
        <n x="15"/>
      </t>
    </mdx>
    <mdx n="0" f="v">
      <t c="7">
        <n x="1" s="1"/>
        <n x="898" s="1"/>
        <n x="888" s="1"/>
        <n x="880" s="1"/>
        <n x="20"/>
        <n x="467"/>
        <n x="15"/>
      </t>
    </mdx>
    <mdx n="0" f="v">
      <t c="7">
        <n x="1" s="1"/>
        <n x="898" s="1"/>
        <n x="888" s="1"/>
        <n x="880" s="1"/>
        <n x="4"/>
        <n x="286"/>
        <n x="15"/>
      </t>
    </mdx>
    <mdx n="0" f="v">
      <t c="7">
        <n x="1" s="1"/>
        <n x="898" s="1"/>
        <n x="888" s="1"/>
        <n x="880" s="1"/>
        <n x="16"/>
        <n x="271"/>
        <n x="15"/>
      </t>
    </mdx>
    <mdx n="0" f="v">
      <t c="7">
        <n x="1" s="1"/>
        <n x="898" s="1"/>
        <n x="888" s="1"/>
        <n x="880" s="1"/>
        <n x="8"/>
        <n x="274"/>
        <n x="15"/>
      </t>
    </mdx>
    <mdx n="0" f="v">
      <t c="7">
        <n x="1" s="1"/>
        <n x="898" s="1"/>
        <n x="888" s="1"/>
        <n x="880" s="1"/>
        <n x="13"/>
        <n x="423"/>
        <n x="15"/>
      </t>
    </mdx>
    <mdx n="0" f="v">
      <t c="6">
        <n x="1" s="1"/>
        <n x="888" s="1"/>
        <n x="898" s="1"/>
        <n x="880" s="1"/>
        <n x="16"/>
        <n x="15"/>
      </t>
    </mdx>
    <mdx n="21" f="v">
      <t c="7">
        <n x="898" s="1"/>
        <n x="888" s="1"/>
        <n x="880" s="1"/>
        <n x="25"/>
        <n x="27"/>
        <n x="37"/>
        <n x="24"/>
      </t>
    </mdx>
    <mdx n="0" f="v">
      <t c="7">
        <n x="1" s="1"/>
        <n x="898" s="1"/>
        <n x="888" s="1"/>
        <n x="880" s="1"/>
        <n x="16"/>
        <n x="384"/>
        <n x="15"/>
      </t>
    </mdx>
    <mdx n="21" f="v">
      <t c="6">
        <n x="898" s="1"/>
        <n x="888" s="1"/>
        <n x="880" s="1"/>
        <n x="28"/>
        <n x="57"/>
        <n x="27"/>
      </t>
    </mdx>
    <mdx n="0" f="v">
      <t c="7">
        <n x="1" s="1"/>
        <n x="898" s="1"/>
        <n x="888" s="1"/>
        <n x="880" s="1"/>
        <n x="6"/>
        <n x="350"/>
        <n x="15"/>
      </t>
    </mdx>
    <mdx n="0" f="v">
      <t c="7">
        <n x="1" s="1"/>
        <n x="898" s="1"/>
        <n x="888" s="1"/>
        <n x="880" s="1"/>
        <n x="20"/>
        <n x="473"/>
        <n x="15"/>
      </t>
    </mdx>
    <mdx n="0" f="v">
      <t c="7">
        <n x="1" s="1"/>
        <n x="898" s="1"/>
        <n x="888" s="1"/>
        <n x="880" s="1"/>
        <n x="12"/>
        <n x="458"/>
        <n x="15"/>
      </t>
    </mdx>
    <mdx n="0" f="v">
      <t c="7">
        <n x="1" s="1"/>
        <n x="898" s="1"/>
        <n x="888" s="1"/>
        <n x="880" s="1"/>
        <n x="14"/>
        <n x="329"/>
        <n x="15"/>
      </t>
    </mdx>
    <mdx n="0" f="v">
      <t c="7">
        <n x="1" s="1"/>
        <n x="898" s="1"/>
        <n x="888" s="1"/>
        <n x="880" s="1"/>
        <n x="10"/>
        <n x="435"/>
        <n x="15"/>
      </t>
    </mdx>
    <mdx n="0" f="v">
      <t c="7">
        <n x="1" s="1"/>
        <n x="898" s="1"/>
        <n x="888" s="1"/>
        <n x="880" s="1"/>
        <n x="10"/>
        <n x="438"/>
        <n x="15"/>
      </t>
    </mdx>
    <mdx n="0" f="v">
      <t c="7">
        <n x="1" s="1"/>
        <n x="898" s="1"/>
        <n x="888" s="1"/>
        <n x="880" s="1"/>
        <n x="19"/>
        <n x="260"/>
        <n x="15"/>
      </t>
    </mdx>
    <mdx n="0" f="v">
      <t c="7">
        <n x="1" s="1"/>
        <n x="898" s="1"/>
        <n x="888" s="1"/>
        <n x="880" s="1"/>
        <n x="13"/>
        <n x="429"/>
        <n x="15"/>
      </t>
    </mdx>
    <mdx n="0" f="v">
      <t c="7">
        <n x="1" s="1"/>
        <n x="898" s="1"/>
        <n x="888" s="1"/>
        <n x="880" s="1"/>
        <n x="10"/>
        <n x="443"/>
        <n x="15"/>
      </t>
    </mdx>
    <mdx n="0" f="v">
      <t c="7">
        <n x="1" s="1"/>
        <n x="898" s="1"/>
        <n x="888" s="1"/>
        <n x="880" s="1"/>
        <n x="18"/>
        <n x="420"/>
        <n x="15"/>
      </t>
    </mdx>
    <mdx n="0" f="v">
      <t c="7">
        <n x="1" s="1"/>
        <n x="898" s="1"/>
        <n x="888" s="1"/>
        <n x="880" s="1"/>
        <n x="12"/>
        <n x="451"/>
        <n x="15"/>
      </t>
    </mdx>
    <mdx n="0" f="v">
      <t c="6">
        <n x="1" s="1"/>
        <n x="898" s="1"/>
        <n x="888" s="1"/>
        <n x="880" s="1"/>
        <n x="4"/>
        <n x="15"/>
      </t>
    </mdx>
    <mdx n="21" f="v">
      <t c="7">
        <n x="898" s="1"/>
        <n x="888" s="1"/>
        <n x="880" s="1"/>
        <n x="25"/>
        <n x="27"/>
        <n x="38"/>
        <n x="24"/>
      </t>
    </mdx>
    <mdx n="0" f="v">
      <t c="7">
        <n x="1" s="1"/>
        <n x="898" s="1"/>
        <n x="888" s="1"/>
        <n x="880" s="1"/>
        <n x="11"/>
        <n x="256"/>
        <n x="15"/>
      </t>
    </mdx>
    <mdx n="0" f="v">
      <t c="7">
        <n x="1" s="1"/>
        <n x="898" s="1"/>
        <n x="888" s="1"/>
        <n x="880" s="1"/>
        <n x="11"/>
        <n x="279"/>
        <n x="15"/>
      </t>
    </mdx>
    <mdx n="0" f="v">
      <t c="7">
        <n x="1" s="1"/>
        <n x="898" s="1"/>
        <n x="888" s="1"/>
        <n x="880" s="1"/>
        <n x="12"/>
        <n x="457"/>
        <n x="15"/>
      </t>
    </mdx>
    <mdx n="0" f="v">
      <t c="7">
        <n x="1" s="1"/>
        <n x="898" s="1"/>
        <n x="888" s="1"/>
        <n x="880" s="1"/>
        <n x="10"/>
        <n x="437"/>
        <n x="15"/>
      </t>
    </mdx>
    <mdx n="0" f="v">
      <t c="7">
        <n x="1" s="1"/>
        <n x="898" s="1"/>
        <n x="888" s="1"/>
        <n x="880" s="1"/>
        <n x="17"/>
        <n x="319"/>
        <n x="15"/>
      </t>
    </mdx>
    <mdx n="0" f="v">
      <t c="7">
        <n x="1" s="1"/>
        <n x="898" s="1"/>
        <n x="888" s="1"/>
        <n x="880" s="1"/>
        <n x="14"/>
        <n x="407"/>
        <n x="15"/>
      </t>
    </mdx>
    <mdx n="21" f="v">
      <t c="7">
        <n x="898" s="1"/>
        <n x="888" s="1"/>
        <n x="880" s="1"/>
        <n x="25"/>
        <n x="27"/>
        <n x="886"/>
        <n x="24"/>
      </t>
    </mdx>
    <mdx n="0" f="v">
      <t c="7">
        <n x="1" s="1"/>
        <n x="898" s="1"/>
        <n x="888" s="1"/>
        <n x="880" s="1"/>
        <n x="9"/>
        <n x="266"/>
        <n x="15"/>
      </t>
    </mdx>
    <mdx n="21" f="v">
      <t c="6">
        <n x="898" s="1"/>
        <n x="888" s="1"/>
        <n x="880" s="1"/>
        <n x="27"/>
        <n x="30" s="1"/>
        <n x="29"/>
      </t>
    </mdx>
    <mdx n="0" f="v">
      <t c="7">
        <n x="1" s="1"/>
        <n x="898" s="1"/>
        <n x="888" s="1"/>
        <n x="880" s="1"/>
        <n x="19"/>
        <n x="285"/>
        <n x="15"/>
      </t>
    </mdx>
    <mdx n="0" f="v">
      <t c="7">
        <n x="1" s="1"/>
        <n x="898" s="1"/>
        <n x="888" s="1"/>
        <n x="880" s="1"/>
        <n x="10"/>
        <n x="442"/>
        <n x="15"/>
      </t>
    </mdx>
    <mdx n="0" f="v">
      <t c="7">
        <n x="1" s="1"/>
        <n x="898" s="1"/>
        <n x="888" s="1"/>
        <n x="880" s="1"/>
        <n x="8"/>
        <n x="273"/>
        <n x="15"/>
      </t>
    </mdx>
    <mdx n="21" f="v">
      <t c="6">
        <n x="898" s="1"/>
        <n x="888" s="1"/>
        <n x="880" s="1"/>
        <n x="51"/>
        <n x="48"/>
        <n x="27"/>
      </t>
    </mdx>
    <mdx n="0" f="v">
      <t c="7">
        <n x="1" s="1"/>
        <n x="898" s="1"/>
        <n x="888" s="1"/>
        <n x="880" s="1"/>
        <n x="17"/>
        <n x="386"/>
        <n x="15"/>
      </t>
    </mdx>
    <mdx n="0" f="v">
      <t c="7">
        <n x="1" s="1"/>
        <n x="898" s="1"/>
        <n x="888" s="1"/>
        <n x="880" s="1"/>
        <n x="20"/>
        <n x="311"/>
        <n x="15"/>
      </t>
    </mdx>
    <mdx n="0" f="v">
      <t c="7">
        <n x="1" s="1"/>
        <n x="898" s="1"/>
        <n x="888" s="1"/>
        <n x="880" s="1"/>
        <n x="6"/>
        <n x="431"/>
        <n x="15"/>
      </t>
    </mdx>
    <mdx n="0" f="v">
      <t c="7">
        <n x="1" s="1"/>
        <n x="898" s="1"/>
        <n x="888" s="1"/>
        <n x="880" s="1"/>
        <n x="13"/>
        <n x="345"/>
        <n x="15"/>
      </t>
    </mdx>
    <mdx n="0" f="v">
      <t c="7">
        <n x="1" s="1"/>
        <n x="898" s="1"/>
        <n x="888" s="1"/>
        <n x="880" s="1"/>
        <n x="20"/>
        <n x="887"/>
        <n x="15"/>
      </t>
    </mdx>
    <mdx n="0" f="v">
      <t c="7">
        <n x="1" s="1"/>
        <n x="898" s="1"/>
        <n x="888" s="1"/>
        <n x="880" s="1"/>
        <n x="13"/>
        <n x="424"/>
        <n x="15"/>
      </t>
    </mdx>
    <mdx n="0" f="v">
      <t c="6">
        <n x="1" s="1"/>
        <n x="898" s="1"/>
        <n x="888" s="1"/>
        <n x="880" s="1"/>
        <n x="20"/>
        <n x="15"/>
      </t>
    </mdx>
    <mdx n="0" f="v">
      <t c="6">
        <n x="1" s="1"/>
        <n x="888" s="1"/>
        <n x="898" s="1"/>
        <n x="880" s="1"/>
        <n x="10"/>
        <n x="15"/>
      </t>
    </mdx>
    <mdx n="0" f="v">
      <t c="7">
        <n x="1" s="1"/>
        <n x="898" s="1"/>
        <n x="888" s="1"/>
        <n x="880" s="1"/>
        <n x="18"/>
        <n x="414"/>
        <n x="15"/>
      </t>
    </mdx>
    <mdx n="0" f="v">
      <t c="7">
        <n x="1" s="1"/>
        <n x="898" s="1"/>
        <n x="888" s="1"/>
        <n x="880" s="1"/>
        <n x="20"/>
        <n x="390"/>
        <n x="15"/>
      </t>
    </mdx>
    <mdx n="0" f="v">
      <t c="6">
        <n x="1" s="1"/>
        <n x="888" s="1"/>
        <n x="898" s="1"/>
        <n x="880" s="1"/>
        <n x="8"/>
        <n x="15"/>
      </t>
    </mdx>
    <mdx n="0" f="v">
      <t c="7">
        <n x="1" s="1"/>
        <n x="898" s="1"/>
        <n x="888" s="1"/>
        <n x="880" s="1"/>
        <n x="14"/>
        <n x="330"/>
        <n x="15"/>
      </t>
    </mdx>
    <mdx n="21" f="v">
      <t c="6">
        <n x="898" s="1"/>
        <n x="888" s="1"/>
        <n x="880" s="1"/>
        <n x="53"/>
        <n x="48"/>
        <n x="27"/>
      </t>
    </mdx>
    <mdx n="0" f="v">
      <t c="7">
        <n x="1" s="1"/>
        <n x="898" s="1"/>
        <n x="888" s="1"/>
        <n x="880" s="1"/>
        <n x="13"/>
        <n x="425"/>
        <n x="15"/>
      </t>
    </mdx>
    <mdx n="0" f="v">
      <t c="7">
        <n x="1" s="1"/>
        <n x="898" s="1"/>
        <n x="888" s="1"/>
        <n x="880" s="1"/>
        <n x="17"/>
        <n x="385"/>
        <n x="15"/>
      </t>
    </mdx>
    <mdx n="0" f="v">
      <t c="7">
        <n x="1" s="1"/>
        <n x="898" s="1"/>
        <n x="888" s="1"/>
        <n x="880" s="1"/>
        <n x="12"/>
        <n x="365"/>
        <n x="15"/>
      </t>
    </mdx>
    <mdx n="0" f="v">
      <t c="6">
        <n x="250"/>
        <n x="898" s="1"/>
        <n x="888" s="1"/>
        <n x="880" s="1"/>
        <n x="6"/>
        <n x="15"/>
      </t>
    </mdx>
    <mdx n="0" f="v">
      <t c="7">
        <n x="1" s="1"/>
        <n x="898" s="1"/>
        <n x="888" s="1"/>
        <n x="880" s="1"/>
        <n x="20"/>
        <n x="393"/>
        <n x="15"/>
      </t>
    </mdx>
    <mdx n="21" f="v">
      <t c="7">
        <n x="898" s="1"/>
        <n x="888" s="1"/>
        <n x="880" s="1"/>
        <n x="25"/>
        <n x="27"/>
        <n x="38"/>
        <n x="23"/>
      </t>
    </mdx>
    <mdx n="21" f="v">
      <t c="7">
        <n x="898" s="1"/>
        <n x="888" s="1"/>
        <n x="880" s="1"/>
        <n x="25"/>
        <n x="27"/>
        <n x="43"/>
        <n x="24"/>
      </t>
    </mdx>
    <mdx n="21" f="v">
      <t c="6">
        <n x="898" s="1"/>
        <n x="888" s="1"/>
        <n x="880" s="1"/>
        <n x="28"/>
        <n x="61"/>
        <n x="27"/>
      </t>
    </mdx>
    <mdx n="0" f="v">
      <t c="7">
        <n x="1" s="1"/>
        <n x="898" s="1"/>
        <n x="888" s="1"/>
        <n x="880" s="1"/>
        <n x="12"/>
        <n x="460"/>
        <n x="15"/>
      </t>
    </mdx>
    <mdx n="0" f="v">
      <t c="7">
        <n x="1" s="1"/>
        <n x="898" s="1"/>
        <n x="888" s="1"/>
        <n x="880" s="1"/>
        <n x="16"/>
        <n x="270"/>
        <n x="15"/>
      </t>
    </mdx>
    <mdx n="0" f="v">
      <t c="7">
        <n x="1" s="1"/>
        <n x="898" s="1"/>
        <n x="888" s="1"/>
        <n x="880" s="1"/>
        <n x="9"/>
        <n x="268"/>
        <n x="15"/>
      </t>
    </mdx>
    <mdx n="0" f="v">
      <t c="7">
        <n x="1" s="1"/>
        <n x="898" s="1"/>
        <n x="888" s="1"/>
        <n x="880" s="1"/>
        <n x="10"/>
        <n x="446"/>
        <n x="15"/>
      </t>
    </mdx>
    <mdx n="0" f="v">
      <t c="7">
        <n x="1" s="1"/>
        <n x="898" s="1"/>
        <n x="888" s="1"/>
        <n x="880" s="1"/>
        <n x="16"/>
        <n x="314"/>
        <n x="15"/>
      </t>
    </mdx>
    <mdx n="0" f="v">
      <t c="7">
        <n x="1" s="1"/>
        <n x="898" s="1"/>
        <n x="888" s="1"/>
        <n x="880" s="1"/>
        <n x="16"/>
        <n x="297"/>
        <n x="15"/>
      </t>
    </mdx>
    <mdx n="0" f="v">
      <t c="7">
        <n x="1" s="1"/>
        <n x="898" s="1"/>
        <n x="888" s="1"/>
        <n x="880" s="1"/>
        <n x="13"/>
        <n x="427"/>
        <n x="15"/>
      </t>
    </mdx>
    <mdx n="0" f="v">
      <t c="7">
        <n x="1" s="1"/>
        <n x="898" s="1"/>
        <n x="888" s="1"/>
        <n x="880" s="1"/>
        <n x="13"/>
        <n x="428"/>
        <n x="15"/>
      </t>
    </mdx>
    <mdx n="0" f="v">
      <t c="7">
        <n x="1" s="1"/>
        <n x="898" s="1"/>
        <n x="888" s="1"/>
        <n x="880" s="1"/>
        <n x="13"/>
        <n x="421"/>
        <n x="15"/>
      </t>
    </mdx>
    <mdx n="0" f="v">
      <t c="7">
        <n x="1" s="1"/>
        <n x="898" s="1"/>
        <n x="888" s="1"/>
        <n x="880" s="1"/>
        <n x="10"/>
        <n x="434"/>
        <n x="15"/>
      </t>
    </mdx>
    <mdx n="0" f="v">
      <t c="7">
        <n x="1" s="1"/>
        <n x="898" s="1"/>
        <n x="888" s="1"/>
        <n x="880" s="1"/>
        <n x="11"/>
        <n x="280"/>
        <n x="15"/>
      </t>
    </mdx>
    <mdx n="0" f="v">
      <t c="7">
        <n x="1" s="1"/>
        <n x="898" s="1"/>
        <n x="888" s="1"/>
        <n x="880" s="1"/>
        <n x="12"/>
        <n x="373"/>
        <n x="15"/>
      </t>
    </mdx>
    <mdx n="0" f="v">
      <t c="7">
        <n x="1" s="1"/>
        <n x="898" s="1"/>
        <n x="888" s="1"/>
        <n x="880" s="1"/>
        <n x="20"/>
        <n x="466"/>
        <n x="15"/>
      </t>
    </mdx>
    <mdx n="0" f="v">
      <t c="7">
        <n x="1" s="1"/>
        <n x="898" s="1"/>
        <n x="888" s="1"/>
        <n x="880" s="1"/>
        <n x="6"/>
        <n x="348"/>
        <n x="15"/>
      </t>
    </mdx>
    <mdx n="0" f="v">
      <t c="7">
        <n x="1" s="1"/>
        <n x="898" s="1"/>
        <n x="888" s="1"/>
        <n x="880" s="1"/>
        <n x="20"/>
        <n x="391"/>
        <n x="15"/>
      </t>
    </mdx>
    <mdx n="0" f="v">
      <t c="7">
        <n x="1" s="1"/>
        <n x="898" s="1"/>
        <n x="888" s="1"/>
        <n x="880" s="1"/>
        <n x="14"/>
        <n x="325"/>
        <n x="15"/>
      </t>
    </mdx>
    <mdx n="0" f="v">
      <t c="6">
        <n x="250"/>
        <n x="898" s="1"/>
        <n x="888" s="1"/>
        <n x="880" s="1"/>
        <n x="10"/>
        <n x="15"/>
      </t>
    </mdx>
    <mdx n="0" f="v">
      <t c="6">
        <n x="1" s="1"/>
        <n x="888" s="1"/>
        <n x="898" s="1"/>
        <n x="880" s="1"/>
        <n x="20"/>
        <n x="7"/>
      </t>
    </mdx>
    <mdx n="0" f="v">
      <t c="7">
        <n x="1" s="1"/>
        <n x="898" s="1"/>
        <n x="888" s="1"/>
        <n x="880" s="1"/>
        <n x="18"/>
        <n x="333"/>
        <n x="15"/>
      </t>
    </mdx>
    <mdx n="0" f="v">
      <t c="7">
        <n x="1" s="1"/>
        <n x="898" s="1"/>
        <n x="888" s="1"/>
        <n x="880" s="1"/>
        <n x="20"/>
        <n x="392"/>
        <n x="15"/>
      </t>
    </mdx>
    <mdx n="0" f="v">
      <t c="7">
        <n x="1" s="1"/>
        <n x="898" s="1"/>
        <n x="888" s="1"/>
        <n x="880" s="1"/>
        <n x="10"/>
        <n x="445"/>
        <n x="15"/>
      </t>
    </mdx>
    <mdx n="21" f="v">
      <t c="7">
        <n x="898" s="1"/>
        <n x="888" s="1"/>
        <n x="880" s="1"/>
        <n x="25"/>
        <n x="27"/>
        <n x="37"/>
        <n x="23"/>
      </t>
    </mdx>
    <mdx n="0" f="v">
      <t c="7">
        <n x="1" s="1"/>
        <n x="898" s="1"/>
        <n x="888" s="1"/>
        <n x="880" s="1"/>
        <n x="10"/>
        <n x="356"/>
        <n x="15"/>
      </t>
    </mdx>
    <mdx n="0" f="v">
      <t c="7">
        <n x="1" s="1"/>
        <n x="898" s="1"/>
        <n x="888" s="1"/>
        <n x="880" s="1"/>
        <n x="20"/>
        <n x="472"/>
        <n x="15"/>
      </t>
    </mdx>
    <mdx n="0" f="v">
      <t c="7">
        <n x="1" s="1"/>
        <n x="898" s="1"/>
        <n x="888" s="1"/>
        <n x="880" s="1"/>
        <n x="20"/>
        <n x="380"/>
        <n x="15"/>
      </t>
    </mdx>
    <mdx n="0" f="v">
      <t c="6">
        <n x="1" s="1"/>
        <n x="888" s="1"/>
        <n x="898" s="1"/>
        <n x="880" s="1"/>
        <n x="16"/>
        <n x="7"/>
      </t>
    </mdx>
    <mdx n="0" f="v">
      <t c="7">
        <n x="1" s="1"/>
        <n x="898" s="1"/>
        <n x="888" s="1"/>
        <n x="880" s="1"/>
        <n x="18"/>
        <n x="411"/>
        <n x="15"/>
      </t>
    </mdx>
    <mdx n="0" f="v">
      <t c="6">
        <n x="1" s="1"/>
        <n x="888" s="1"/>
        <n x="898" s="1"/>
        <n x="880" s="1"/>
        <n x="10"/>
        <n x="7"/>
      </t>
    </mdx>
    <mdx n="0" f="v">
      <t c="7">
        <n x="1" s="1"/>
        <n x="898" s="1"/>
        <n x="888" s="1"/>
        <n x="880" s="1"/>
        <n x="10"/>
        <n x="358"/>
        <n x="15"/>
      </t>
    </mdx>
    <mdx n="0" f="v">
      <t c="7">
        <n x="1" s="1"/>
        <n x="898" s="1"/>
        <n x="888" s="1"/>
        <n x="880" s="1"/>
        <n x="5"/>
        <n x="402"/>
        <n x="15"/>
      </t>
    </mdx>
    <mdx n="0" f="v">
      <t c="7">
        <n x="1" s="1"/>
        <n x="898" s="1"/>
        <n x="888" s="1"/>
        <n x="880" s="1"/>
        <n x="11"/>
        <n x="255"/>
        <n x="15"/>
      </t>
    </mdx>
    <mdx n="0" f="v">
      <t c="7">
        <n x="1" s="1"/>
        <n x="898" s="1"/>
        <n x="888" s="1"/>
        <n x="880" s="1"/>
        <n x="18"/>
        <n x="340"/>
        <n x="15"/>
      </t>
    </mdx>
    <mdx n="0" f="v">
      <t c="6">
        <n x="1" s="1"/>
        <n x="898" s="1"/>
        <n x="888" s="1"/>
        <n x="880" s="1"/>
        <n x="12"/>
        <n x="15"/>
      </t>
    </mdx>
    <mdx n="0" f="v">
      <t c="6">
        <n x="1" s="1"/>
        <n x="898" s="1"/>
        <n x="888" s="1"/>
        <n x="880" s="1"/>
        <n x="10"/>
        <n x="15"/>
      </t>
    </mdx>
    <mdx n="0" f="v">
      <t c="6">
        <n x="250"/>
        <n x="898" s="1"/>
        <n x="888" s="1"/>
        <n x="880" s="1"/>
        <n x="17"/>
        <n x="15"/>
      </t>
    </mdx>
    <mdx n="0" f="v">
      <t c="6">
        <n x="1" s="1"/>
        <n x="898" s="1"/>
        <n x="888" s="1"/>
        <n x="880" s="1"/>
        <n x="13"/>
        <n x="15"/>
      </t>
    </mdx>
    <mdx n="0" f="v">
      <t c="7">
        <n x="1" s="1"/>
        <n x="898" s="1"/>
        <n x="888" s="1"/>
        <n x="880" s="1"/>
        <n x="20"/>
        <n x="312"/>
        <n x="15"/>
      </t>
    </mdx>
    <mdx n="0" f="v">
      <t c="7">
        <n x="1" s="1"/>
        <n x="898" s="1"/>
        <n x="888" s="1"/>
        <n x="880" s="1"/>
        <n x="17"/>
        <n x="303"/>
        <n x="15"/>
      </t>
    </mdx>
    <mdx n="21" f="v">
      <t c="5">
        <n x="898" s="1"/>
        <n x="888" s="1"/>
        <n x="880" s="1"/>
        <n x="53"/>
        <n x="27"/>
      </t>
    </mdx>
    <mdx n="0" f="v">
      <t c="6">
        <n x="1" s="1"/>
        <n x="888" s="1"/>
        <n x="898" s="1"/>
        <n x="880" s="1"/>
        <n x="17"/>
        <n x="15"/>
      </t>
    </mdx>
    <mdx n="21" f="v">
      <t c="7">
        <n x="898" s="1"/>
        <n x="888" s="1"/>
        <n x="880" s="1"/>
        <n x="25"/>
        <n x="27"/>
        <n x="37"/>
        <n x="29"/>
      </t>
    </mdx>
    <mdx n="0" f="v">
      <t c="6">
        <n x="1" s="1"/>
        <n x="888" s="1"/>
        <n x="898" s="1"/>
        <n x="880" s="1"/>
        <n x="20"/>
        <n x="15"/>
      </t>
    </mdx>
    <mdx n="0" f="v">
      <t c="7">
        <n x="1" s="1"/>
        <n x="898" s="1"/>
        <n x="888" s="1"/>
        <n x="880" s="1"/>
        <n x="14"/>
        <n x="409"/>
        <n x="15"/>
      </t>
    </mdx>
    <mdx n="0" f="v">
      <t c="7">
        <n x="1" s="1"/>
        <n x="898" s="1"/>
        <n x="888" s="1"/>
        <n x="880" s="1"/>
        <n x="8"/>
        <n x="252"/>
        <n x="15"/>
      </t>
    </mdx>
    <mdx n="21" f="v">
      <t c="7">
        <n x="898" s="1"/>
        <n x="888" s="1"/>
        <n x="880" s="1"/>
        <n x="25"/>
        <n x="27"/>
        <n x="42"/>
        <n x="29"/>
      </t>
    </mdx>
    <mdx n="0" f="v">
      <t c="7">
        <n x="1" s="1"/>
        <n x="898" s="1"/>
        <n x="888" s="1"/>
        <n x="880" s="1"/>
        <n x="16"/>
        <n x="302"/>
        <n x="15"/>
      </t>
    </mdx>
    <mdx n="0" f="v">
      <t c="7">
        <n x="1" s="1"/>
        <n x="898" s="1"/>
        <n x="888" s="1"/>
        <n x="880" s="1"/>
        <n x="12"/>
        <n x="452"/>
        <n x="15"/>
      </t>
    </mdx>
    <mdx n="0" f="v">
      <t c="7">
        <n x="1" s="1"/>
        <n x="898" s="1"/>
        <n x="888" s="1"/>
        <n x="880" s="1"/>
        <n x="18"/>
        <n x="416"/>
        <n x="15"/>
      </t>
    </mdx>
    <mdx n="0" f="v">
      <t c="7">
        <n x="1" s="1"/>
        <n x="898" s="1"/>
        <n x="888" s="1"/>
        <n x="880" s="1"/>
        <n x="18"/>
        <n x="419"/>
        <n x="15"/>
      </t>
    </mdx>
    <mdx n="0" f="v">
      <t c="7">
        <n x="1" s="1"/>
        <n x="898" s="1"/>
        <n x="888" s="1"/>
        <n x="880" s="1"/>
        <n x="19"/>
        <n x="283"/>
        <n x="15"/>
      </t>
    </mdx>
    <mdx n="0" f="v">
      <t c="7">
        <n x="1" s="1"/>
        <n x="898" s="1"/>
        <n x="888" s="1"/>
        <n x="880" s="1"/>
        <n x="12"/>
        <n x="463"/>
        <n x="15"/>
      </t>
    </mdx>
    <mdx n="0" f="v">
      <t c="6">
        <n x="1" s="1"/>
        <n x="898" s="1"/>
        <n x="888" s="1"/>
        <n x="880" s="1"/>
        <n x="9"/>
        <n x="15"/>
      </t>
    </mdx>
    <mdx n="0" f="v">
      <t c="7">
        <n x="1" s="1"/>
        <n x="898" s="1"/>
        <n x="888" s="1"/>
        <n x="880" s="1"/>
        <n x="18"/>
        <n x="334"/>
        <n x="15"/>
      </t>
    </mdx>
    <mdx n="0" f="v">
      <t c="7">
        <n x="1" s="1"/>
        <n x="898" s="1"/>
        <n x="888" s="1"/>
        <n x="880" s="1"/>
        <n x="16"/>
        <n x="300"/>
        <n x="15"/>
      </t>
    </mdx>
    <mdx n="0" f="v">
      <t c="7">
        <n x="1" s="1"/>
        <n x="898" s="1"/>
        <n x="888" s="1"/>
        <n x="880" s="1"/>
        <n x="5"/>
        <n x="321"/>
        <n x="15"/>
      </t>
    </mdx>
    <mdx n="0" f="v">
      <t c="7">
        <n x="1" s="1"/>
        <n x="898" s="1"/>
        <n x="888" s="1"/>
        <n x="880" s="1"/>
        <n x="10"/>
        <n x="448"/>
        <n x="15"/>
      </t>
    </mdx>
    <mdx n="0" f="v">
      <t c="7">
        <n x="1" s="1"/>
        <n x="898" s="1"/>
        <n x="888" s="1"/>
        <n x="880" s="1"/>
        <n x="4"/>
        <n x="288"/>
        <n x="15"/>
      </t>
    </mdx>
    <mdx n="0" f="v">
      <t c="7">
        <n x="1" s="1"/>
        <n x="898" s="1"/>
        <n x="888" s="1"/>
        <n x="880" s="1"/>
        <n x="13"/>
        <n x="346"/>
        <n x="15"/>
      </t>
    </mdx>
    <mdx n="0" f="v">
      <t c="7">
        <n x="1" s="1"/>
        <n x="898" s="1"/>
        <n x="888" s="1"/>
        <n x="880" s="1"/>
        <n x="20"/>
        <n x="382"/>
        <n x="15"/>
      </t>
    </mdx>
    <mdx n="0" f="v">
      <t c="7">
        <n x="1" s="1"/>
        <n x="898" s="1"/>
        <n x="888" s="1"/>
        <n x="880" s="1"/>
        <n x="10"/>
        <n x="439"/>
        <n x="15"/>
      </t>
    </mdx>
    <mdx n="21" f="v">
      <t c="6">
        <n x="898" s="1"/>
        <n x="888" s="1"/>
        <n x="880" s="1"/>
        <n x="22"/>
        <n x="46"/>
        <n x="27"/>
      </t>
    </mdx>
    <mdx n="0" f="v">
      <t c="7">
        <n x="1" s="1"/>
        <n x="898" s="1"/>
        <n x="888" s="1"/>
        <n x="880" s="1"/>
        <n x="10"/>
        <n x="357"/>
        <n x="15"/>
      </t>
    </mdx>
    <mdx n="0" f="v">
      <t c="7">
        <n x="1" s="1"/>
        <n x="898" s="1"/>
        <n x="888" s="1"/>
        <n x="880" s="1"/>
        <n x="12"/>
        <n x="370"/>
        <n x="15"/>
      </t>
    </mdx>
    <mdx n="21" f="v">
      <t c="6">
        <n x="898" s="1"/>
        <n x="888" s="1"/>
        <n x="880" s="1"/>
        <n x="52"/>
        <n x="49"/>
        <n x="27"/>
      </t>
    </mdx>
    <mdx n="0" f="v">
      <t c="7">
        <n x="1" s="1"/>
        <n x="898" s="1"/>
        <n x="888" s="1"/>
        <n x="880" s="1"/>
        <n x="5"/>
        <n x="400"/>
        <n x="15"/>
      </t>
    </mdx>
    <mdx n="21" f="v">
      <t c="7">
        <n x="898" s="1"/>
        <n x="888" s="1"/>
        <n x="880" s="1"/>
        <n x="25"/>
        <n x="27"/>
        <n x="886"/>
        <n x="23"/>
      </t>
    </mdx>
    <mdx n="0" f="v">
      <t c="7">
        <n x="1" s="1"/>
        <n x="898" s="1"/>
        <n x="888" s="1"/>
        <n x="880" s="1"/>
        <n x="12"/>
        <n x="368"/>
        <n x="15"/>
      </t>
    </mdx>
    <mdx n="21" f="v">
      <t c="6">
        <n x="898" s="1"/>
        <n x="888" s="1"/>
        <n x="880" s="1"/>
        <n x="28"/>
        <n x="60"/>
        <n x="27"/>
      </t>
    </mdx>
    <mdx n="0" f="v">
      <t c="7">
        <n x="1" s="1"/>
        <n x="898" s="1"/>
        <n x="888" s="1"/>
        <n x="880" s="1"/>
        <n x="17"/>
        <n x="396"/>
        <n x="15"/>
      </t>
    </mdx>
    <mdx n="0" f="v">
      <t c="7">
        <n x="1" s="1"/>
        <n x="898" s="1"/>
        <n x="888" s="1"/>
        <n x="880" s="1"/>
        <n x="4"/>
        <n x="289"/>
        <n x="15"/>
      </t>
    </mdx>
    <mdx n="0" f="v">
      <t c="7">
        <n x="1" s="1"/>
        <n x="898" s="1"/>
        <n x="888" s="1"/>
        <n x="880" s="1"/>
        <n x="12"/>
        <n x="374"/>
        <n x="15"/>
      </t>
    </mdx>
    <mdx n="0" f="v">
      <t c="7">
        <n x="1" s="1"/>
        <n x="898" s="1"/>
        <n x="888" s="1"/>
        <n x="880" s="1"/>
        <n x="20"/>
        <n x="469"/>
        <n x="15"/>
      </t>
    </mdx>
    <mdx n="0" f="v">
      <t c="7">
        <n x="1" s="1"/>
        <n x="898" s="1"/>
        <n x="888" s="1"/>
        <n x="880" s="1"/>
        <n x="9"/>
        <n x="295"/>
        <n x="15"/>
      </t>
    </mdx>
    <mdx n="0" f="v">
      <t c="7">
        <n x="1" s="1"/>
        <n x="898" s="1"/>
        <n x="888" s="1"/>
        <n x="880" s="1"/>
        <n x="5"/>
        <n x="322"/>
        <n x="15"/>
      </t>
    </mdx>
    <mdx n="0" f="v">
      <t c="7">
        <n x="1" s="1"/>
        <n x="898" s="1"/>
        <n x="888" s="1"/>
        <n x="880" s="1"/>
        <n x="8"/>
        <n x="253"/>
        <n x="15"/>
      </t>
    </mdx>
    <mdx n="0" f="v">
      <t c="6">
        <n x="1" s="1"/>
        <n x="898" s="1"/>
        <n x="888" s="1"/>
        <n x="880" s="1"/>
        <n x="3"/>
        <n x="15"/>
      </t>
    </mdx>
    <mdx n="0" f="v">
      <t c="7">
        <n x="1" s="1"/>
        <n x="898" s="1"/>
        <n x="888" s="1"/>
        <n x="880" s="1"/>
        <n x="10"/>
        <n x="360"/>
        <n x="15"/>
      </t>
    </mdx>
    <mdx n="0" f="v">
      <t c="7">
        <n x="1" s="1"/>
        <n x="898" s="1"/>
        <n x="888" s="1"/>
        <n x="880" s="1"/>
        <n x="9"/>
        <n x="267"/>
        <n x="15"/>
      </t>
    </mdx>
    <mdx n="0" f="v">
      <t c="7">
        <n x="1" s="1"/>
        <n x="898" s="1"/>
        <n x="888" s="1"/>
        <n x="880" s="1"/>
        <n x="12"/>
        <n x="461"/>
        <n x="15"/>
      </t>
    </mdx>
    <mdx n="0" f="v">
      <t c="7">
        <n x="1" s="1"/>
        <n x="898" s="1"/>
        <n x="888" s="1"/>
        <n x="880" s="1"/>
        <n x="14"/>
        <n x="332"/>
        <n x="15"/>
      </t>
    </mdx>
    <mdx n="0" f="v">
      <t c="7">
        <n x="1" s="1"/>
        <n x="898" s="1"/>
        <n x="888" s="1"/>
        <n x="880" s="1"/>
        <n x="20"/>
        <n x="375"/>
        <n x="15"/>
      </t>
    </mdx>
    <mdx n="0" f="v">
      <t c="7">
        <n x="1" s="1"/>
        <n x="898" s="1"/>
        <n x="888" s="1"/>
        <n x="880" s="1"/>
        <n x="4"/>
        <n x="291"/>
        <n x="15"/>
      </t>
    </mdx>
    <mdx n="21" f="v">
      <t c="6">
        <n x="898" s="1"/>
        <n x="888" s="1"/>
        <n x="880" s="1"/>
        <n x="27"/>
        <n x="30" s="1"/>
        <n x="23"/>
      </t>
    </mdx>
    <mdx n="0" f="v">
      <t c="7">
        <n x="1" s="1"/>
        <n x="898" s="1"/>
        <n x="888" s="1"/>
        <n x="880" s="1"/>
        <n x="17"/>
        <n x="316"/>
        <n x="15"/>
      </t>
    </mdx>
    <mdx n="0" f="v">
      <t c="7">
        <n x="1" s="1"/>
        <n x="898" s="1"/>
        <n x="888" s="1"/>
        <n x="880" s="1"/>
        <n x="16"/>
        <n x="395"/>
        <n x="15"/>
      </t>
    </mdx>
    <mdx n="0" f="v">
      <t c="7">
        <n x="1" s="1"/>
        <n x="898" s="1"/>
        <n x="888" s="1"/>
        <n x="880" s="1"/>
        <n x="20"/>
        <n x="381"/>
        <n x="15"/>
      </t>
    </mdx>
    <mdx n="0" f="v">
      <t c="7">
        <n x="1" s="1"/>
        <n x="898" s="1"/>
        <n x="888" s="1"/>
        <n x="880" s="1"/>
        <n x="4"/>
        <n x="261"/>
        <n x="15"/>
      </t>
    </mdx>
    <mdx n="0" f="v">
      <t c="7">
        <n x="1" s="1"/>
        <n x="898" s="1"/>
        <n x="888" s="1"/>
        <n x="880" s="1"/>
        <n x="20"/>
        <n x="465"/>
        <n x="15"/>
      </t>
    </mdx>
    <mdx n="21" f="v">
      <t c="6">
        <n x="898" s="1"/>
        <n x="888" s="1"/>
        <n x="880" s="1"/>
        <n x="25"/>
        <n x="35"/>
        <n x="27"/>
      </t>
    </mdx>
    <mdx n="0" f="v">
      <t c="7">
        <n x="1" s="1"/>
        <n x="898" s="1"/>
        <n x="888" s="1"/>
        <n x="880" s="1"/>
        <n x="10"/>
        <n x="352"/>
        <n x="15"/>
      </t>
    </mdx>
    <mdx n="0" f="v">
      <t c="6">
        <n x="1" s="1"/>
        <n x="888" s="1"/>
        <n x="898" s="1"/>
        <n x="880" s="1"/>
        <n x="9"/>
        <n x="15"/>
      </t>
    </mdx>
    <mdx n="21" f="v">
      <t c="7">
        <n x="898" s="1"/>
        <n x="888" s="1"/>
        <n x="880" s="1"/>
        <n x="25"/>
        <n x="27"/>
        <n x="44"/>
        <n x="24"/>
      </t>
    </mdx>
    <mdx n="0" f="v">
      <t c="7">
        <n x="1" s="1"/>
        <n x="898" s="1"/>
        <n x="888" s="1"/>
        <n x="880" s="1"/>
        <n x="13"/>
        <n x="343"/>
        <n x="15"/>
      </t>
    </mdx>
    <mdx n="0" f="v">
      <t c="7">
        <n x="1" s="1"/>
        <n x="898" s="1"/>
        <n x="888" s="1"/>
        <n x="880" s="1"/>
        <n x="13"/>
        <n x="426"/>
        <n x="15"/>
      </t>
    </mdx>
    <mdx n="0" f="v">
      <t c="7">
        <n x="1" s="1"/>
        <n x="898" s="1"/>
        <n x="888" s="1"/>
        <n x="880" s="1"/>
        <n x="12"/>
        <n x="455"/>
        <n x="15"/>
      </t>
    </mdx>
    <mdx n="21" f="v">
      <t c="6">
        <n x="898" s="1"/>
        <n x="888" s="1"/>
        <n x="880" s="1"/>
        <n x="25"/>
        <n x="33"/>
        <n x="27"/>
      </t>
    </mdx>
    <mdx n="0" f="v">
      <t c="6">
        <n x="1" s="1"/>
        <n x="898" s="1"/>
        <n x="888" s="1"/>
        <n x="880" s="1"/>
        <n x="11"/>
        <n x="15"/>
      </t>
    </mdx>
    <mdx n="0" f="v">
      <t c="6">
        <n x="1" s="1"/>
        <n x="898" s="1"/>
        <n x="888" s="1"/>
        <n x="880" s="1"/>
        <n x="19"/>
        <n x="15"/>
      </t>
    </mdx>
    <mdx n="0" f="v">
      <t c="6">
        <n x="1" s="1"/>
        <n x="898" s="1"/>
        <n x="888" s="1"/>
        <n x="880" s="1"/>
        <n x="6"/>
        <n x="15"/>
      </t>
    </mdx>
    <mdx n="21" f="v">
      <t c="7">
        <n x="898" s="1"/>
        <n x="888" s="1"/>
        <n x="880" s="1"/>
        <n x="25"/>
        <n x="27"/>
        <n x="43"/>
        <n x="29"/>
      </t>
    </mdx>
    <mdx n="21" f="v">
      <t c="7">
        <n x="898" s="1"/>
        <n x="888" s="1"/>
        <n x="880" s="1"/>
        <n x="25"/>
        <n x="27"/>
        <n x="43"/>
        <n x="23"/>
      </t>
    </mdx>
    <mdx n="21" f="v">
      <t c="6">
        <n x="898" s="1"/>
        <n x="888" s="1"/>
        <n x="880" s="1"/>
        <n x="27"/>
        <n x="22"/>
        <n x="26"/>
      </t>
    </mdx>
    <mdx n="21" f="v">
      <t c="6">
        <n x="898" s="1"/>
        <n x="888" s="1"/>
        <n x="880" s="1"/>
        <n x="27"/>
        <n x="28"/>
        <n x="26"/>
      </t>
    </mdx>
    <mdx n="21" f="v">
      <t c="6">
        <n x="898" s="1"/>
        <n x="888" s="1"/>
        <n x="880" s="1"/>
        <n x="27"/>
        <n x="25"/>
        <n x="23"/>
      </t>
    </mdx>
    <mdx n="21" f="v">
      <t c="6">
        <n x="898" s="1"/>
        <n x="888" s="1"/>
        <n x="880" s="1"/>
        <n x="27"/>
        <n x="25"/>
        <n x="24"/>
      </t>
    </mdx>
    <mdx n="21" f="v">
      <t c="6">
        <n x="898" s="1"/>
        <n x="888" s="1"/>
        <n x="880" s="1"/>
        <n x="27"/>
        <n x="22"/>
        <n x="24"/>
      </t>
    </mdx>
    <mdx n="21" f="v">
      <t c="6">
        <n x="898" s="1"/>
        <n x="888" s="1"/>
        <n x="880" s="1"/>
        <n x="22"/>
        <n x="44"/>
        <n x="27"/>
      </t>
    </mdx>
    <mdx n="21" f="v">
      <t c="6">
        <n x="898" s="1"/>
        <n x="888" s="1"/>
        <n x="880" s="1"/>
        <n x="22"/>
        <n x="37"/>
        <n x="27"/>
      </t>
    </mdx>
    <mdx n="21" f="v">
      <t c="6">
        <n x="898" s="1"/>
        <n x="888" s="1"/>
        <n x="880" s="1"/>
        <n x="22"/>
        <n x="40"/>
        <n x="27"/>
      </t>
    </mdx>
    <mdx n="21" f="v">
      <t c="6">
        <n x="898" s="1"/>
        <n x="888" s="1"/>
        <n x="880" s="1"/>
        <n x="22"/>
        <n x="45"/>
        <n x="27"/>
      </t>
    </mdx>
    <mdx n="21" f="v">
      <t c="6">
        <n x="898" s="1"/>
        <n x="888" s="1"/>
        <n x="880" s="1"/>
        <n x="22"/>
        <n x="42"/>
        <n x="27"/>
      </t>
    </mdx>
    <mdx n="21" f="v">
      <t c="6">
        <n x="22"/>
        <n x="898" s="1"/>
        <n x="888" s="1"/>
        <n x="880" s="1"/>
        <n x="45"/>
        <n x="27"/>
      </t>
    </mdx>
    <mdx n="21" f="v">
      <t c="6">
        <n x="22"/>
        <n x="898" s="1"/>
        <n x="888" s="1"/>
        <n x="880" s="1"/>
        <n x="37"/>
        <n x="27"/>
      </t>
    </mdx>
    <mdx n="21" f="v">
      <t c="6">
        <n x="22"/>
        <n x="898" s="1"/>
        <n x="888" s="1"/>
        <n x="880" s="1"/>
        <n x="44"/>
        <n x="27"/>
      </t>
    </mdx>
    <mdx n="21" f="v">
      <t c="6">
        <n x="22"/>
        <n x="898" s="1"/>
        <n x="888" s="1"/>
        <n x="880" s="1"/>
        <n x="40"/>
        <n x="27"/>
      </t>
    </mdx>
    <mdx n="21" f="v">
      <t c="6">
        <n x="22"/>
        <n x="898" s="1"/>
        <n x="888" s="1"/>
        <n x="880" s="1"/>
        <n x="42"/>
        <n x="27"/>
      </t>
    </mdx>
    <mdx n="21" f="v">
      <t c="6">
        <n x="898" s="1"/>
        <n x="888" s="1"/>
        <n x="880" s="1"/>
        <n x="25"/>
        <n x="31"/>
        <n x="27"/>
      </t>
    </mdx>
    <mdx n="21" f="v">
      <t c="6">
        <n x="898" s="1"/>
        <n x="888" s="1"/>
        <n x="880" s="1"/>
        <n x="25"/>
        <n x="34"/>
        <n x="27"/>
      </t>
    </mdx>
    <mdx n="21" f="v">
      <t c="6">
        <n x="898" s="1"/>
        <n x="888" s="1"/>
        <n x="880" s="1"/>
        <n x="25"/>
        <n x="32"/>
        <n x="27"/>
      </t>
    </mdx>
    <mdx n="21" f="v">
      <t c="6">
        <n x="898" s="1"/>
        <n x="888" s="1"/>
        <n x="880" s="1"/>
        <n x="25"/>
        <n x="36"/>
        <n x="27"/>
      </t>
    </mdx>
    <mdx n="21" f="v">
      <t c="7">
        <n x="898" s="1"/>
        <n x="888" s="1"/>
        <n x="880" s="1"/>
        <n x="25"/>
        <n x="27"/>
        <n x="40"/>
        <n x="23"/>
      </t>
    </mdx>
    <mdx n="21" f="v">
      <t c="7">
        <n x="898" s="1"/>
        <n x="888" s="1"/>
        <n x="880" s="1"/>
        <n x="25"/>
        <n x="27"/>
        <n x="40"/>
        <n x="29"/>
      </t>
    </mdx>
    <mdx n="21" f="v">
      <t c="7">
        <n x="898" s="1"/>
        <n x="888" s="1"/>
        <n x="880" s="1"/>
        <n x="25"/>
        <n x="27"/>
        <n x="40"/>
        <n x="24"/>
      </t>
    </mdx>
    <mdx n="0" f="v">
      <t c="7">
        <n x="1" s="1"/>
        <n x="898" s="1"/>
        <n x="888" s="1"/>
        <n x="880" s="1"/>
        <n x="20"/>
        <n x="470"/>
        <n x="15"/>
      </t>
    </mdx>
    <mdx n="0" f="v">
      <t c="6">
        <n x="250"/>
        <n x="898" s="1"/>
        <n x="888" s="1"/>
        <n x="880" s="1"/>
        <n x="4"/>
        <n x="15"/>
      </t>
    </mdx>
    <mdx n="0" f="v">
      <t c="7">
        <n x="1" s="1"/>
        <n x="898" s="1"/>
        <n x="888" s="1"/>
        <n x="880" s="1"/>
        <n x="8"/>
        <n x="272"/>
        <n x="15"/>
      </t>
    </mdx>
    <mdx n="21" f="v">
      <t c="6">
        <n x="22"/>
        <n x="898" s="1"/>
        <n x="888" s="1"/>
        <n x="880" s="1"/>
        <n x="46"/>
        <n x="27"/>
      </t>
    </mdx>
    <mdx n="0" f="v">
      <t c="7">
        <n x="1" s="1"/>
        <n x="898" s="1"/>
        <n x="888" s="1"/>
        <n x="880" s="1"/>
        <n x="13"/>
        <n x="422"/>
        <n x="15"/>
      </t>
    </mdx>
    <mdx n="0" f="v">
      <t c="7">
        <n x="1" s="1"/>
        <n x="898" s="1"/>
        <n x="888" s="1"/>
        <n x="880" s="1"/>
        <n x="10"/>
        <n x="363"/>
        <n x="15"/>
      </t>
    </mdx>
    <mdx n="0" f="v">
      <t c="6">
        <n x="1" s="1"/>
        <n x="888" s="1"/>
        <n x="898" s="1"/>
        <n x="880" s="1"/>
        <n x="18"/>
        <n x="15"/>
      </t>
    </mdx>
    <mdx n="0" f="v">
      <t c="7">
        <n x="1" s="1"/>
        <n x="898" s="1"/>
        <n x="888" s="1"/>
        <n x="880" s="1"/>
        <n x="12"/>
        <n x="372"/>
        <n x="15"/>
      </t>
    </mdx>
    <mdx n="0" f="v">
      <t c="7">
        <n x="1" s="1"/>
        <n x="898" s="1"/>
        <n x="888" s="1"/>
        <n x="880" s="1"/>
        <n x="18"/>
        <n x="418"/>
        <n x="15"/>
      </t>
    </mdx>
    <mdx n="0" f="v">
      <t c="7">
        <n x="1" s="1"/>
        <n x="898" s="1"/>
        <n x="888" s="1"/>
        <n x="880" s="1"/>
        <n x="16"/>
        <n x="394"/>
        <n x="15"/>
      </t>
    </mdx>
    <mdx n="0" f="v">
      <t c="7">
        <n x="1" s="1"/>
        <n x="898" s="1"/>
        <n x="888" s="1"/>
        <n x="880" s="1"/>
        <n x="10"/>
        <n x="450"/>
        <n x="15"/>
      </t>
    </mdx>
    <mdx n="0" f="v">
      <t c="7">
        <n x="1" s="1"/>
        <n x="898" s="1"/>
        <n x="888" s="1"/>
        <n x="880" s="1"/>
        <n x="5"/>
        <n x="389"/>
        <n x="15"/>
      </t>
    </mdx>
    <mdx n="0" f="v">
      <t c="6">
        <n x="1" s="1"/>
        <n x="888" s="1"/>
        <n x="898" s="1"/>
        <n x="880" s="1"/>
        <n x="5"/>
        <n x="7"/>
      </t>
    </mdx>
    <mdx n="0" f="v">
      <t c="7">
        <n x="1" s="1"/>
        <n x="898" s="1"/>
        <n x="888" s="1"/>
        <n x="880" s="1"/>
        <n x="14"/>
        <n x="408"/>
        <n x="15"/>
      </t>
    </mdx>
    <mdx n="0" f="v">
      <t c="6">
        <n x="1" s="1"/>
        <n x="898" s="1"/>
        <n x="888" s="1"/>
        <n x="880" s="1"/>
        <n x="18"/>
        <n x="15"/>
      </t>
    </mdx>
    <mdx n="0" f="v">
      <t c="6">
        <n x="1" s="1"/>
        <n x="898" s="1"/>
        <n x="888" s="1"/>
        <n x="880" s="1"/>
        <n x="5"/>
        <n x="15"/>
      </t>
    </mdx>
    <mdx n="0" f="v">
      <t c="7">
        <n x="1" s="1"/>
        <n x="898" s="1"/>
        <n x="888" s="1"/>
        <n x="880" s="1"/>
        <n x="5"/>
        <n x="387"/>
        <n x="15"/>
      </t>
    </mdx>
    <mdx n="0" f="v">
      <t c="6">
        <n x="250"/>
        <n x="898" s="1"/>
        <n x="888" s="1"/>
        <n x="880" s="1"/>
        <n x="251"/>
        <n x="15"/>
      </t>
    </mdx>
    <mdx n="0" f="v">
      <t c="6">
        <n x="250"/>
        <n x="898" s="1"/>
        <n x="888" s="1"/>
        <n x="880" s="1"/>
        <n x="9"/>
        <n x="15"/>
      </t>
    </mdx>
    <mdx n="0" f="v">
      <t c="6">
        <n x="250"/>
        <n x="898" s="1"/>
        <n x="888" s="1"/>
        <n x="880" s="1"/>
        <n x="20"/>
        <n x="15"/>
      </t>
    </mdx>
    <mdx n="0" f="v">
      <t c="7">
        <n x="1" s="1"/>
        <n x="898" s="1"/>
        <n x="888" s="1"/>
        <n x="880" s="1"/>
        <n x="18"/>
        <n x="412"/>
        <n x="15"/>
      </t>
    </mdx>
    <mdx n="0" f="v">
      <t c="6">
        <n x="1" s="1"/>
        <n x="888" s="1"/>
        <n x="898" s="1"/>
        <n x="880" s="1"/>
        <n x="14"/>
        <n x="15"/>
      </t>
    </mdx>
    <mdx n="0" f="v">
      <t c="7">
        <n x="1" s="1"/>
        <n x="898" s="1"/>
        <n x="888" s="1"/>
        <n x="880" s="1"/>
        <n x="10"/>
        <n x="364"/>
        <n x="15"/>
      </t>
    </mdx>
    <mdx n="0" f="v">
      <t c="6">
        <n x="1" s="1"/>
        <n x="888" s="1"/>
        <n x="898" s="1"/>
        <n x="880" s="1"/>
        <n x="8"/>
        <n x="7"/>
      </t>
    </mdx>
    <mdx n="0" f="v">
      <t c="6">
        <n x="1" s="1"/>
        <n x="888" s="1"/>
        <n x="898" s="1"/>
        <n x="880" s="1"/>
        <n x="13"/>
        <n x="7"/>
      </t>
    </mdx>
    <mdx n="21" f="v">
      <t c="6">
        <n x="898" s="1"/>
        <n x="888" s="1"/>
        <n x="880" s="1"/>
        <n x="51"/>
        <n x="49"/>
        <n x="27"/>
      </t>
    </mdx>
    <mdx n="21" f="v">
      <t c="6">
        <n x="898" s="1"/>
        <n x="888" s="1"/>
        <n x="880" s="1"/>
        <n x="47"/>
        <n x="48"/>
        <n x="27"/>
      </t>
    </mdx>
    <mdx n="21" f="v">
      <t c="6">
        <n x="898" s="1"/>
        <n x="888" s="1"/>
        <n x="880" s="1"/>
        <n x="52"/>
        <n x="48"/>
        <n x="27"/>
      </t>
    </mdx>
    <mdx n="0" f="v">
      <t c="6">
        <n x="1" s="1"/>
        <n x="898" s="1"/>
        <n x="888" s="1"/>
        <n x="880" s="1"/>
        <n x="8"/>
        <n x="15"/>
      </t>
    </mdx>
    <mdx n="0" f="v">
      <t c="7">
        <n x="1" s="1"/>
        <n x="898" s="1"/>
        <n x="888" s="1"/>
        <n x="880" s="1"/>
        <n x="14"/>
        <n x="403"/>
        <n x="15"/>
      </t>
    </mdx>
    <mdx n="0" f="v">
      <t c="6">
        <n x="250"/>
        <n x="898" s="1"/>
        <n x="888" s="1"/>
        <n x="880" s="1"/>
        <n x="18"/>
        <n x="15"/>
      </t>
    </mdx>
    <mdx n="21" f="v">
      <t c="5">
        <n x="898" s="1"/>
        <n x="888" s="1"/>
        <n x="880" s="1"/>
        <n x="56" s="1"/>
        <n x="27"/>
      </t>
    </mdx>
    <mdx n="0" f="v">
      <t c="5">
        <n x="820"/>
        <n x="898" s="1"/>
        <n x="888" s="1"/>
        <n x="880" s="1"/>
        <n x="15"/>
      </t>
    </mdx>
    <mdx n="0" f="v">
      <t c="6">
        <n x="1" s="1"/>
        <n x="888" s="1"/>
        <n x="898" s="1"/>
        <n x="880" s="1"/>
        <n x="3"/>
        <n x="7"/>
      </t>
    </mdx>
    <mdx n="21" f="v">
      <t c="6">
        <n x="898" s="1"/>
        <n x="888" s="1"/>
        <n x="880" s="1"/>
        <n x="51"/>
        <n x="50"/>
        <n x="27"/>
      </t>
    </mdx>
    <mdx n="21" f="v">
      <t c="6">
        <n x="898" s="1"/>
        <n x="888" s="1"/>
        <n x="880" s="1"/>
        <n x="28"/>
        <n x="31"/>
        <n x="27"/>
      </t>
    </mdx>
    <mdx n="0" f="v">
      <t c="7">
        <n x="1" s="1"/>
        <n x="898" s="1"/>
        <n x="888" s="1"/>
        <n x="880" s="1"/>
        <n x="10"/>
        <n x="440"/>
        <n x="15"/>
      </t>
    </mdx>
    <mdx n="0" f="v">
      <t c="6">
        <n x="1" s="1"/>
        <n x="888" s="1"/>
        <n x="898" s="1"/>
        <n x="880" s="1"/>
        <n x="823"/>
        <n x="15"/>
      </t>
    </mdx>
    <mdx n="21" f="v">
      <t c="6">
        <n x="898" s="1"/>
        <n x="888" s="1"/>
        <n x="880" s="1"/>
        <n x="62" s="1"/>
        <n x="174"/>
        <n x="7"/>
      </t>
    </mdx>
    <mdx n="21" f="v">
      <t c="6">
        <n x="898" s="1"/>
        <n x="888" s="1"/>
        <n x="880" s="1"/>
        <n x="62" s="1"/>
        <n x="155"/>
        <n x="7"/>
      </t>
    </mdx>
    <mdx n="21" f="v">
      <t c="6">
        <n x="898" s="1"/>
        <n x="888" s="1"/>
        <n x="880" s="1"/>
        <n x="62" s="1"/>
        <n x="110"/>
        <n x="7"/>
      </t>
    </mdx>
    <mdx n="21" f="v">
      <t c="6">
        <n x="898" s="1"/>
        <n x="888" s="1"/>
        <n x="880" s="1"/>
        <n x="62" s="1"/>
        <n x="93"/>
        <n x="7"/>
      </t>
    </mdx>
    <mdx n="21" f="v">
      <t c="6">
        <n x="898" s="1"/>
        <n x="888" s="1"/>
        <n x="880" s="1"/>
        <n x="62" s="1"/>
        <n x="104"/>
        <n x="7"/>
      </t>
    </mdx>
    <mdx n="21" f="v">
      <t c="6">
        <n x="898" s="1"/>
        <n x="888" s="1"/>
        <n x="880" s="1"/>
        <n x="62" s="1"/>
        <n x="209"/>
        <n x="7"/>
      </t>
    </mdx>
    <mdx n="21" f="v">
      <t c="6">
        <n x="898" s="1"/>
        <n x="888" s="1"/>
        <n x="880" s="1"/>
        <n x="62" s="1"/>
        <n x="179"/>
        <n x="7"/>
      </t>
    </mdx>
    <mdx n="21" f="v">
      <t c="6">
        <n x="898" s="1"/>
        <n x="888" s="1"/>
        <n x="880" s="1"/>
        <n x="62" s="1"/>
        <n x="136"/>
        <n x="7"/>
      </t>
    </mdx>
    <mdx n="21" f="v">
      <t c="6">
        <n x="898" s="1"/>
        <n x="888" s="1"/>
        <n x="880" s="1"/>
        <n x="62" s="1"/>
        <n x="241"/>
        <n x="7"/>
      </t>
    </mdx>
    <mdx n="21" f="v">
      <t c="6">
        <n x="898" s="1"/>
        <n x="888" s="1"/>
        <n x="880" s="1"/>
        <n x="62" s="1"/>
        <n x="224"/>
        <n x="7"/>
      </t>
    </mdx>
    <mdx n="21" f="v">
      <t c="6">
        <n x="898" s="1"/>
        <n x="888" s="1"/>
        <n x="880" s="1"/>
        <n x="62" s="1"/>
        <n x="191"/>
        <n x="7"/>
      </t>
    </mdx>
    <mdx n="21" f="v">
      <t c="6">
        <n x="898" s="1"/>
        <n x="888" s="1"/>
        <n x="880" s="1"/>
        <n x="62" s="1"/>
        <n x="882"/>
        <n x="7"/>
      </t>
    </mdx>
    <mdx n="21" f="v">
      <t c="6">
        <n x="898" s="1"/>
        <n x="888" s="1"/>
        <n x="880" s="1"/>
        <n x="62" s="1"/>
        <n x="197"/>
        <n x="7"/>
      </t>
    </mdx>
    <mdx n="21" f="v">
      <t c="6">
        <n x="898" s="1"/>
        <n x="888" s="1"/>
        <n x="880" s="1"/>
        <n x="62" s="1"/>
        <n x="115"/>
        <n x="7"/>
      </t>
    </mdx>
    <mdx n="21" f="v">
      <t c="6">
        <n x="898" s="1"/>
        <n x="888" s="1"/>
        <n x="880" s="1"/>
        <n x="62" s="1"/>
        <n x="236"/>
        <n x="7"/>
      </t>
    </mdx>
    <mdx n="21" f="v">
      <t c="6">
        <n x="898" s="1"/>
        <n x="888" s="1"/>
        <n x="880" s="1"/>
        <n x="62" s="1"/>
        <n x="196"/>
        <n x="7"/>
      </t>
    </mdx>
    <mdx n="21" f="v">
      <t c="6">
        <n x="898" s="1"/>
        <n x="888" s="1"/>
        <n x="880" s="1"/>
        <n x="62" s="1"/>
        <n x="111"/>
        <n x="7"/>
      </t>
    </mdx>
    <mdx n="21" f="v">
      <t c="6">
        <n x="898" s="1"/>
        <n x="888" s="1"/>
        <n x="880" s="1"/>
        <n x="62" s="1"/>
        <n x="154"/>
        <n x="7"/>
      </t>
    </mdx>
    <mdx n="21" f="v">
      <t c="6">
        <n x="898" s="1"/>
        <n x="888" s="1"/>
        <n x="880" s="1"/>
        <n x="62" s="1"/>
        <n x="102"/>
        <n x="7"/>
      </t>
    </mdx>
    <mdx n="21" f="v">
      <t c="6">
        <n x="898" s="1"/>
        <n x="888" s="1"/>
        <n x="880" s="1"/>
        <n x="62" s="1"/>
        <n x="213"/>
        <n x="7"/>
      </t>
    </mdx>
    <mdx n="21" f="v">
      <t c="6">
        <n x="898" s="1"/>
        <n x="888" s="1"/>
        <n x="880" s="1"/>
        <n x="62" s="1"/>
        <n x="112"/>
        <n x="7"/>
      </t>
    </mdx>
    <mdx n="21" f="v">
      <t c="6">
        <n x="898" s="1"/>
        <n x="888" s="1"/>
        <n x="880" s="1"/>
        <n x="62" s="1"/>
        <n x="67"/>
        <n x="7"/>
      </t>
    </mdx>
    <mdx n="21" f="v">
      <t c="6">
        <n x="898" s="1"/>
        <n x="888" s="1"/>
        <n x="880" s="1"/>
        <n x="62" s="1"/>
        <n x="114"/>
        <n x="7"/>
      </t>
    </mdx>
    <mdx n="21" f="v">
      <t c="6">
        <n x="898" s="1"/>
        <n x="888" s="1"/>
        <n x="880" s="1"/>
        <n x="62" s="1"/>
        <n x="234"/>
        <n x="7"/>
      </t>
    </mdx>
    <mdx n="21" f="v">
      <t c="6">
        <n x="898" s="1"/>
        <n x="888" s="1"/>
        <n x="880" s="1"/>
        <n x="62" s="1"/>
        <n x="175"/>
        <n x="7"/>
      </t>
    </mdx>
    <mdx n="21" f="v">
      <t c="6">
        <n x="898" s="1"/>
        <n x="888" s="1"/>
        <n x="880" s="1"/>
        <n x="62" s="1"/>
        <n x="240"/>
        <n x="7"/>
      </t>
    </mdx>
    <mdx n="21" f="v">
      <t c="6">
        <n x="898" s="1"/>
        <n x="888" s="1"/>
        <n x="880" s="1"/>
        <n x="62" s="1"/>
        <n x="108"/>
        <n x="7"/>
      </t>
    </mdx>
    <mdx n="474" f="v">
      <t c="6">
        <n x="898" s="1"/>
        <n x="795"/>
        <n x="475"/>
        <n x="880" s="1"/>
        <n x="485"/>
        <n x="476"/>
      </t>
    </mdx>
    <mdx n="21" f="v">
      <t c="6">
        <n x="898" s="1"/>
        <n x="888" s="1"/>
        <n x="880" s="1"/>
        <n x="62" s="1"/>
        <n x="235"/>
        <n x="7"/>
      </t>
    </mdx>
    <mdx n="21" f="v">
      <t c="6">
        <n x="898" s="1"/>
        <n x="888" s="1"/>
        <n x="880" s="1"/>
        <n x="62" s="1"/>
        <n x="238"/>
        <n x="7"/>
      </t>
    </mdx>
    <mdx n="21" f="v">
      <t c="6">
        <n x="898" s="1"/>
        <n x="888" s="1"/>
        <n x="880" s="1"/>
        <n x="62" s="1"/>
        <n x="113"/>
        <n x="7"/>
      </t>
    </mdx>
    <mdx n="21" f="v">
      <t c="6">
        <n x="898" s="1"/>
        <n x="888" s="1"/>
        <n x="880" s="1"/>
        <n x="62" s="1"/>
        <n x="172"/>
        <n x="7"/>
      </t>
    </mdx>
    <mdx n="21" f="v">
      <t c="6">
        <n x="898" s="1"/>
        <n x="888" s="1"/>
        <n x="880" s="1"/>
        <n x="62" s="1"/>
        <n x="227"/>
        <n x="7"/>
      </t>
    </mdx>
    <mdx n="21" f="v">
      <t c="6">
        <n x="898" s="1"/>
        <n x="888" s="1"/>
        <n x="880" s="1"/>
        <n x="62" s="1"/>
        <n x="193"/>
        <n x="7"/>
      </t>
    </mdx>
    <mdx n="21" f="v">
      <t c="6">
        <n x="898" s="1"/>
        <n x="888" s="1"/>
        <n x="880" s="1"/>
        <n x="62" s="1"/>
        <n x="183"/>
        <n x="7"/>
      </t>
    </mdx>
    <mdx n="21" f="v">
      <t c="6">
        <n x="898" s="1"/>
        <n x="888" s="1"/>
        <n x="880" s="1"/>
        <n x="62" s="1"/>
        <n x="149"/>
        <n x="7"/>
      </t>
    </mdx>
    <mdx n="21" f="v">
      <t c="6">
        <n x="898" s="1"/>
        <n x="888" s="1"/>
        <n x="880" s="1"/>
        <n x="62" s="1"/>
        <n x="99"/>
        <n x="7"/>
      </t>
    </mdx>
    <mdx n="21" f="v">
      <t c="6">
        <n x="898" s="1"/>
        <n x="888" s="1"/>
        <n x="880" s="1"/>
        <n x="62" s="1"/>
        <n x="223"/>
        <n x="7"/>
      </t>
    </mdx>
    <mdx n="21" f="v">
      <t c="6">
        <n x="898" s="1"/>
        <n x="888" s="1"/>
        <n x="880" s="1"/>
        <n x="62" s="1"/>
        <n x="207"/>
        <n x="7"/>
      </t>
    </mdx>
    <mdx n="21" f="v">
      <t c="6">
        <n x="898" s="1"/>
        <n x="888" s="1"/>
        <n x="880" s="1"/>
        <n x="62" s="1"/>
        <n x="233"/>
        <n x="7"/>
      </t>
    </mdx>
    <mdx n="474" f="v">
      <t c="6">
        <n x="898" s="1"/>
        <n x="795"/>
        <n x="475"/>
        <n x="880" s="1"/>
        <n x="478"/>
        <n x="476"/>
      </t>
    </mdx>
    <mdx n="21" f="v">
      <t c="6">
        <n x="898" s="1"/>
        <n x="888" s="1"/>
        <n x="880" s="1"/>
        <n x="62" s="1"/>
        <n x="195"/>
        <n x="7"/>
      </t>
    </mdx>
    <mdx n="21" f="v">
      <t c="6">
        <n x="898" s="1"/>
        <n x="888" s="1"/>
        <n x="880" s="1"/>
        <n x="62" s="1"/>
        <n x="200"/>
        <n x="7"/>
      </t>
    </mdx>
    <mdx n="21" f="v">
      <t c="6">
        <n x="898" s="1"/>
        <n x="888" s="1"/>
        <n x="880" s="1"/>
        <n x="62" s="1"/>
        <n x="103"/>
        <n x="7"/>
      </t>
    </mdx>
    <mdx n="0" f="v">
      <t c="6">
        <n x="1" s="1"/>
        <n x="888" s="1"/>
        <n x="898" s="1"/>
        <n x="880" s="1"/>
        <n x="823"/>
        <n x="7"/>
      </t>
    </mdx>
    <mdx n="21" f="v">
      <t c="6">
        <n x="898" s="1"/>
        <n x="888" s="1"/>
        <n x="880" s="1"/>
        <n x="62" s="1"/>
        <n x="237"/>
        <n x="7"/>
      </t>
    </mdx>
    <mdx n="21" f="v">
      <t c="6">
        <n x="898" s="1"/>
        <n x="888" s="1"/>
        <n x="880" s="1"/>
        <n x="62" s="1"/>
        <n x="231"/>
        <n x="7"/>
      </t>
    </mdx>
    <mdx n="474" f="v">
      <t c="6">
        <n x="898" s="1"/>
        <n x="795"/>
        <n x="475"/>
        <n x="880" s="1"/>
        <n x="794"/>
        <n x="476"/>
      </t>
    </mdx>
    <mdx n="21" f="v">
      <t c="6">
        <n x="898" s="1"/>
        <n x="888" s="1"/>
        <n x="880" s="1"/>
        <n x="62" s="1"/>
        <n x="192"/>
        <n x="7"/>
      </t>
    </mdx>
    <mdx n="21" f="v">
      <t c="6">
        <n x="898" s="1"/>
        <n x="888" s="1"/>
        <n x="880" s="1"/>
        <n x="62" s="1"/>
        <n x="180"/>
        <n x="7"/>
      </t>
    </mdx>
    <mdx n="21" f="v">
      <t c="7">
        <n x="898" s="1"/>
        <n x="888" s="1"/>
        <n x="880" s="1"/>
        <n x="62" s="1"/>
        <n x="126"/>
        <n x="119"/>
        <n x="7"/>
      </t>
    </mdx>
    <mdx n="474" f="v">
      <t c="6">
        <n x="898" s="1"/>
        <n x="795"/>
        <n x="475"/>
        <n x="880" s="1"/>
        <n x="484"/>
        <n x="476"/>
      </t>
    </mdx>
    <mdx n="21" f="v">
      <t c="7">
        <n x="898" s="1"/>
        <n x="888" s="1"/>
        <n x="880" s="1"/>
        <n x="62" s="1"/>
        <n x="127"/>
        <n x="120"/>
        <n x="7"/>
      </t>
    </mdx>
    <mdx n="21" f="v">
      <t c="6">
        <n x="898" s="1"/>
        <n x="888" s="1"/>
        <n x="880" s="1"/>
        <n x="62" s="1"/>
        <n x="225"/>
        <n x="7"/>
      </t>
    </mdx>
    <mdx n="21" f="v">
      <t c="6">
        <n x="898" s="1"/>
        <n x="888" s="1"/>
        <n x="880" s="1"/>
        <n x="62" s="1"/>
        <n x="146"/>
        <n x="7"/>
      </t>
    </mdx>
    <mdx n="21" f="v">
      <t c="6">
        <n x="898" s="1"/>
        <n x="888" s="1"/>
        <n x="880" s="1"/>
        <n x="62" s="1"/>
        <n x="95"/>
        <n x="7"/>
      </t>
    </mdx>
    <mdx n="21" f="v">
      <t c="6">
        <n x="898" s="1"/>
        <n x="888" s="1"/>
        <n x="880" s="1"/>
        <n x="62" s="1"/>
        <n x="184"/>
        <n x="7"/>
      </t>
    </mdx>
    <mdx n="21" f="v">
      <t c="6">
        <n x="898" s="1"/>
        <n x="888" s="1"/>
        <n x="880" s="1"/>
        <n x="62" s="1"/>
        <n x="178"/>
        <n x="7"/>
      </t>
    </mdx>
    <mdx n="21" f="v">
      <t c="7">
        <n x="898" s="1"/>
        <n x="888" s="1"/>
        <n x="880" s="1"/>
        <n x="62" s="1"/>
        <n x="127"/>
        <n x="123"/>
        <n x="7"/>
      </t>
    </mdx>
    <mdx n="21" f="v">
      <t c="6">
        <n x="898" s="1"/>
        <n x="888" s="1"/>
        <n x="880" s="1"/>
        <n x="62" s="1"/>
        <n x="109"/>
        <n x="7"/>
      </t>
    </mdx>
    <mdx n="21" f="v">
      <t c="6">
        <n x="898" s="1"/>
        <n x="888" s="1"/>
        <n x="880" s="1"/>
        <n x="62" s="1"/>
        <n x="167"/>
        <n x="7"/>
      </t>
    </mdx>
    <mdx n="21" f="v">
      <t c="6">
        <n x="898" s="1"/>
        <n x="888" s="1"/>
        <n x="880" s="1"/>
        <n x="62" s="1"/>
        <n x="177"/>
        <n x="7"/>
      </t>
    </mdx>
    <mdx n="21" f="v">
      <t c="7">
        <n x="898" s="1"/>
        <n x="888" s="1"/>
        <n x="880" s="1"/>
        <n x="62" s="1"/>
        <n x="127"/>
        <n x="130"/>
        <n x="7"/>
      </t>
    </mdx>
    <mdx n="21" f="v">
      <t c="6">
        <n x="898" s="1"/>
        <n x="888" s="1"/>
        <n x="880" s="1"/>
        <n x="62" s="1"/>
        <n x="206"/>
        <n x="7"/>
      </t>
    </mdx>
    <mdx n="21" f="v">
      <t c="6">
        <n x="898" s="1"/>
        <n x="888" s="1"/>
        <n x="880" s="1"/>
        <n x="62" s="1"/>
        <n x="163"/>
        <n x="7"/>
      </t>
    </mdx>
    <mdx n="21" f="v">
      <t c="6">
        <n x="898" s="1"/>
        <n x="888" s="1"/>
        <n x="880" s="1"/>
        <n x="62" s="1"/>
        <n x="212"/>
        <n x="7"/>
      </t>
    </mdx>
    <mdx n="21" f="v">
      <t c="6">
        <n x="898" s="1"/>
        <n x="888" s="1"/>
        <n x="880" s="1"/>
        <n x="62" s="1"/>
        <n x="97"/>
        <n x="7"/>
      </t>
    </mdx>
    <mdx n="21" f="v">
      <t c="7">
        <n x="898" s="1"/>
        <n x="888" s="1"/>
        <n x="880" s="1"/>
        <n x="62" s="1"/>
        <n x="126"/>
        <n x="128"/>
        <n x="7"/>
      </t>
    </mdx>
    <mdx n="21" f="v">
      <t c="7">
        <n x="898" s="1"/>
        <n x="888" s="1"/>
        <n x="880" s="1"/>
        <n x="62" s="1"/>
        <n x="126"/>
        <n x="123"/>
        <n x="7"/>
      </t>
    </mdx>
    <mdx n="21" f="v">
      <t c="6">
        <n x="898" s="1"/>
        <n x="888" s="1"/>
        <n x="880" s="1"/>
        <n x="62" s="1"/>
        <n x="215"/>
        <n x="7"/>
      </t>
    </mdx>
    <mdx n="21" f="v">
      <t c="6">
        <n x="898" s="1"/>
        <n x="888" s="1"/>
        <n x="880" s="1"/>
        <n x="62" s="1"/>
        <n x="106"/>
        <n x="7"/>
      </t>
    </mdx>
    <mdx n="21" f="v">
      <t c="6">
        <n x="898" s="1"/>
        <n x="888" s="1"/>
        <n x="880" s="1"/>
        <n x="62" s="1"/>
        <n x="116"/>
        <n x="7"/>
      </t>
    </mdx>
    <mdx n="21" f="v">
      <t c="6">
        <n x="898" s="1"/>
        <n x="888" s="1"/>
        <n x="880" s="1"/>
        <n x="62" s="1"/>
        <n x="226"/>
        <n x="7"/>
      </t>
    </mdx>
    <mdx n="21" f="v">
      <t c="6">
        <n x="898" s="1"/>
        <n x="888" s="1"/>
        <n x="880" s="1"/>
        <n x="62" s="1"/>
        <n x="230"/>
        <n x="7"/>
      </t>
    </mdx>
    <mdx n="21" f="v">
      <t c="6">
        <n x="898" s="1"/>
        <n x="888" s="1"/>
        <n x="880" s="1"/>
        <n x="62" s="1"/>
        <n x="169"/>
        <n x="7"/>
      </t>
    </mdx>
    <mdx n="21" f="v">
      <t c="6">
        <n x="898" s="1"/>
        <n x="888" s="1"/>
        <n x="880" s="1"/>
        <n x="62" s="1"/>
        <n x="229"/>
        <n x="7"/>
      </t>
    </mdx>
    <mdx n="21" f="v">
      <t c="6">
        <n x="898" s="1"/>
        <n x="888" s="1"/>
        <n x="880" s="1"/>
        <n x="62" s="1"/>
        <n x="232"/>
        <n x="7"/>
      </t>
    </mdx>
    <mdx n="21" f="v">
      <t c="6">
        <n x="898" s="1"/>
        <n x="888" s="1"/>
        <n x="880" s="1"/>
        <n x="62" s="1"/>
        <n x="182"/>
        <n x="7"/>
      </t>
    </mdx>
    <mdx n="21" f="v">
      <t c="6">
        <n x="898" s="1"/>
        <n x="888" s="1"/>
        <n x="880" s="1"/>
        <n x="62" s="1"/>
        <n x="64"/>
        <n x="7"/>
      </t>
    </mdx>
    <mdx n="21" f="v">
      <t c="6">
        <n x="898" s="1"/>
        <n x="888" s="1"/>
        <n x="880" s="1"/>
        <n x="62" s="1"/>
        <n x="201"/>
        <n x="7"/>
      </t>
    </mdx>
    <mdx n="21" f="v">
      <t c="6">
        <n x="898" s="1"/>
        <n x="888" s="1"/>
        <n x="880" s="1"/>
        <n x="62" s="1"/>
        <n x="202"/>
        <n x="7"/>
      </t>
    </mdx>
    <mdx n="21" f="v">
      <t c="6">
        <n x="898" s="1"/>
        <n x="888" s="1"/>
        <n x="880" s="1"/>
        <n x="62" s="1"/>
        <n x="205"/>
        <n x="7"/>
      </t>
    </mdx>
    <mdx n="21" f="v">
      <t c="7">
        <n x="898" s="1"/>
        <n x="888" s="1"/>
        <n x="880" s="1"/>
        <n x="62" s="1"/>
        <n x="126"/>
        <n x="121"/>
        <n x="7"/>
      </t>
    </mdx>
    <mdx n="21" f="v">
      <t c="6">
        <n x="898" s="1"/>
        <n x="888" s="1"/>
        <n x="880" s="1"/>
        <n x="62" s="1"/>
        <n x="210"/>
        <n x="7"/>
      </t>
    </mdx>
    <mdx n="21" f="v">
      <t c="6">
        <n x="898" s="1"/>
        <n x="888" s="1"/>
        <n x="880" s="1"/>
        <n x="62" s="1"/>
        <n x="143"/>
        <n x="7"/>
      </t>
    </mdx>
    <mdx n="21" f="v">
      <t c="6">
        <n x="898" s="1"/>
        <n x="888" s="1"/>
        <n x="880" s="1"/>
        <n x="62" s="1"/>
        <n x="198"/>
        <n x="7"/>
      </t>
    </mdx>
    <mdx n="21" f="v">
      <t c="6">
        <n x="898" s="1"/>
        <n x="888" s="1"/>
        <n x="880" s="1"/>
        <n x="62" s="1"/>
        <n x="170"/>
        <n x="7"/>
      </t>
    </mdx>
    <mdx n="21" f="v">
      <t c="6">
        <n x="898" s="1"/>
        <n x="888" s="1"/>
        <n x="880" s="1"/>
        <n x="62" s="1"/>
        <n x="92"/>
        <n x="7"/>
      </t>
    </mdx>
    <mdx n="21" f="v">
      <t c="7">
        <n x="898" s="1"/>
        <n x="888" s="1"/>
        <n x="880" s="1"/>
        <n x="62" s="1"/>
        <n x="126"/>
        <n x="131"/>
        <n x="7"/>
      </t>
    </mdx>
    <mdx n="21" f="v">
      <t c="6">
        <n x="898" s="1"/>
        <n x="888" s="1"/>
        <n x="880" s="1"/>
        <n x="62" s="1"/>
        <n x="66"/>
        <n x="7"/>
      </t>
    </mdx>
    <mdx n="21" f="v">
      <t c="6">
        <n x="898" s="1"/>
        <n x="888" s="1"/>
        <n x="880" s="1"/>
        <n x="62" s="1"/>
        <n x="63"/>
        <n x="7"/>
      </t>
    </mdx>
    <mdx n="21" f="v">
      <t c="6">
        <n x="898" s="1"/>
        <n x="888" s="1"/>
        <n x="880" s="1"/>
        <n x="62" s="1"/>
        <n x="181"/>
        <n x="7"/>
      </t>
    </mdx>
    <mdx n="474" f="v">
      <t c="6">
        <n x="898" s="1"/>
        <n x="795"/>
        <n x="475"/>
        <n x="880" s="1"/>
        <n x="483"/>
        <n x="476"/>
      </t>
    </mdx>
    <mdx n="21" f="v">
      <t c="6">
        <n x="898" s="1"/>
        <n x="888" s="1"/>
        <n x="880" s="1"/>
        <n x="62" s="1"/>
        <n x="65"/>
        <n x="7"/>
      </t>
    </mdx>
    <mdx n="21" f="v">
      <t c="6">
        <n x="898" s="1"/>
        <n x="888" s="1"/>
        <n x="880" s="1"/>
        <n x="62" s="1"/>
        <n x="101"/>
        <n x="7"/>
      </t>
    </mdx>
    <mdx n="21" f="v">
      <t c="6">
        <n x="898" s="1"/>
        <n x="888" s="1"/>
        <n x="880" s="1"/>
        <n x="62" s="1"/>
        <n x="142"/>
        <n x="7"/>
      </t>
    </mdx>
    <mdx n="21" f="v">
      <t c="7">
        <n x="898" s="1"/>
        <n x="888" s="1"/>
        <n x="880" s="1"/>
        <n x="62" s="1"/>
        <n x="127"/>
        <n x="132"/>
        <n x="7"/>
      </t>
    </mdx>
    <mdx n="21" f="v">
      <t c="7">
        <n x="898" s="1"/>
        <n x="888" s="1"/>
        <n x="880" s="1"/>
        <n x="62" s="1"/>
        <n x="125"/>
        <n x="129"/>
        <n x="7"/>
      </t>
    </mdx>
    <mdx n="21" f="v">
      <t c="7">
        <n x="898" s="1"/>
        <n x="888" s="1"/>
        <n x="880" s="1"/>
        <n x="62" s="1"/>
        <n x="127"/>
        <n x="121"/>
        <n x="7"/>
      </t>
    </mdx>
    <mdx n="21" f="v">
      <t c="7">
        <n x="898" s="1"/>
        <n x="888" s="1"/>
        <n x="880" s="1"/>
        <n x="62" s="1"/>
        <n x="118"/>
        <n x="129"/>
        <n x="7"/>
      </t>
    </mdx>
    <mdx n="21" f="v">
      <t c="6">
        <n x="898" s="1"/>
        <n x="888" s="1"/>
        <n x="880" s="1"/>
        <n x="62" s="1"/>
        <n x="100"/>
        <n x="7"/>
      </t>
    </mdx>
    <mdx n="21" f="v">
      <t c="7">
        <n x="898" s="1"/>
        <n x="888" s="1"/>
        <n x="880" s="1"/>
        <n x="62" s="1"/>
        <n x="127"/>
        <n x="119"/>
        <n x="7"/>
      </t>
    </mdx>
    <mdx n="21" f="v">
      <t c="7">
        <n x="898" s="1"/>
        <n x="888" s="1"/>
        <n x="880" s="1"/>
        <n x="62" s="1"/>
        <n x="126"/>
        <n x="132"/>
        <n x="7"/>
      </t>
    </mdx>
    <mdx n="21" f="v">
      <t c="6">
        <n x="898" s="1"/>
        <n x="888" s="1"/>
        <n x="880" s="1"/>
        <n x="62" s="1"/>
        <n x="147"/>
        <n x="7"/>
      </t>
    </mdx>
    <mdx n="21" f="v">
      <t c="6">
        <n x="898" s="1"/>
        <n x="888" s="1"/>
        <n x="880" s="1"/>
        <n x="62" s="1"/>
        <n x="73"/>
        <n x="7"/>
      </t>
    </mdx>
    <mdx n="21" f="v">
      <t c="6">
        <n x="898" s="1"/>
        <n x="888" s="1"/>
        <n x="880" s="1"/>
        <n x="62" s="1"/>
        <n x="98"/>
        <n x="7"/>
      </t>
    </mdx>
    <mdx n="21" f="v">
      <t c="7">
        <n x="898" s="1"/>
        <n x="888" s="1"/>
        <n x="880" s="1"/>
        <n x="62" s="1"/>
        <n x="133"/>
        <n x="129"/>
        <n x="7"/>
      </t>
    </mdx>
    <mdx n="21" f="v">
      <t c="7">
        <n x="898" s="1"/>
        <n x="888" s="1"/>
        <n x="880" s="1"/>
        <n x="62" s="1"/>
        <n x="127"/>
        <n x="124"/>
        <n x="7"/>
      </t>
    </mdx>
    <mdx n="21" f="v">
      <t c="7">
        <n x="898" s="1"/>
        <n x="888" s="1"/>
        <n x="880" s="1"/>
        <n x="62" s="1"/>
        <n x="126"/>
        <n x="120"/>
        <n x="7"/>
      </t>
    </mdx>
    <mdx n="21" f="v">
      <t c="7">
        <n x="898" s="1"/>
        <n x="888" s="1"/>
        <n x="880" s="1"/>
        <n x="62" s="1"/>
        <n x="126"/>
        <n x="122"/>
        <n x="7"/>
      </t>
    </mdx>
    <mdx n="21" f="v">
      <t c="7">
        <n x="898" s="1"/>
        <n x="888" s="1"/>
        <n x="880" s="1"/>
        <n x="62" s="1"/>
        <n x="127"/>
        <n x="131"/>
        <n x="7"/>
      </t>
    </mdx>
    <mdx n="21" f="v">
      <t c="7">
        <n x="898" s="1"/>
        <n x="888" s="1"/>
        <n x="880" s="1"/>
        <n x="62" s="1"/>
        <n x="125"/>
        <n x="130"/>
        <n x="7"/>
      </t>
    </mdx>
    <mdx n="21" f="v">
      <t c="7">
        <n x="898" s="1"/>
        <n x="888" s="1"/>
        <n x="880" s="1"/>
        <n x="62" s="1"/>
        <n x="127"/>
        <n x="128"/>
        <n x="7"/>
      </t>
    </mdx>
    <mdx n="21" f="v">
      <t c="6">
        <n x="898" s="1"/>
        <n x="888" s="1"/>
        <n x="880" s="1"/>
        <n x="62" s="1"/>
        <n x="75"/>
        <n x="7"/>
      </t>
    </mdx>
    <mdx n="21" f="v">
      <t c="6">
        <n x="898" s="1"/>
        <n x="888" s="1"/>
        <n x="880" s="1"/>
        <n x="62" s="1"/>
        <n x="68"/>
        <n x="7"/>
      </t>
    </mdx>
    <mdx n="21" f="v">
      <t c="6">
        <n x="898" s="1"/>
        <n x="888" s="1"/>
        <n x="880" s="1"/>
        <n x="62" s="1"/>
        <n x="70"/>
        <n x="7"/>
      </t>
    </mdx>
    <mdx n="21" f="v">
      <t c="6">
        <n x="898" s="1"/>
        <n x="888" s="1"/>
        <n x="880" s="1"/>
        <n x="62" s="1"/>
        <n x="86"/>
        <n x="7"/>
      </t>
    </mdx>
    <mdx n="21" f="v">
      <t c="6">
        <n x="898" s="1"/>
        <n x="888" s="1"/>
        <n x="880" s="1"/>
        <n x="62" s="1"/>
        <n x="83"/>
        <n x="7"/>
      </t>
    </mdx>
    <mdx n="21" f="v">
      <t c="6">
        <n x="898" s="1"/>
        <n x="888" s="1"/>
        <n x="880" s="1"/>
        <n x="62" s="1"/>
        <n x="90"/>
        <n x="7"/>
      </t>
    </mdx>
    <mdx n="21" f="v">
      <t c="6">
        <n x="898" s="1"/>
        <n x="888" s="1"/>
        <n x="880" s="1"/>
        <n x="62" s="1"/>
        <n x="77"/>
        <n x="7"/>
      </t>
    </mdx>
    <mdx n="21" f="v">
      <t c="6">
        <n x="898" s="1"/>
        <n x="888" s="1"/>
        <n x="880" s="1"/>
        <n x="62" s="1"/>
        <n x="72"/>
        <n x="7"/>
      </t>
    </mdx>
    <mdx n="21" f="v">
      <t c="6">
        <n x="898" s="1"/>
        <n x="888" s="1"/>
        <n x="880" s="1"/>
        <n x="62" s="1"/>
        <n x="78"/>
        <n x="7"/>
      </t>
    </mdx>
    <mdx n="21" f="v">
      <t c="6">
        <n x="898" s="1"/>
        <n x="888" s="1"/>
        <n x="880" s="1"/>
        <n x="62" s="1"/>
        <n x="71"/>
        <n x="7"/>
      </t>
    </mdx>
    <mdx n="21" f="v">
      <t c="6">
        <n x="898" s="1"/>
        <n x="888" s="1"/>
        <n x="880" s="1"/>
        <n x="62" s="1"/>
        <n x="82"/>
        <n x="7"/>
      </t>
    </mdx>
    <mdx n="21" f="v">
      <t c="6">
        <n x="898" s="1"/>
        <n x="888" s="1"/>
        <n x="880" s="1"/>
        <n x="62" s="1"/>
        <n x="89"/>
        <n x="7"/>
      </t>
    </mdx>
    <mdx n="21" f="v">
      <t c="6">
        <n x="898" s="1"/>
        <n x="888" s="1"/>
        <n x="880" s="1"/>
        <n x="62" s="1"/>
        <n x="76"/>
        <n x="7"/>
      </t>
    </mdx>
    <mdx n="21" f="v">
      <t c="6">
        <n x="898" s="1"/>
        <n x="888" s="1"/>
        <n x="880" s="1"/>
        <n x="62" s="1"/>
        <n x="91"/>
        <n x="7"/>
      </t>
    </mdx>
    <mdx n="21" f="v">
      <t c="6">
        <n x="898" s="1"/>
        <n x="888" s="1"/>
        <n x="880" s="1"/>
        <n x="62" s="1"/>
        <n x="81"/>
        <n x="7"/>
      </t>
    </mdx>
    <mdx n="21" f="v">
      <t c="6">
        <n x="898" s="1"/>
        <n x="888" s="1"/>
        <n x="880" s="1"/>
        <n x="62" s="1"/>
        <n x="141"/>
        <n x="7"/>
      </t>
    </mdx>
    <mdx n="21" f="v">
      <t c="6">
        <n x="898" s="1"/>
        <n x="888" s="1"/>
        <n x="880" s="1"/>
        <n x="62" s="1"/>
        <n x="152"/>
        <n x="7"/>
      </t>
    </mdx>
    <mdx n="21" f="v">
      <t c="6">
        <n x="898" s="1"/>
        <n x="888" s="1"/>
        <n x="880" s="1"/>
        <n x="62" s="1"/>
        <n x="156"/>
        <n x="7"/>
      </t>
    </mdx>
    <mdx n="21" f="v">
      <t c="6">
        <n x="898" s="1"/>
        <n x="888" s="1"/>
        <n x="880" s="1"/>
        <n x="62" s="1"/>
        <n x="69"/>
        <n x="7"/>
      </t>
    </mdx>
    <mdx n="21" f="v">
      <t c="6">
        <n x="898" s="1"/>
        <n x="888" s="1"/>
        <n x="880" s="1"/>
        <n x="62" s="1"/>
        <n x="107"/>
        <n x="7"/>
      </t>
    </mdx>
    <mdx n="21" f="v">
      <t c="6">
        <n x="898" s="1"/>
        <n x="888" s="1"/>
        <n x="880" s="1"/>
        <n x="62" s="1"/>
        <n x="74"/>
        <n x="7"/>
      </t>
    </mdx>
    <mdx n="21" f="v">
      <t c="6">
        <n x="898" s="1"/>
        <n x="888" s="1"/>
        <n x="880" s="1"/>
        <n x="62" s="1"/>
        <n x="94"/>
        <n x="7"/>
      </t>
    </mdx>
    <mdx n="21" f="v">
      <t c="7">
        <n x="898" s="1"/>
        <n x="888" s="1"/>
        <n x="880" s="1"/>
        <n x="62" s="1"/>
        <n x="127"/>
        <n x="122"/>
        <n x="7"/>
      </t>
    </mdx>
    <mdx n="21" f="v">
      <t c="6">
        <n x="898" s="1"/>
        <n x="888" s="1"/>
        <n x="880" s="1"/>
        <n x="62" s="1"/>
        <n x="117"/>
        <n x="7"/>
      </t>
    </mdx>
    <mdx n="21" f="v">
      <t c="6">
        <n x="898" s="1"/>
        <n x="888" s="1"/>
        <n x="880" s="1"/>
        <n x="62" s="1"/>
        <n x="105"/>
        <n x="7"/>
      </t>
    </mdx>
    <mdx n="21" f="v">
      <t c="7">
        <n x="898" s="1"/>
        <n x="888" s="1"/>
        <n x="880" s="1"/>
        <n x="62" s="1"/>
        <n x="126"/>
        <n x="124"/>
        <n x="7"/>
      </t>
    </mdx>
    <mdx n="21" f="v">
      <t c="7">
        <n x="898" s="1"/>
        <n x="888" s="1"/>
        <n x="880" s="1"/>
        <n x="62" s="1"/>
        <n x="126"/>
        <n x="130"/>
        <n x="7"/>
      </t>
    </mdx>
    <mdx n="21" f="v">
      <t c="6">
        <n x="898" s="1"/>
        <n x="888" s="1"/>
        <n x="880" s="1"/>
        <n x="62" s="1"/>
        <n x="137"/>
        <n x="7"/>
      </t>
    </mdx>
    <mdx n="21" f="v">
      <t c="6">
        <n x="898" s="1"/>
        <n x="888" s="1"/>
        <n x="880" s="1"/>
        <n x="62" s="1"/>
        <n x="144"/>
        <n x="7"/>
      </t>
    </mdx>
    <mdx n="21" f="v">
      <t c="6">
        <n x="898" s="1"/>
        <n x="888" s="1"/>
        <n x="880" s="1"/>
        <n x="62" s="1"/>
        <n x="194"/>
        <n x="7"/>
      </t>
    </mdx>
    <mdx n="21" f="v">
      <t c="6">
        <n x="898" s="1"/>
        <n x="888" s="1"/>
        <n x="880" s="1"/>
        <n x="62" s="1"/>
        <n x="140"/>
        <n x="7"/>
      </t>
    </mdx>
    <mdx n="21" f="v">
      <t c="6">
        <n x="898" s="1"/>
        <n x="888" s="1"/>
        <n x="880" s="1"/>
        <n x="62" s="1"/>
        <n x="166"/>
        <n x="7"/>
      </t>
    </mdx>
    <mdx n="21" f="v">
      <t c="6">
        <n x="898" s="1"/>
        <n x="888" s="1"/>
        <n x="880" s="1"/>
        <n x="62" s="1"/>
        <n x="204"/>
        <n x="7"/>
      </t>
    </mdx>
    <mdx n="21" f="v">
      <t c="6">
        <n x="898" s="1"/>
        <n x="888" s="1"/>
        <n x="880" s="1"/>
        <n x="62" s="1"/>
        <n x="171"/>
        <n x="7"/>
      </t>
    </mdx>
    <mdx n="21" f="v">
      <t c="6">
        <n x="898" s="1"/>
        <n x="888" s="1"/>
        <n x="880" s="1"/>
        <n x="62" s="1"/>
        <n x="168"/>
        <n x="7"/>
      </t>
    </mdx>
    <mdx n="21" f="v">
      <t c="6">
        <n x="898" s="1"/>
        <n x="888" s="1"/>
        <n x="880" s="1"/>
        <n x="62" s="1"/>
        <n x="96"/>
        <n x="7"/>
      </t>
    </mdx>
    <mdx n="21" f="v">
      <t c="6">
        <n x="898" s="1"/>
        <n x="888" s="1"/>
        <n x="880" s="1"/>
        <n x="62" s="1"/>
        <n x="221"/>
        <n x="7"/>
      </t>
    </mdx>
    <mdx n="21" f="v">
      <t c="6">
        <n x="898" s="1"/>
        <n x="888" s="1"/>
        <n x="880" s="1"/>
        <n x="62" s="1"/>
        <n x="208"/>
        <n x="7"/>
      </t>
    </mdx>
    <mdx n="21" f="v">
      <t c="6">
        <n x="898" s="1"/>
        <n x="888" s="1"/>
        <n x="880" s="1"/>
        <n x="62" s="1"/>
        <n x="185"/>
        <n x="7"/>
      </t>
    </mdx>
    <mdx n="21" f="v">
      <t c="6">
        <n x="898" s="1"/>
        <n x="888" s="1"/>
        <n x="880" s="1"/>
        <n x="62" s="1"/>
        <n x="161"/>
        <n x="7"/>
      </t>
    </mdx>
    <mdx n="21" f="v">
      <t c="6">
        <n x="898" s="1"/>
        <n x="888" s="1"/>
        <n x="880" s="1"/>
        <n x="62" s="1"/>
        <n x="211"/>
        <n x="7"/>
      </t>
    </mdx>
    <mdx n="21" f="v">
      <t c="6">
        <n x="898" s="1"/>
        <n x="888" s="1"/>
        <n x="880" s="1"/>
        <n x="62" s="1"/>
        <n x="151"/>
        <n x="7"/>
      </t>
    </mdx>
    <mdx n="21" f="v">
      <t c="6">
        <n x="898" s="1"/>
        <n x="888" s="1"/>
        <n x="880" s="1"/>
        <n x="62" s="1"/>
        <n x="84"/>
        <n x="7"/>
      </t>
    </mdx>
    <mdx n="21" f="v">
      <t c="6">
        <n x="898" s="1"/>
        <n x="888" s="1"/>
        <n x="880" s="1"/>
        <n x="62" s="1"/>
        <n x="173"/>
        <n x="7"/>
      </t>
    </mdx>
    <mdx n="21" f="v">
      <t c="6">
        <n x="898" s="1"/>
        <n x="888" s="1"/>
        <n x="880" s="1"/>
        <n x="62" s="1"/>
        <n x="199"/>
        <n x="7"/>
      </t>
    </mdx>
    <mdx n="21" f="v">
      <t c="6">
        <n x="898" s="1"/>
        <n x="888" s="1"/>
        <n x="880" s="1"/>
        <n x="62" s="1"/>
        <n x="242"/>
        <n x="7"/>
      </t>
    </mdx>
    <mdx n="21" f="v">
      <t c="6">
        <n x="898" s="1"/>
        <n x="888" s="1"/>
        <n x="880" s="1"/>
        <n x="62" s="1"/>
        <n x="148"/>
        <n x="7"/>
      </t>
    </mdx>
    <mdx n="21" f="v">
      <t c="6">
        <n x="898" s="1"/>
        <n x="888" s="1"/>
        <n x="880" s="1"/>
        <n x="62" s="1"/>
        <n x="87"/>
        <n x="7"/>
      </t>
    </mdx>
    <mdx n="21" f="v">
      <t c="6">
        <n x="898" s="1"/>
        <n x="888" s="1"/>
        <n x="880" s="1"/>
        <n x="62" s="1"/>
        <n x="145"/>
        <n x="7"/>
      </t>
    </mdx>
    <mdx n="21" f="v">
      <t c="6">
        <n x="898" s="1"/>
        <n x="888" s="1"/>
        <n x="880" s="1"/>
        <n x="62" s="1"/>
        <n x="162"/>
        <n x="7"/>
      </t>
    </mdx>
    <mdx n="21" f="v">
      <t c="6">
        <n x="898" s="1"/>
        <n x="888" s="1"/>
        <n x="880" s="1"/>
        <n x="62" s="1"/>
        <n x="153"/>
        <n x="7"/>
      </t>
    </mdx>
    <mdx n="21" f="v">
      <t c="6">
        <n x="898" s="1"/>
        <n x="888" s="1"/>
        <n x="880" s="1"/>
        <n x="62" s="1"/>
        <n x="138"/>
        <n x="7"/>
      </t>
    </mdx>
    <mdx n="474" f="v">
      <t c="7">
        <n x="898" s="1"/>
        <n x="889" s="1"/>
        <n x="881" s="1"/>
        <n x="880" s="1"/>
        <n x="485"/>
        <n x="723"/>
        <n x="7"/>
      </t>
    </mdx>
    <mdx n="474" f="v">
      <t c="7">
        <n x="898" s="1"/>
        <n x="889" s="1"/>
        <n x="881" s="1"/>
        <n x="880" s="1"/>
        <n x="485"/>
        <n x="708"/>
        <n x="7"/>
      </t>
    </mdx>
    <mdx n="474" f="v">
      <t c="7">
        <n x="898" s="1"/>
        <n x="889" s="1"/>
        <n x="881" s="1"/>
        <n x="880" s="1"/>
        <n x="485"/>
        <n x="634"/>
        <n x="7"/>
      </t>
    </mdx>
    <mdx n="474" f="v">
      <t c="7">
        <n x="898" s="1"/>
        <n x="889" s="1"/>
        <n x="881" s="1"/>
        <n x="880" s="1"/>
        <n x="484"/>
        <n x="848"/>
        <n x="7"/>
      </t>
    </mdx>
    <mdx n="474" f="v">
      <t c="7">
        <n x="898" s="1"/>
        <n x="889" s="1"/>
        <n x="881" s="1"/>
        <n x="880" s="1"/>
        <n x="484"/>
        <n x="859"/>
        <n x="7"/>
      </t>
    </mdx>
    <mdx n="474" f="v">
      <t c="7">
        <n x="898" s="1"/>
        <n x="889" s="1"/>
        <n x="881" s="1"/>
        <n x="880" s="1"/>
        <n x="484"/>
        <n x="497"/>
        <n x="7"/>
      </t>
    </mdx>
    <mdx n="474" f="v">
      <t c="7">
        <n x="898" s="1"/>
        <n x="889" s="1"/>
        <n x="881" s="1"/>
        <n x="880" s="1"/>
        <n x="485"/>
        <n x="694"/>
        <n x="7"/>
      </t>
    </mdx>
    <mdx n="474" f="v">
      <t c="7">
        <n x="898" s="1"/>
        <n x="889" s="1"/>
        <n x="881" s="1"/>
        <n x="880" s="1"/>
        <n x="485"/>
        <n x="704"/>
        <n x="7"/>
      </t>
    </mdx>
    <mdx n="474" f="v">
      <t c="7">
        <n x="898" s="1"/>
        <n x="889" s="1"/>
        <n x="881" s="1"/>
        <n x="880" s="1"/>
        <n x="484"/>
        <n x="837"/>
        <n x="7"/>
      </t>
    </mdx>
    <mdx n="474" f="v">
      <t c="7">
        <n x="898" s="1"/>
        <n x="889" s="1"/>
        <n x="881" s="1"/>
        <n x="880" s="1"/>
        <n x="485"/>
        <n x="789"/>
        <n x="7"/>
      </t>
    </mdx>
    <mdx n="474" f="v">
      <t c="7">
        <n x="898" s="1"/>
        <n x="889" s="1"/>
        <n x="881" s="1"/>
        <n x="880" s="1"/>
        <n x="484"/>
        <n x="549"/>
        <n x="7"/>
      </t>
    </mdx>
    <mdx n="474" f="v">
      <t c="7">
        <n x="898" s="1"/>
        <n x="889" s="1"/>
        <n x="881" s="1"/>
        <n x="880" s="1"/>
        <n x="484"/>
        <n x="503"/>
        <n x="7"/>
      </t>
    </mdx>
    <mdx n="474" f="v">
      <t c="7">
        <n x="898" s="1"/>
        <n x="889" s="1"/>
        <n x="881" s="1"/>
        <n x="880" s="1"/>
        <n x="478"/>
        <n x="490"/>
        <n x="7"/>
      </t>
    </mdx>
    <mdx n="474" f="v">
      <t c="7">
        <n x="898" s="1"/>
        <n x="889" s="1"/>
        <n x="881" s="1"/>
        <n x="880" s="1"/>
        <n x="485"/>
        <n x="854"/>
        <n x="7"/>
      </t>
    </mdx>
    <mdx n="474" f="v">
      <t c="7">
        <n x="898" s="1"/>
        <n x="889" s="1"/>
        <n x="881" s="1"/>
        <n x="880" s="1"/>
        <n x="485"/>
        <n x="631"/>
        <n x="7"/>
      </t>
    </mdx>
    <mdx n="474" f="v">
      <t c="7">
        <n x="898" s="1"/>
        <n x="889" s="1"/>
        <n x="881" s="1"/>
        <n x="880" s="1"/>
        <n x="484"/>
        <n x="537"/>
        <n x="7"/>
      </t>
    </mdx>
    <mdx n="474" f="v">
      <t c="7">
        <n x="898" s="1"/>
        <n x="889" s="1"/>
        <n x="881" s="1"/>
        <n x="880" s="1"/>
        <n x="485"/>
        <n x="685"/>
        <n x="7"/>
      </t>
    </mdx>
    <mdx n="474" f="v">
      <t c="7">
        <n x="898" s="1"/>
        <n x="889" s="1"/>
        <n x="881" s="1"/>
        <n x="880" s="1"/>
        <n x="485"/>
        <n x="749"/>
        <n x="7"/>
      </t>
    </mdx>
    <mdx n="474" f="v">
      <t c="7">
        <n x="898" s="1"/>
        <n x="889" s="1"/>
        <n x="881" s="1"/>
        <n x="880" s="1"/>
        <n x="484"/>
        <n x="536"/>
        <n x="7"/>
      </t>
    </mdx>
    <mdx n="474" f="v">
      <t c="7">
        <n x="898" s="1"/>
        <n x="889" s="1"/>
        <n x="881" s="1"/>
        <n x="880" s="1"/>
        <n x="484"/>
        <n x="627"/>
        <n x="7"/>
      </t>
    </mdx>
    <mdx n="474" f="v">
      <t c="7">
        <n x="898" s="1"/>
        <n x="889" s="1"/>
        <n x="881" s="1"/>
        <n x="880" s="1"/>
        <n x="484"/>
        <n x="593"/>
        <n x="7"/>
      </t>
    </mdx>
    <mdx n="474" f="v">
      <t c="7">
        <n x="898" s="1"/>
        <n x="889" s="1"/>
        <n x="881" s="1"/>
        <n x="880" s="1"/>
        <n x="485"/>
        <n x="766"/>
        <n x="7"/>
      </t>
    </mdx>
    <mdx n="474" f="v">
      <t c="7">
        <n x="898" s="1"/>
        <n x="889" s="1"/>
        <n x="881" s="1"/>
        <n x="880" s="1"/>
        <n x="485"/>
        <n x="669"/>
        <n x="7"/>
      </t>
    </mdx>
    <mdx n="474" f="v">
      <t c="7">
        <n x="898" s="1"/>
        <n x="889" s="1"/>
        <n x="881" s="1"/>
        <n x="880" s="1"/>
        <n x="484"/>
        <n x="539"/>
        <n x="7"/>
      </t>
    </mdx>
    <mdx n="474" f="v">
      <t c="7">
        <n x="898" s="1"/>
        <n x="889" s="1"/>
        <n x="881" s="1"/>
        <n x="880" s="1"/>
        <n x="484"/>
        <n x="592"/>
        <n x="7"/>
      </t>
    </mdx>
    <mdx n="474" f="v">
      <t c="7">
        <n x="898" s="1"/>
        <n x="889" s="1"/>
        <n x="881" s="1"/>
        <n x="880" s="1"/>
        <n x="485"/>
        <n x="671"/>
        <n x="7"/>
      </t>
    </mdx>
    <mdx n="474" f="v">
      <t c="7">
        <n x="898" s="1"/>
        <n x="889" s="1"/>
        <n x="881" s="1"/>
        <n x="880" s="1"/>
        <n x="478"/>
        <n x="563"/>
        <n x="7"/>
      </t>
    </mdx>
    <mdx n="474" f="v">
      <t c="7">
        <n x="898" s="1"/>
        <n x="889" s="1"/>
        <n x="881" s="1"/>
        <n x="880" s="1"/>
        <n x="484"/>
        <n x="551"/>
        <n x="7"/>
      </t>
    </mdx>
    <mdx n="474" f="v">
      <t c="7">
        <n x="898" s="1"/>
        <n x="889" s="1"/>
        <n x="881" s="1"/>
        <n x="880" s="1"/>
        <n x="484"/>
        <n x="527"/>
        <n x="7"/>
      </t>
    </mdx>
    <mdx n="474" f="v">
      <t c="7">
        <n x="898" s="1"/>
        <n x="889" s="1"/>
        <n x="881" s="1"/>
        <n x="880" s="1"/>
        <n x="485"/>
        <n x="722"/>
        <n x="7"/>
      </t>
    </mdx>
    <mdx n="474" f="v">
      <t c="7">
        <n x="898" s="1"/>
        <n x="889" s="1"/>
        <n x="881" s="1"/>
        <n x="880" s="1"/>
        <n x="484"/>
        <n x="548"/>
        <n x="7"/>
      </t>
    </mdx>
    <mdx n="474" f="v">
      <t c="7">
        <n x="898" s="1"/>
        <n x="889" s="1"/>
        <n x="881" s="1"/>
        <n x="880" s="1"/>
        <n x="485"/>
        <n x="683"/>
        <n x="7"/>
      </t>
    </mdx>
    <mdx n="474" f="v">
      <t c="7">
        <n x="898" s="1"/>
        <n x="889" s="1"/>
        <n x="881" s="1"/>
        <n x="880" s="1"/>
        <n x="484"/>
        <n x="624"/>
        <n x="7"/>
      </t>
    </mdx>
    <mdx n="474" f="v">
      <t c="7">
        <n x="898" s="1"/>
        <n x="889" s="1"/>
        <n x="881" s="1"/>
        <n x="880" s="1"/>
        <n x="485"/>
        <n x="664"/>
        <n x="7"/>
      </t>
    </mdx>
    <mdx n="474" f="v">
      <t c="7">
        <n x="898" s="1"/>
        <n x="889" s="1"/>
        <n x="881" s="1"/>
        <n x="880" s="1"/>
        <n x="485"/>
        <n x="852"/>
        <n x="7"/>
      </t>
    </mdx>
    <mdx n="474" f="v">
      <t c="7">
        <n x="898" s="1"/>
        <n x="889" s="1"/>
        <n x="881" s="1"/>
        <n x="880" s="1"/>
        <n x="485"/>
        <n x="777"/>
        <n x="7"/>
      </t>
    </mdx>
    <mdx n="474" f="v">
      <t c="7">
        <n x="898" s="1"/>
        <n x="889" s="1"/>
        <n x="881" s="1"/>
        <n x="880" s="1"/>
        <n x="485"/>
        <n x="658"/>
        <n x="7"/>
      </t>
    </mdx>
    <mdx n="474" f="v">
      <t c="7">
        <n x="898" s="1"/>
        <n x="889" s="1"/>
        <n x="881" s="1"/>
        <n x="880" s="1"/>
        <n x="484"/>
        <n x="857"/>
        <n x="7"/>
      </t>
    </mdx>
    <mdx n="474" f="v">
      <t c="7">
        <n x="898" s="1"/>
        <n x="889" s="1"/>
        <n x="881" s="1"/>
        <n x="880" s="1"/>
        <n x="485"/>
        <n x="746"/>
        <n x="7"/>
      </t>
    </mdx>
    <mdx n="474" f="v">
      <t c="7">
        <n x="898" s="1"/>
        <n x="889" s="1"/>
        <n x="881" s="1"/>
        <n x="880" s="1"/>
        <n x="485"/>
        <n x="851"/>
        <n x="7"/>
      </t>
    </mdx>
    <mdx n="474" f="v">
      <t c="7">
        <n x="898" s="1"/>
        <n x="889" s="1"/>
        <n x="881" s="1"/>
        <n x="880" s="1"/>
        <n x="485"/>
        <n x="659"/>
        <n x="7"/>
      </t>
    </mdx>
    <mdx n="474" f="v">
      <t c="7">
        <n x="898" s="1"/>
        <n x="889" s="1"/>
        <n x="881" s="1"/>
        <n x="880" s="1"/>
        <n x="485"/>
        <n x="839"/>
        <n x="7"/>
      </t>
    </mdx>
    <mdx n="474" f="v">
      <t c="7">
        <n x="898" s="1"/>
        <n x="889" s="1"/>
        <n x="881" s="1"/>
        <n x="880" s="1"/>
        <n x="485"/>
        <n x="654"/>
        <n x="7"/>
      </t>
    </mdx>
    <mdx n="474" f="v">
      <t c="7">
        <n x="898" s="1"/>
        <n x="889" s="1"/>
        <n x="881" s="1"/>
        <n x="880" s="1"/>
        <n x="484"/>
        <n x="521"/>
        <n x="7"/>
      </t>
    </mdx>
    <mdx n="474" f="v">
      <t c="7">
        <n x="898" s="1"/>
        <n x="889" s="1"/>
        <n x="881" s="1"/>
        <n x="880" s="1"/>
        <n x="485"/>
        <n x="744"/>
        <n x="7"/>
      </t>
    </mdx>
    <mdx n="474" f="v">
      <t c="7">
        <n x="898" s="1"/>
        <n x="889" s="1"/>
        <n x="881" s="1"/>
        <n x="880" s="1"/>
        <n x="485"/>
        <n x="865"/>
        <n x="7"/>
      </t>
    </mdx>
    <mdx n="474" f="v">
      <t c="7">
        <n x="898" s="1"/>
        <n x="889" s="1"/>
        <n x="881" s="1"/>
        <n x="880" s="1"/>
        <n x="484"/>
        <n x="540"/>
        <n x="7"/>
      </t>
    </mdx>
    <mdx n="474" f="v">
      <t c="7">
        <n x="898" s="1"/>
        <n x="889" s="1"/>
        <n x="881" s="1"/>
        <n x="880" s="1"/>
        <n x="485"/>
        <n x="697"/>
        <n x="7"/>
      </t>
    </mdx>
    <mdx n="474" f="v">
      <t c="7">
        <n x="898" s="1"/>
        <n x="889" s="1"/>
        <n x="881" s="1"/>
        <n x="880" s="1"/>
        <n x="484"/>
        <n x="580"/>
        <n x="7"/>
      </t>
    </mdx>
    <mdx n="474" f="v">
      <t c="7">
        <n x="898" s="1"/>
        <n x="889" s="1"/>
        <n x="881" s="1"/>
        <n x="880" s="1"/>
        <n x="485"/>
        <n x="761"/>
        <n x="7"/>
      </t>
    </mdx>
    <mdx n="474" f="v">
      <t c="7">
        <n x="898" s="1"/>
        <n x="889" s="1"/>
        <n x="881" s="1"/>
        <n x="880" s="1"/>
        <n x="485"/>
        <n x="771"/>
        <n x="7"/>
      </t>
    </mdx>
    <mdx n="474" f="v">
      <t c="7">
        <n x="898" s="1"/>
        <n x="889" s="1"/>
        <n x="881" s="1"/>
        <n x="880" s="1"/>
        <n x="478"/>
        <n x="493"/>
        <n x="7"/>
      </t>
    </mdx>
    <mdx n="474" f="v">
      <t c="7">
        <n x="898" s="1"/>
        <n x="889" s="1"/>
        <n x="881" s="1"/>
        <n x="880" s="1"/>
        <n x="484"/>
        <n x="591"/>
        <n x="7"/>
      </t>
    </mdx>
    <mdx n="474" f="v">
      <t c="7">
        <n x="898" s="1"/>
        <n x="889" s="1"/>
        <n x="881" s="1"/>
        <n x="880" s="1"/>
        <n x="485"/>
        <n x="784"/>
        <n x="7"/>
      </t>
    </mdx>
    <mdx n="474" f="v">
      <t c="7">
        <n x="898" s="1"/>
        <n x="889" s="1"/>
        <n x="881" s="1"/>
        <n x="880" s="1"/>
        <n x="485"/>
        <n x="721"/>
        <n x="7"/>
      </t>
    </mdx>
    <mdx n="474" f="v">
      <t c="7">
        <n x="898" s="1"/>
        <n x="889" s="1"/>
        <n x="881" s="1"/>
        <n x="880" s="1"/>
        <n x="484"/>
        <n x="578"/>
        <n x="7"/>
      </t>
    </mdx>
    <mdx n="474" f="v">
      <t c="7">
        <n x="898" s="1"/>
        <n x="889" s="1"/>
        <n x="881" s="1"/>
        <n x="880" s="1"/>
        <n x="485"/>
        <n x="672"/>
        <n x="7"/>
      </t>
    </mdx>
    <mdx n="474" f="v">
      <t c="7">
        <n x="898" s="1"/>
        <n x="889" s="1"/>
        <n x="881" s="1"/>
        <n x="880" s="1"/>
        <n x="484"/>
        <n x="574"/>
        <n x="7"/>
      </t>
    </mdx>
    <mdx n="474" f="v">
      <t c="7">
        <n x="898" s="1"/>
        <n x="889" s="1"/>
        <n x="881" s="1"/>
        <n x="880" s="1"/>
        <n x="477"/>
        <n x="796"/>
        <n x="810"/>
      </t>
    </mdx>
    <mdx n="474" f="v">
      <t c="7">
        <n x="898" s="1"/>
        <n x="889" s="1"/>
        <n x="881" s="1"/>
        <n x="880" s="1"/>
        <n x="478"/>
        <n x="479"/>
        <n x="7"/>
      </t>
    </mdx>
    <mdx n="474" f="v">
      <t c="7">
        <n x="898" s="1"/>
        <n x="889" s="1"/>
        <n x="881" s="1"/>
        <n x="880" s="1"/>
        <n x="477"/>
        <n x="796"/>
        <n x="816"/>
      </t>
    </mdx>
    <mdx n="474" f="v">
      <t c="7">
        <n x="898" s="1"/>
        <n x="889" s="1"/>
        <n x="881" s="1"/>
        <n x="880" s="1"/>
        <n x="485"/>
        <n x="675"/>
        <n x="7"/>
      </t>
    </mdx>
    <mdx n="474" f="v">
      <t c="7">
        <n x="898" s="1"/>
        <n x="889" s="1"/>
        <n x="881" s="1"/>
        <n x="880" s="1"/>
        <n x="485"/>
        <n x="863"/>
        <n x="7"/>
      </t>
    </mdx>
    <mdx n="474" f="v">
      <t c="7">
        <n x="898" s="1"/>
        <n x="889" s="1"/>
        <n x="881" s="1"/>
        <n x="880" s="1"/>
        <n x="484"/>
        <n x="615"/>
        <n x="7"/>
      </t>
    </mdx>
    <mdx n="474" f="v">
      <t c="7">
        <n x="898" s="1"/>
        <n x="889" s="1"/>
        <n x="881" s="1"/>
        <n x="880" s="1"/>
        <n x="484"/>
        <n x="835"/>
        <n x="7"/>
      </t>
    </mdx>
    <mdx n="474" f="v">
      <t c="7">
        <n x="898" s="1"/>
        <n x="889" s="1"/>
        <n x="881" s="1"/>
        <n x="880" s="1"/>
        <n x="485"/>
        <n x="642"/>
        <n x="7"/>
      </t>
    </mdx>
    <mdx n="474" f="v">
      <t c="6">
        <n x="898" s="1"/>
        <n x="889" s="1"/>
        <n x="881" s="1"/>
        <n x="880" s="1"/>
        <n x="804"/>
        <n x="477"/>
      </t>
    </mdx>
    <mdx n="474" f="v">
      <t c="7">
        <n x="898" s="1"/>
        <n x="889" s="1"/>
        <n x="881" s="1"/>
        <n x="880" s="1"/>
        <n x="485"/>
        <n x="701"/>
        <n x="7"/>
      </t>
    </mdx>
    <mdx n="474" f="v">
      <t c="7">
        <n x="898" s="1"/>
        <n x="889" s="1"/>
        <n x="881" s="1"/>
        <n x="880" s="1"/>
        <n x="485"/>
        <n x="652"/>
        <n x="7"/>
      </t>
    </mdx>
    <mdx n="474" f="v">
      <t c="7">
        <n x="898" s="1"/>
        <n x="889" s="1"/>
        <n x="881" s="1"/>
        <n x="880" s="1"/>
        <n x="485"/>
        <n x="787"/>
        <n x="7"/>
      </t>
    </mdx>
    <mdx n="474" f="v">
      <t c="7">
        <n x="898" s="1"/>
        <n x="889" s="1"/>
        <n x="881" s="1"/>
        <n x="880" s="1"/>
        <n x="485"/>
        <n x="760"/>
        <n x="7"/>
      </t>
    </mdx>
    <mdx n="474" f="v">
      <t c="7">
        <n x="898" s="1"/>
        <n x="889" s="1"/>
        <n x="881" s="1"/>
        <n x="880" s="1"/>
        <n x="484"/>
        <n x="550"/>
        <n x="7"/>
      </t>
    </mdx>
    <mdx n="474" f="v">
      <t c="7">
        <n x="898" s="1"/>
        <n x="889" s="1"/>
        <n x="881" s="1"/>
        <n x="880" s="1"/>
        <n x="485"/>
        <n x="655"/>
        <n x="7"/>
      </t>
    </mdx>
    <mdx n="474" f="v">
      <t c="7">
        <n x="898" s="1"/>
        <n x="889" s="1"/>
        <n x="881" s="1"/>
        <n x="880" s="1"/>
        <n x="484"/>
        <n x="523"/>
        <n x="7"/>
      </t>
    </mdx>
    <mdx n="474" f="v">
      <t c="7">
        <n x="898" s="1"/>
        <n x="889" s="1"/>
        <n x="881" s="1"/>
        <n x="880" s="1"/>
        <n x="484"/>
        <n x="609"/>
        <n x="7"/>
      </t>
    </mdx>
    <mdx n="474" f="v">
      <t c="7">
        <n x="898" s="1"/>
        <n x="889" s="1"/>
        <n x="881" s="1"/>
        <n x="880" s="1"/>
        <n x="485"/>
        <n x="725"/>
        <n x="7"/>
      </t>
    </mdx>
    <mdx n="474" f="v">
      <t c="7">
        <n x="898" s="1"/>
        <n x="889" s="1"/>
        <n x="881" s="1"/>
        <n x="880" s="1"/>
        <n x="484"/>
        <n x="510"/>
        <n x="7"/>
      </t>
    </mdx>
    <mdx n="474" f="v">
      <t c="7">
        <n x="898" s="1"/>
        <n x="889" s="1"/>
        <n x="881" s="1"/>
        <n x="880" s="1"/>
        <n x="485"/>
        <n x="775"/>
        <n x="477"/>
      </t>
    </mdx>
    <mdx n="474" f="v">
      <t c="7">
        <n x="898" s="1"/>
        <n x="889" s="1"/>
        <n x="881" s="1"/>
        <n x="880" s="1"/>
        <n x="478"/>
        <n x="492"/>
        <n x="7"/>
      </t>
    </mdx>
    <mdx n="474" f="v">
      <t c="7">
        <n x="898" s="1"/>
        <n x="889" s="1"/>
        <n x="881" s="1"/>
        <n x="880" s="1"/>
        <n x="485"/>
        <n x="762"/>
        <n x="7"/>
      </t>
    </mdx>
    <mdx n="474" f="v">
      <t c="7">
        <n x="898" s="1"/>
        <n x="889" s="1"/>
        <n x="881" s="1"/>
        <n x="880" s="1"/>
        <n x="484"/>
        <n x="616"/>
        <n x="7"/>
      </t>
    </mdx>
    <mdx n="474" f="v">
      <t c="7">
        <n x="898" s="1"/>
        <n x="889" s="1"/>
        <n x="881" s="1"/>
        <n x="880" s="1"/>
        <n x="485"/>
        <n x="673"/>
        <n x="477"/>
      </t>
    </mdx>
    <mdx n="474" f="v">
      <t c="7">
        <n x="898" s="1"/>
        <n x="889" s="1"/>
        <n x="881" s="1"/>
        <n x="880" s="1"/>
        <n x="484"/>
        <n x="499"/>
        <n x="7"/>
      </t>
    </mdx>
    <mdx n="474" f="v">
      <t c="7">
        <n x="898" s="1"/>
        <n x="889" s="1"/>
        <n x="881" s="1"/>
        <n x="880" s="1"/>
        <n x="485"/>
        <n x="762"/>
        <n x="477"/>
      </t>
    </mdx>
    <mdx n="474" f="v">
      <t c="7">
        <n x="898" s="1"/>
        <n x="889" s="1"/>
        <n x="881" s="1"/>
        <n x="880" s="1"/>
        <n x="485"/>
        <n x="651"/>
        <n x="7"/>
      </t>
    </mdx>
    <mdx n="474" f="v">
      <t c="7">
        <n x="898" s="1"/>
        <n x="889" s="1"/>
        <n x="881" s="1"/>
        <n x="880" s="1"/>
        <n x="484"/>
        <n x="824"/>
        <n x="7"/>
      </t>
    </mdx>
    <mdx n="474" f="v">
      <t c="7">
        <n x="898" s="1"/>
        <n x="889" s="1"/>
        <n x="881" s="1"/>
        <n x="880" s="1"/>
        <n x="485"/>
        <n x="654"/>
        <n x="477"/>
      </t>
    </mdx>
    <mdx n="474" f="v">
      <t c="7">
        <n x="898" s="1"/>
        <n x="889" s="1"/>
        <n x="881" s="1"/>
        <n x="880" s="1"/>
        <n x="485"/>
        <n x="715"/>
        <n x="7"/>
      </t>
    </mdx>
    <mdx n="474" f="v">
      <t c="7">
        <n x="898" s="1"/>
        <n x="889" s="1"/>
        <n x="881" s="1"/>
        <n x="880" s="1"/>
        <n x="484"/>
        <n x="552"/>
        <n x="7"/>
      </t>
    </mdx>
    <mdx n="474" f="v">
      <t c="7">
        <n x="898" s="1"/>
        <n x="889" s="1"/>
        <n x="881" s="1"/>
        <n x="880" s="1"/>
        <n x="485"/>
        <n x="843"/>
        <n x="7"/>
      </t>
    </mdx>
    <mdx n="474" f="v">
      <t c="7">
        <n x="898" s="1"/>
        <n x="889" s="1"/>
        <n x="881" s="1"/>
        <n x="880" s="1"/>
        <n x="484"/>
        <n x="858"/>
        <n x="7"/>
      </t>
    </mdx>
    <mdx n="474" f="v">
      <t c="7">
        <n x="898" s="1"/>
        <n x="889" s="1"/>
        <n x="881" s="1"/>
        <n x="880" s="1"/>
        <n x="485"/>
        <n x="784"/>
        <n x="477"/>
      </t>
    </mdx>
    <mdx n="474" f="v">
      <t c="7">
        <n x="898" s="1"/>
        <n x="889" s="1"/>
        <n x="881" s="1"/>
        <n x="880" s="1"/>
        <n x="485"/>
        <n x="649"/>
        <n x="7"/>
      </t>
    </mdx>
    <mdx n="474" f="v">
      <t c="7">
        <n x="898" s="1"/>
        <n x="889" s="1"/>
        <n x="881" s="1"/>
        <n x="880" s="1"/>
        <n x="485"/>
        <n x="633"/>
        <n x="7"/>
      </t>
    </mdx>
    <mdx n="474" f="v">
      <t c="7">
        <n x="898" s="1"/>
        <n x="889" s="1"/>
        <n x="881" s="1"/>
        <n x="880" s="1"/>
        <n x="485"/>
        <n x="868"/>
        <n x="7"/>
      </t>
    </mdx>
    <mdx n="474" f="v">
      <t c="7">
        <n x="898" s="1"/>
        <n x="889" s="1"/>
        <n x="881" s="1"/>
        <n x="880" s="1"/>
        <n x="485"/>
        <n x="718"/>
        <n x="7"/>
      </t>
    </mdx>
    <mdx n="474" f="v">
      <t c="7">
        <n x="898" s="1"/>
        <n x="889" s="1"/>
        <n x="881" s="1"/>
        <n x="880" s="1"/>
        <n x="477"/>
        <n x="812"/>
        <n x="811"/>
      </t>
    </mdx>
    <mdx n="474" f="v">
      <t c="7">
        <n x="898" s="1"/>
        <n x="889" s="1"/>
        <n x="881" s="1"/>
        <n x="880" s="1"/>
        <n x="485"/>
        <n x="693"/>
        <n x="477"/>
      </t>
    </mdx>
    <mdx n="474" f="v">
      <t c="7">
        <n x="898" s="1"/>
        <n x="889" s="1"/>
        <n x="881" s="1"/>
        <n x="880" s="1"/>
        <n x="485"/>
        <n x="660"/>
        <n x="477"/>
      </t>
    </mdx>
    <mdx n="474" f="v">
      <t c="7">
        <n x="898" s="1"/>
        <n x="889" s="1"/>
        <n x="881" s="1"/>
        <n x="880" s="1"/>
        <n x="485"/>
        <n x="640"/>
        <n x="7"/>
      </t>
    </mdx>
    <mdx n="474" f="v">
      <t c="7">
        <n x="898" s="1"/>
        <n x="889" s="1"/>
        <n x="881" s="1"/>
        <n x="880" s="1"/>
        <n x="485"/>
        <n x="865"/>
        <n x="477"/>
      </t>
    </mdx>
    <mdx n="474" f="v">
      <t c="7">
        <n x="898" s="1"/>
        <n x="889" s="1"/>
        <n x="881" s="1"/>
        <n x="880" s="1"/>
        <n x="485"/>
        <n x="845"/>
        <n x="477"/>
      </t>
    </mdx>
    <mdx n="474" f="v">
      <t c="7">
        <n x="898" s="1"/>
        <n x="889" s="1"/>
        <n x="881" s="1"/>
        <n x="880" s="1"/>
        <n x="484"/>
        <n x="875"/>
        <n x="477"/>
      </t>
    </mdx>
    <mdx n="474" f="v">
      <t c="7">
        <n x="898" s="1"/>
        <n x="889" s="1"/>
        <n x="881" s="1"/>
        <n x="880" s="1"/>
        <n x="485"/>
        <n x="637"/>
        <n x="477"/>
      </t>
    </mdx>
    <mdx n="474" f="v">
      <t c="7">
        <n x="898" s="1"/>
        <n x="889" s="1"/>
        <n x="881" s="1"/>
        <n x="880" s="1"/>
        <n x="484"/>
        <n x="624"/>
        <n x="477"/>
      </t>
    </mdx>
    <mdx n="474" f="v">
      <t c="7">
        <n x="898" s="1"/>
        <n x="889" s="1"/>
        <n x="881" s="1"/>
        <n x="880" s="1"/>
        <n x="485"/>
        <n x="775"/>
        <n x="7"/>
      </t>
    </mdx>
    <mdx n="474" f="v">
      <t c="7">
        <n x="898" s="1"/>
        <n x="889" s="1"/>
        <n x="881" s="1"/>
        <n x="880" s="1"/>
        <n x="485"/>
        <n x="496"/>
        <n x="7"/>
      </t>
    </mdx>
    <mdx n="474" f="v">
      <t c="7">
        <n x="898" s="1"/>
        <n x="889" s="1"/>
        <n x="881" s="1"/>
        <n x="880" s="1"/>
        <n x="478"/>
        <n x="493"/>
        <n x="477"/>
      </t>
    </mdx>
    <mdx n="474" f="v">
      <t c="7">
        <n x="898" s="1"/>
        <n x="889" s="1"/>
        <n x="881" s="1"/>
        <n x="880" s="1"/>
        <n x="485"/>
        <n x="697"/>
        <n x="477"/>
      </t>
    </mdx>
    <mdx n="474" f="v">
      <t c="7">
        <n x="898" s="1"/>
        <n x="889" s="1"/>
        <n x="881" s="1"/>
        <n x="880" s="1"/>
        <n x="484"/>
        <n x="860"/>
        <n x="7"/>
      </t>
    </mdx>
    <mdx n="474" f="v">
      <t c="7">
        <n x="898" s="1"/>
        <n x="889" s="1"/>
        <n x="881" s="1"/>
        <n x="880" s="1"/>
        <n x="484"/>
        <n x="508"/>
        <n x="7"/>
      </t>
    </mdx>
    <mdx n="474" f="v">
      <t c="7">
        <n x="898" s="1"/>
        <n x="889" s="1"/>
        <n x="881" s="1"/>
        <n x="880" s="1"/>
        <n x="485"/>
        <n x="703"/>
        <n x="7"/>
      </t>
    </mdx>
    <mdx n="474" f="v">
      <t c="7">
        <n x="898" s="1"/>
        <n x="889" s="1"/>
        <n x="881" s="1"/>
        <n x="880" s="1"/>
        <n x="485"/>
        <n x="769"/>
        <n x="7"/>
      </t>
    </mdx>
    <mdx n="474" f="v">
      <t c="7">
        <n x="898" s="1"/>
        <n x="889" s="1"/>
        <n x="881" s="1"/>
        <n x="880" s="1"/>
        <n x="485"/>
        <n x="673"/>
        <n x="7"/>
      </t>
    </mdx>
    <mdx n="474" f="v">
      <t c="7">
        <n x="898" s="1"/>
        <n x="889" s="1"/>
        <n x="881" s="1"/>
        <n x="880" s="1"/>
        <n x="485"/>
        <n x="653"/>
        <n x="7"/>
      </t>
    </mdx>
    <mdx n="474" f="v">
      <t c="7">
        <n x="898" s="1"/>
        <n x="889" s="1"/>
        <n x="881" s="1"/>
        <n x="880" s="1"/>
        <n x="485"/>
        <n x="638"/>
        <n x="7"/>
      </t>
    </mdx>
    <mdx n="474" f="v">
      <t c="7">
        <n x="898" s="1"/>
        <n x="889" s="1"/>
        <n x="881" s="1"/>
        <n x="880" s="1"/>
        <n x="485"/>
        <n x="783"/>
        <n x="477"/>
      </t>
    </mdx>
    <mdx n="474" f="v">
      <t c="7">
        <n x="898" s="1"/>
        <n x="889" s="1"/>
        <n x="881" s="1"/>
        <n x="880" s="1"/>
        <n x="485"/>
        <n x="572"/>
        <n x="477"/>
      </t>
    </mdx>
    <mdx n="474" f="v">
      <t c="7">
        <n x="898" s="1"/>
        <n x="889" s="1"/>
        <n x="881" s="1"/>
        <n x="880" s="1"/>
        <n x="484"/>
        <n x="578"/>
        <n x="477"/>
      </t>
    </mdx>
    <mdx n="474" f="v">
      <t c="7">
        <n x="898" s="1"/>
        <n x="889" s="1"/>
        <n x="881" s="1"/>
        <n x="880" s="1"/>
        <n x="485"/>
        <n x="558"/>
        <n x="477"/>
      </t>
    </mdx>
    <mdx n="474" f="v">
      <t c="7">
        <n x="898" s="1"/>
        <n x="889" s="1"/>
        <n x="881" s="1"/>
        <n x="880" s="1"/>
        <n x="485"/>
        <n x="730"/>
        <n x="7"/>
      </t>
    </mdx>
    <mdx n="474" f="v">
      <t c="7">
        <n x="898" s="1"/>
        <n x="889" s="1"/>
        <n x="881" s="1"/>
        <n x="880" s="1"/>
        <n x="485"/>
        <n x="696"/>
        <n x="7"/>
      </t>
    </mdx>
    <mdx n="474" f="v">
      <t c="7">
        <n x="898" s="1"/>
        <n x="889" s="1"/>
        <n x="881" s="1"/>
        <n x="880" s="1"/>
        <n x="485"/>
        <n x="770"/>
        <n x="7"/>
      </t>
    </mdx>
    <mdx n="474" f="v">
      <t c="7">
        <n x="898" s="1"/>
        <n x="889" s="1"/>
        <n x="881" s="1"/>
        <n x="880" s="1"/>
        <n x="485"/>
        <n x="663"/>
        <n x="7"/>
      </t>
    </mdx>
    <mdx n="474" f="v">
      <t c="7">
        <n x="898" s="1"/>
        <n x="889" s="1"/>
        <n x="881" s="1"/>
        <n x="880" s="1"/>
        <n x="485"/>
        <n x="558"/>
        <n x="7"/>
      </t>
    </mdx>
    <mdx n="474" f="v">
      <t c="7">
        <n x="898" s="1"/>
        <n x="889" s="1"/>
        <n x="881" s="1"/>
        <n x="880" s="1"/>
        <n x="485"/>
        <n x="746"/>
        <n x="477"/>
      </t>
    </mdx>
    <mdx n="474" f="v">
      <t c="7">
        <n x="898" s="1"/>
        <n x="889" s="1"/>
        <n x="881" s="1"/>
        <n x="880" s="1"/>
        <n x="485"/>
        <n x="841"/>
        <n x="7"/>
      </t>
    </mdx>
    <mdx n="474" f="v">
      <t c="7">
        <n x="898" s="1"/>
        <n x="889" s="1"/>
        <n x="881" s="1"/>
        <n x="880" s="1"/>
        <n x="485"/>
        <n x="719"/>
        <n x="477"/>
      </t>
    </mdx>
    <mdx n="474" f="v">
      <t c="7">
        <n x="898" s="1"/>
        <n x="889" s="1"/>
        <n x="881" s="1"/>
        <n x="880" s="1"/>
        <n x="485"/>
        <n x="758"/>
        <n x="7"/>
      </t>
    </mdx>
    <mdx n="474" f="v">
      <t c="7">
        <n x="898" s="1"/>
        <n x="889" s="1"/>
        <n x="881" s="1"/>
        <n x="880" s="1"/>
        <n x="485"/>
        <n x="707"/>
        <n x="477"/>
      </t>
    </mdx>
    <mdx n="474" f="v">
      <t c="7">
        <n x="898" s="1"/>
        <n x="889" s="1"/>
        <n x="881" s="1"/>
        <n x="880" s="1"/>
        <n x="485"/>
        <n x="782"/>
        <n x="477"/>
      </t>
    </mdx>
    <mdx n="474" f="v">
      <t c="7">
        <n x="898" s="1"/>
        <n x="889" s="1"/>
        <n x="881" s="1"/>
        <n x="880" s="1"/>
        <n x="485"/>
        <n x="573"/>
        <n x="7"/>
      </t>
    </mdx>
    <mdx n="474" f="v">
      <t c="7">
        <n x="898" s="1"/>
        <n x="889" s="1"/>
        <n x="881" s="1"/>
        <n x="880" s="1"/>
        <n x="484"/>
        <n x="829"/>
        <n x="7"/>
      </t>
    </mdx>
    <mdx n="474" f="v">
      <t c="7">
        <n x="898" s="1"/>
        <n x="889" s="1"/>
        <n x="881" s="1"/>
        <n x="880" s="1"/>
        <n x="484"/>
        <n x="544"/>
        <n x="477"/>
      </t>
    </mdx>
    <mdx n="474" f="v">
      <t c="7">
        <n x="898" s="1"/>
        <n x="889" s="1"/>
        <n x="881" s="1"/>
        <n x="880" s="1"/>
        <n x="485"/>
        <n x="713"/>
        <n x="477"/>
      </t>
    </mdx>
    <mdx n="474" f="v">
      <t c="7">
        <n x="898" s="1"/>
        <n x="889" s="1"/>
        <n x="881" s="1"/>
        <n x="880" s="1"/>
        <n x="485"/>
        <n x="739"/>
        <n x="477"/>
      </t>
    </mdx>
    <mdx n="474" f="v">
      <t c="7">
        <n x="898" s="1"/>
        <n x="889" s="1"/>
        <n x="881" s="1"/>
        <n x="880" s="1"/>
        <n x="478"/>
        <n x="492"/>
        <n x="477"/>
      </t>
    </mdx>
    <mdx n="474" f="v">
      <t c="7">
        <n x="898" s="1"/>
        <n x="889" s="1"/>
        <n x="881" s="1"/>
        <n x="880" s="1"/>
        <n x="485"/>
        <n x="731"/>
        <n x="7"/>
      </t>
    </mdx>
    <mdx n="474" f="v">
      <t c="7">
        <n x="898" s="1"/>
        <n x="889" s="1"/>
        <n x="881" s="1"/>
        <n x="880" s="1"/>
        <n x="484"/>
        <n x="547"/>
        <n x="7"/>
      </t>
    </mdx>
    <mdx n="474" f="v">
      <t c="7">
        <n x="898" s="1"/>
        <n x="889" s="1"/>
        <n x="881" s="1"/>
        <n x="880" s="1"/>
        <n x="485"/>
        <n x="653"/>
        <n x="477"/>
      </t>
    </mdx>
    <mdx n="474" f="v">
      <t c="7">
        <n x="898" s="1"/>
        <n x="889" s="1"/>
        <n x="881" s="1"/>
        <n x="880" s="1"/>
        <n x="485"/>
        <n x="854"/>
        <n x="477"/>
      </t>
    </mdx>
    <mdx n="474" f="v">
      <t c="7">
        <n x="898" s="1"/>
        <n x="889" s="1"/>
        <n x="881" s="1"/>
        <n x="880" s="1"/>
        <n x="484"/>
        <n x="510"/>
        <n x="477"/>
      </t>
    </mdx>
    <mdx n="474" f="v">
      <t c="7">
        <n x="898" s="1"/>
        <n x="889" s="1"/>
        <n x="881" s="1"/>
        <n x="880" s="1"/>
        <n x="485"/>
        <n x="560"/>
        <n x="7"/>
      </t>
    </mdx>
    <mdx n="474" f="v">
      <t c="7">
        <n x="898" s="1"/>
        <n x="889" s="1"/>
        <n x="881" s="1"/>
        <n x="880" s="1"/>
        <n x="485"/>
        <n x="670"/>
        <n x="477"/>
      </t>
    </mdx>
    <mdx n="474" f="v">
      <t c="7">
        <n x="898" s="1"/>
        <n x="889" s="1"/>
        <n x="881" s="1"/>
        <n x="880" s="1"/>
        <n x="484"/>
        <n x="529"/>
        <n x="477"/>
      </t>
    </mdx>
    <mdx n="474" f="v">
      <t c="7">
        <n x="898" s="1"/>
        <n x="889" s="1"/>
        <n x="881" s="1"/>
        <n x="880" s="1"/>
        <n x="478"/>
        <n x="571"/>
        <n x="7"/>
      </t>
    </mdx>
    <mdx n="474" f="v">
      <t c="7">
        <n x="898" s="1"/>
        <n x="889" s="1"/>
        <n x="881" s="1"/>
        <n x="880" s="1"/>
        <n x="478"/>
        <n x="494"/>
        <n x="7"/>
      </t>
    </mdx>
    <mdx n="474" f="v">
      <t c="7">
        <n x="898" s="1"/>
        <n x="889" s="1"/>
        <n x="881" s="1"/>
        <n x="880" s="1"/>
        <n x="485"/>
        <n x="788"/>
        <n x="7"/>
      </t>
    </mdx>
    <mdx n="474" f="v">
      <t c="7">
        <n x="898" s="1"/>
        <n x="889" s="1"/>
        <n x="881" s="1"/>
        <n x="880" s="1"/>
        <n x="484"/>
        <n x="603"/>
        <n x="477"/>
      </t>
    </mdx>
    <mdx n="474" f="v">
      <t c="7">
        <n x="898" s="1"/>
        <n x="889" s="1"/>
        <n x="881" s="1"/>
        <n x="880" s="1"/>
        <n x="484"/>
        <n x="502"/>
        <n x="7"/>
      </t>
    </mdx>
    <mdx n="474" f="v">
      <t c="7">
        <n x="898" s="1"/>
        <n x="889" s="1"/>
        <n x="881" s="1"/>
        <n x="880" s="1"/>
        <n x="485"/>
        <n x="788"/>
        <n x="477"/>
      </t>
    </mdx>
    <mdx n="474" f="v">
      <t c="7">
        <n x="898" s="1"/>
        <n x="889" s="1"/>
        <n x="881" s="1"/>
        <n x="880" s="1"/>
        <n x="485"/>
        <n x="730"/>
        <n x="477"/>
      </t>
    </mdx>
    <mdx n="474" f="v">
      <t c="7">
        <n x="898" s="1"/>
        <n x="889" s="1"/>
        <n x="881" s="1"/>
        <n x="880" s="1"/>
        <n x="485"/>
        <n x="562"/>
        <n x="477"/>
      </t>
    </mdx>
    <mdx n="474" f="v">
      <t c="7">
        <n x="898" s="1"/>
        <n x="889" s="1"/>
        <n x="881" s="1"/>
        <n x="880" s="1"/>
        <n x="478"/>
        <n x="569"/>
        <n x="7"/>
      </t>
    </mdx>
    <mdx n="474" f="v">
      <t c="7">
        <n x="898" s="1"/>
        <n x="889" s="1"/>
        <n x="881" s="1"/>
        <n x="880" s="1"/>
        <n x="485"/>
        <n x="759"/>
        <n x="7"/>
      </t>
    </mdx>
    <mdx n="474" f="v">
      <t c="7">
        <n x="898" s="1"/>
        <n x="889" s="1"/>
        <n x="881" s="1"/>
        <n x="880" s="1"/>
        <n x="484"/>
        <n x="539"/>
        <n x="477"/>
      </t>
    </mdx>
    <mdx n="474" f="v">
      <t c="7">
        <n x="898" s="1"/>
        <n x="889" s="1"/>
        <n x="881" s="1"/>
        <n x="880" s="1"/>
        <n x="485"/>
        <n x="718"/>
        <n x="477"/>
      </t>
    </mdx>
    <mdx n="474" f="v">
      <t c="7">
        <n x="898" s="1"/>
        <n x="889" s="1"/>
        <n x="881" s="1"/>
        <n x="880" s="1"/>
        <n x="484"/>
        <n x="499"/>
        <n x="477"/>
      </t>
    </mdx>
    <mdx n="474" f="v">
      <t c="7">
        <n x="898" s="1"/>
        <n x="889" s="1"/>
        <n x="881" s="1"/>
        <n x="880" s="1"/>
        <n x="485"/>
        <n x="781"/>
        <n x="7"/>
      </t>
    </mdx>
    <mdx n="474" f="v">
      <t c="7">
        <n x="898" s="1"/>
        <n x="889" s="1"/>
        <n x="881" s="1"/>
        <n x="880" s="1"/>
        <n x="485"/>
        <n x="843"/>
        <n x="477"/>
      </t>
    </mdx>
    <mdx n="474" f="v">
      <t c="7">
        <n x="898" s="1"/>
        <n x="889" s="1"/>
        <n x="881" s="1"/>
        <n x="880" s="1"/>
        <n x="484"/>
        <n x="832"/>
        <n x="477"/>
      </t>
    </mdx>
    <mdx n="474" f="v">
      <t c="7">
        <n x="898" s="1"/>
        <n x="889" s="1"/>
        <n x="881" s="1"/>
        <n x="880" s="1"/>
        <n x="485"/>
        <n x="489"/>
        <n x="477"/>
      </t>
    </mdx>
    <mdx n="474" f="v">
      <t c="7">
        <n x="898" s="1"/>
        <n x="889" s="1"/>
        <n x="881" s="1"/>
        <n x="880" s="1"/>
        <n x="485"/>
        <n x="686"/>
        <n x="7"/>
      </t>
    </mdx>
    <mdx n="474" f="v">
      <t c="6">
        <n x="898" s="1"/>
        <n x="889" s="1"/>
        <n x="881" s="1"/>
        <n x="880" s="1"/>
        <n x="808"/>
        <n x="477"/>
      </t>
    </mdx>
    <mdx n="474" f="v">
      <t c="7">
        <n x="898" s="1"/>
        <n x="889" s="1"/>
        <n x="881" s="1"/>
        <n x="880" s="1"/>
        <n x="478"/>
        <n x="567"/>
        <n x="477"/>
      </t>
    </mdx>
    <mdx n="474" f="v">
      <t c="7">
        <n x="898" s="1"/>
        <n x="889" s="1"/>
        <n x="881" s="1"/>
        <n x="880" s="1"/>
        <n x="485"/>
        <n x="708"/>
        <n x="477"/>
      </t>
    </mdx>
    <mdx n="474" f="v">
      <t c="7">
        <n x="898" s="1"/>
        <n x="889" s="1"/>
        <n x="881" s="1"/>
        <n x="880" s="1"/>
        <n x="484"/>
        <n x="524"/>
        <n x="7"/>
      </t>
    </mdx>
    <mdx n="474" f="v">
      <t c="7">
        <n x="898" s="1"/>
        <n x="889" s="1"/>
        <n x="881" s="1"/>
        <n x="880" s="1"/>
        <n x="484"/>
        <n x="589"/>
        <n x="7"/>
      </t>
    </mdx>
    <mdx n="474" f="v">
      <t c="7">
        <n x="898" s="1"/>
        <n x="889" s="1"/>
        <n x="881" s="1"/>
        <n x="880" s="1"/>
        <n x="484"/>
        <n x="515"/>
        <n x="7"/>
      </t>
    </mdx>
    <mdx n="474" f="v">
      <t c="7">
        <n x="898" s="1"/>
        <n x="889" s="1"/>
        <n x="881" s="1"/>
        <n x="880" s="1"/>
        <n x="484"/>
        <n x="871"/>
        <n x="7"/>
      </t>
    </mdx>
    <mdx n="474" f="v">
      <t c="7">
        <n x="898" s="1"/>
        <n x="889" s="1"/>
        <n x="881" s="1"/>
        <n x="880" s="1"/>
        <n x="485"/>
        <n x="748"/>
        <n x="477"/>
      </t>
    </mdx>
    <mdx n="474" f="v">
      <t c="7">
        <n x="898" s="1"/>
        <n x="889" s="1"/>
        <n x="881" s="1"/>
        <n x="880" s="1"/>
        <n x="484"/>
        <n x="521"/>
        <n x="477"/>
      </t>
    </mdx>
    <mdx n="474" f="v">
      <t c="7">
        <n x="898" s="1"/>
        <n x="889" s="1"/>
        <n x="881" s="1"/>
        <n x="880" s="1"/>
        <n x="483"/>
        <n x="489"/>
        <n x="7"/>
      </t>
    </mdx>
    <mdx n="474" f="v">
      <t c="7">
        <n x="898" s="1"/>
        <n x="889" s="1"/>
        <n x="881" s="1"/>
        <n x="880" s="1"/>
        <n x="484"/>
        <n x="528"/>
        <n x="7"/>
      </t>
    </mdx>
    <mdx n="474" f="v">
      <t c="7">
        <n x="898" s="1"/>
        <n x="889" s="1"/>
        <n x="881" s="1"/>
        <n x="880" s="1"/>
        <n x="485"/>
        <n x="729"/>
        <n x="477"/>
      </t>
    </mdx>
    <mdx n="474" f="v">
      <t c="7">
        <n x="898" s="1"/>
        <n x="889" s="1"/>
        <n x="881" s="1"/>
        <n x="880" s="1"/>
        <n x="485"/>
        <n x="727"/>
        <n x="477"/>
      </t>
    </mdx>
    <mdx n="474" f="v">
      <t c="7">
        <n x="898" s="1"/>
        <n x="889" s="1"/>
        <n x="881" s="1"/>
        <n x="880" s="1"/>
        <n x="484"/>
        <n x="506"/>
        <n x="7"/>
      </t>
    </mdx>
    <mdx n="474" f="v">
      <t c="7">
        <n x="898" s="1"/>
        <n x="889" s="1"/>
        <n x="881" s="1"/>
        <n x="880" s="1"/>
        <n x="485"/>
        <n x="662"/>
        <n x="477"/>
      </t>
    </mdx>
    <mdx n="474" f="v">
      <t c="6">
        <n x="898" s="1"/>
        <n x="889" s="1"/>
        <n x="881" s="1"/>
        <n x="880" s="1"/>
        <n x="805"/>
        <n x="477"/>
      </t>
    </mdx>
    <mdx n="474" f="v">
      <t c="7">
        <n x="898" s="1"/>
        <n x="889" s="1"/>
        <n x="881" s="1"/>
        <n x="880" s="1"/>
        <n x="485"/>
        <n x="631"/>
        <n x="477"/>
      </t>
    </mdx>
    <mdx n="474" f="v">
      <t c="7">
        <n x="898" s="1"/>
        <n x="889" s="1"/>
        <n x="881" s="1"/>
        <n x="880" s="1"/>
        <n x="484"/>
        <n x="548"/>
        <n x="477"/>
      </t>
    </mdx>
    <mdx n="474" f="v">
      <t c="7">
        <n x="898" s="1"/>
        <n x="889" s="1"/>
        <n x="881" s="1"/>
        <n x="880" s="1"/>
        <n x="485"/>
        <n x="753"/>
        <n x="7"/>
      </t>
    </mdx>
    <mdx n="474" f="v">
      <t c="7">
        <n x="898" s="1"/>
        <n x="889" s="1"/>
        <n x="881" s="1"/>
        <n x="880" s="1"/>
        <n x="485"/>
        <n x="681"/>
        <n x="477"/>
      </t>
    </mdx>
    <mdx n="474" f="v">
      <t c="7">
        <n x="898" s="1"/>
        <n x="889" s="1"/>
        <n x="881" s="1"/>
        <n x="880" s="1"/>
        <n x="484"/>
        <n x="500"/>
        <n x="7"/>
      </t>
    </mdx>
    <mdx n="474" f="v">
      <t c="7">
        <n x="898" s="1"/>
        <n x="889" s="1"/>
        <n x="881" s="1"/>
        <n x="880" s="1"/>
        <n x="484"/>
        <n x="596"/>
        <n x="7"/>
      </t>
    </mdx>
    <mdx n="474" f="v">
      <t c="6">
        <n x="898" s="1"/>
        <n x="889" s="1"/>
        <n x="881" s="1"/>
        <n x="880" s="1"/>
        <n x="801"/>
        <n x="477"/>
      </t>
    </mdx>
    <mdx n="474" f="v">
      <t c="7">
        <n x="898" s="1"/>
        <n x="889" s="1"/>
        <n x="881" s="1"/>
        <n x="880" s="1"/>
        <n x="484"/>
        <n x="538"/>
        <n x="477"/>
      </t>
    </mdx>
    <mdx n="474" f="v">
      <t c="7">
        <n x="898" s="1"/>
        <n x="889" s="1"/>
        <n x="881" s="1"/>
        <n x="880" s="1"/>
        <n x="485"/>
        <n x="783"/>
        <n x="7"/>
      </t>
    </mdx>
    <mdx n="474" f="v">
      <t c="7">
        <n x="898" s="1"/>
        <n x="889" s="1"/>
        <n x="881" s="1"/>
        <n x="880" s="1"/>
        <n x="483"/>
        <n x="731"/>
        <n x="477"/>
      </t>
    </mdx>
    <mdx n="474" f="v">
      <t c="6">
        <n x="898" s="1"/>
        <n x="889" s="1"/>
        <n x="881" s="1"/>
        <n x="880" s="1"/>
        <n x="800"/>
        <n x="477"/>
      </t>
    </mdx>
    <mdx n="474" f="v">
      <t c="7">
        <n x="898" s="1"/>
        <n x="889" s="1"/>
        <n x="881" s="1"/>
        <n x="880" s="1"/>
        <n x="484"/>
        <n x="581"/>
        <n x="477"/>
      </t>
    </mdx>
    <mdx n="474" f="v">
      <t c="7">
        <n x="898" s="1"/>
        <n x="889" s="1"/>
        <n x="881" s="1"/>
        <n x="880" s="1"/>
        <n x="484"/>
        <n x="620"/>
        <n x="7"/>
      </t>
    </mdx>
    <mdx n="474" f="v">
      <t c="7">
        <n x="898" s="1"/>
        <n x="889" s="1"/>
        <n x="881" s="1"/>
        <n x="880" s="1"/>
        <n x="485"/>
        <n x="747"/>
        <n x="477"/>
      </t>
    </mdx>
    <mdx n="474" f="v">
      <t c="7">
        <n x="898" s="1"/>
        <n x="889" s="1"/>
        <n x="881" s="1"/>
        <n x="880" s="1"/>
        <n x="484"/>
        <n x="600"/>
        <n x="477"/>
      </t>
    </mdx>
    <mdx n="474" f="v">
      <t c="7">
        <n x="898" s="1"/>
        <n x="889" s="1"/>
        <n x="881" s="1"/>
        <n x="880" s="1"/>
        <n x="485"/>
        <n x="728"/>
        <n x="477"/>
      </t>
    </mdx>
    <mdx n="474" f="v">
      <t c="7">
        <n x="898" s="1"/>
        <n x="889" s="1"/>
        <n x="881" s="1"/>
        <n x="880" s="1"/>
        <n x="485"/>
        <n x="778"/>
        <n x="477"/>
      </t>
    </mdx>
    <mdx n="474" f="v">
      <t c="7">
        <n x="898" s="1"/>
        <n x="889" s="1"/>
        <n x="881" s="1"/>
        <n x="880" s="1"/>
        <n x="485"/>
        <n x="768"/>
        <n x="7"/>
      </t>
    </mdx>
    <mdx n="474" f="v">
      <t c="7">
        <n x="898" s="1"/>
        <n x="889" s="1"/>
        <n x="881" s="1"/>
        <n x="880" s="1"/>
        <n x="485"/>
        <n x="745"/>
        <n x="477"/>
      </t>
    </mdx>
    <mdx n="474" f="v">
      <t c="7">
        <n x="898" s="1"/>
        <n x="889" s="1"/>
        <n x="881" s="1"/>
        <n x="880" s="1"/>
        <n x="478"/>
        <n x="487"/>
        <n x="7"/>
      </t>
    </mdx>
    <mdx n="474" f="v">
      <t c="7">
        <n x="898" s="1"/>
        <n x="889" s="1"/>
        <n x="881" s="1"/>
        <n x="880" s="1"/>
        <n x="485"/>
        <n x="706"/>
        <n x="477"/>
      </t>
    </mdx>
    <mdx n="474" f="v">
      <t c="7">
        <n x="898" s="1"/>
        <n x="889" s="1"/>
        <n x="881" s="1"/>
        <n x="880" s="1"/>
        <n x="485"/>
        <n x="658"/>
        <n x="477"/>
      </t>
    </mdx>
    <mdx n="474" f="v">
      <t c="7">
        <n x="898" s="1"/>
        <n x="889" s="1"/>
        <n x="881" s="1"/>
        <n x="880" s="1"/>
        <n x="484"/>
        <n x="626"/>
        <n x="7"/>
      </t>
    </mdx>
    <mdx n="474" f="v">
      <t c="7">
        <n x="898" s="1"/>
        <n x="889" s="1"/>
        <n x="881" s="1"/>
        <n x="880" s="1"/>
        <n x="485"/>
        <n x="776"/>
        <n x="7"/>
      </t>
    </mdx>
    <mdx n="474" f="v">
      <t c="7">
        <n x="898" s="1"/>
        <n x="889" s="1"/>
        <n x="881" s="1"/>
        <n x="880" s="1"/>
        <n x="484"/>
        <n x="858"/>
        <n x="477"/>
      </t>
    </mdx>
    <mdx n="474" f="v">
      <t c="7">
        <n x="898" s="1"/>
        <n x="889" s="1"/>
        <n x="881" s="1"/>
        <n x="880" s="1"/>
        <n x="484"/>
        <n x="550"/>
        <n x="477"/>
      </t>
    </mdx>
    <mdx n="474" f="v">
      <t c="7">
        <n x="898" s="1"/>
        <n x="889" s="1"/>
        <n x="881" s="1"/>
        <n x="880" s="1"/>
        <n x="485"/>
        <n x="732"/>
        <n x="477"/>
      </t>
    </mdx>
    <mdx n="474" f="v">
      <t c="7">
        <n x="898" s="1"/>
        <n x="889" s="1"/>
        <n x="881" s="1"/>
        <n x="880" s="1"/>
        <n x="485"/>
        <n x="695"/>
        <n x="7"/>
      </t>
    </mdx>
    <mdx n="474" f="v">
      <t c="7">
        <n x="898" s="1"/>
        <n x="889" s="1"/>
        <n x="881" s="1"/>
        <n x="880" s="1"/>
        <n x="485"/>
        <n x="555"/>
        <n x="7"/>
      </t>
    </mdx>
    <mdx n="474" f="v">
      <t c="7">
        <n x="898" s="1"/>
        <n x="889" s="1"/>
        <n x="881" s="1"/>
        <n x="880" s="1"/>
        <n x="485"/>
        <n x="773"/>
        <n x="477"/>
      </t>
    </mdx>
    <mdx n="474" f="v">
      <t c="7">
        <n x="898" s="1"/>
        <n x="889" s="1"/>
        <n x="881" s="1"/>
        <n x="880" s="1"/>
        <n x="484"/>
        <n x="629"/>
        <n x="477"/>
      </t>
    </mdx>
    <mdx n="474" f="v">
      <t c="7">
        <n x="898" s="1"/>
        <n x="889" s="1"/>
        <n x="881" s="1"/>
        <n x="880" s="1"/>
        <n x="484"/>
        <n x="593"/>
        <n x="477"/>
      </t>
    </mdx>
    <mdx n="474" f="v">
      <t c="7">
        <n x="898" s="1"/>
        <n x="889" s="1"/>
        <n x="881" s="1"/>
        <n x="880" s="1"/>
        <n x="485"/>
        <n x="705"/>
        <n x="477"/>
      </t>
    </mdx>
    <mdx n="474" f="v">
      <t c="7">
        <n x="898" s="1"/>
        <n x="889" s="1"/>
        <n x="881" s="1"/>
        <n x="880" s="1"/>
        <n x="484"/>
        <n x="592"/>
        <n x="477"/>
      </t>
    </mdx>
    <mdx n="474" f="v">
      <t c="7">
        <n x="898" s="1"/>
        <n x="889" s="1"/>
        <n x="881" s="1"/>
        <n x="880" s="1"/>
        <n x="485"/>
        <n x="669"/>
        <n x="477"/>
      </t>
    </mdx>
    <mdx n="474" f="v">
      <t c="7">
        <n x="898" s="1"/>
        <n x="889" s="1"/>
        <n x="881" s="1"/>
        <n x="880" s="1"/>
        <n x="484"/>
        <n x="587"/>
        <n x="7"/>
      </t>
    </mdx>
    <mdx n="474" f="v">
      <t c="7">
        <n x="898" s="1"/>
        <n x="889" s="1"/>
        <n x="881" s="1"/>
        <n x="880" s="1"/>
        <n x="484"/>
        <n x="601"/>
        <n x="477"/>
      </t>
    </mdx>
    <mdx n="474" f="v">
      <t c="7">
        <n x="898" s="1"/>
        <n x="889" s="1"/>
        <n x="881" s="1"/>
        <n x="880" s="1"/>
        <n x="485"/>
        <n x="632"/>
        <n x="7"/>
      </t>
    </mdx>
    <mdx n="474" f="v">
      <t c="7">
        <n x="898" s="1"/>
        <n x="889" s="1"/>
        <n x="881" s="1"/>
        <n x="880" s="1"/>
        <n x="485"/>
        <n x="647"/>
        <n x="7"/>
      </t>
    </mdx>
    <mdx n="474" f="v">
      <t c="7">
        <n x="898" s="1"/>
        <n x="889" s="1"/>
        <n x="881" s="1"/>
        <n x="880" s="1"/>
        <n x="485"/>
        <n x="851"/>
        <n x="477"/>
      </t>
    </mdx>
    <mdx n="474" f="v">
      <t c="7">
        <n x="898" s="1"/>
        <n x="889" s="1"/>
        <n x="881" s="1"/>
        <n x="880" s="1"/>
        <n x="484"/>
        <n x="831"/>
        <n x="477"/>
      </t>
    </mdx>
    <mdx n="474" f="v">
      <t c="7">
        <n x="898" s="1"/>
        <n x="889" s="1"/>
        <n x="881" s="1"/>
        <n x="880" s="1"/>
        <n x="484"/>
        <n x="508"/>
        <n x="477"/>
      </t>
    </mdx>
    <mdx n="474" f="v">
      <t c="7">
        <n x="898" s="1"/>
        <n x="889" s="1"/>
        <n x="881" s="1"/>
        <n x="880" s="1"/>
        <n x="485"/>
        <n x="678"/>
        <n x="7"/>
      </t>
    </mdx>
    <mdx n="474" f="v">
      <t c="7">
        <n x="898" s="1"/>
        <n x="889" s="1"/>
        <n x="881" s="1"/>
        <n x="880" s="1"/>
        <n x="484"/>
        <n x="857"/>
        <n x="477"/>
      </t>
    </mdx>
    <mdx n="474" f="v">
      <t c="7">
        <n x="898" s="1"/>
        <n x="889" s="1"/>
        <n x="881" s="1"/>
        <n x="880" s="1"/>
        <n x="485"/>
        <n x="699"/>
        <n x="477"/>
      </t>
    </mdx>
    <mdx n="474" f="v">
      <t c="7">
        <n x="898" s="1"/>
        <n x="889" s="1"/>
        <n x="881" s="1"/>
        <n x="880" s="1"/>
        <n x="484"/>
        <n x="504"/>
        <n x="7"/>
      </t>
    </mdx>
    <mdx n="474" f="v">
      <t c="7">
        <n x="898" s="1"/>
        <n x="889" s="1"/>
        <n x="881" s="1"/>
        <n x="880" s="1"/>
        <n x="484"/>
        <n x="513"/>
        <n x="477"/>
      </t>
    </mdx>
    <mdx n="474" f="v">
      <t c="7">
        <n x="898" s="1"/>
        <n x="889" s="1"/>
        <n x="881" s="1"/>
        <n x="880" s="1"/>
        <n x="485"/>
        <n x="756"/>
        <n x="7"/>
      </t>
    </mdx>
    <mdx n="474" f="v">
      <t c="7">
        <n x="898" s="1"/>
        <n x="889" s="1"/>
        <n x="881" s="1"/>
        <n x="880" s="1"/>
        <n x="484"/>
        <n x="519"/>
        <n x="7"/>
      </t>
    </mdx>
    <mdx n="474" f="v">
      <t c="7">
        <n x="898" s="1"/>
        <n x="889" s="1"/>
        <n x="881" s="1"/>
        <n x="880" s="1"/>
        <n x="478"/>
        <n x="572"/>
        <n x="7"/>
      </t>
    </mdx>
    <mdx n="474" f="v">
      <t c="7">
        <n x="898" s="1"/>
        <n x="889" s="1"/>
        <n x="881" s="1"/>
        <n x="880" s="1"/>
        <n x="485"/>
        <n x="664"/>
        <n x="477"/>
      </t>
    </mdx>
    <mdx n="474" f="v">
      <t c="7">
        <n x="898" s="1"/>
        <n x="889" s="1"/>
        <n x="881" s="1"/>
        <n x="880" s="1"/>
        <n x="484"/>
        <n x="629"/>
        <n x="7"/>
      </t>
    </mdx>
    <mdx n="474" f="v">
      <t c="7">
        <n x="898" s="1"/>
        <n x="889" s="1"/>
        <n x="881" s="1"/>
        <n x="880" s="1"/>
        <n x="484"/>
        <n x="835"/>
        <n x="477"/>
      </t>
    </mdx>
    <mdx n="474" f="v">
      <t c="7">
        <n x="898" s="1"/>
        <n x="889" s="1"/>
        <n x="881" s="1"/>
        <n x="880" s="1"/>
        <n x="484"/>
        <n x="513"/>
        <n x="7"/>
      </t>
    </mdx>
    <mdx n="474" f="v">
      <t c="7">
        <n x="898" s="1"/>
        <n x="889" s="1"/>
        <n x="881" s="1"/>
        <n x="880" s="1"/>
        <n x="484"/>
        <n x="595"/>
        <n x="477"/>
      </t>
    </mdx>
    <mdx n="474" f="v">
      <t c="7">
        <n x="898" s="1"/>
        <n x="889" s="1"/>
        <n x="881" s="1"/>
        <n x="880" s="1"/>
        <n x="485"/>
        <n x="660"/>
        <n x="7"/>
      </t>
    </mdx>
    <mdx n="474" f="v">
      <t c="7">
        <n x="898" s="1"/>
        <n x="889" s="1"/>
        <n x="881" s="1"/>
        <n x="880" s="1"/>
        <n x="484"/>
        <n x="546"/>
        <n x="7"/>
      </t>
    </mdx>
    <mdx n="474" f="v">
      <t c="7">
        <n x="898" s="1"/>
        <n x="889" s="1"/>
        <n x="881" s="1"/>
        <n x="880" s="1"/>
        <n x="485"/>
        <n x="846"/>
        <n x="7"/>
      </t>
    </mdx>
    <mdx n="474" f="v">
      <t c="7">
        <n x="898" s="1"/>
        <n x="889" s="1"/>
        <n x="881" s="1"/>
        <n x="880" s="1"/>
        <n x="484"/>
        <n x="871"/>
        <n x="477"/>
      </t>
    </mdx>
    <mdx n="474" f="v">
      <t c="7">
        <n x="898" s="1"/>
        <n x="889" s="1"/>
        <n x="881" s="1"/>
        <n x="880" s="1"/>
        <n x="484"/>
        <n x="860"/>
        <n x="477"/>
      </t>
    </mdx>
    <mdx n="474" f="v">
      <t c="7">
        <n x="898" s="1"/>
        <n x="889" s="1"/>
        <n x="881" s="1"/>
        <n x="880" s="1"/>
        <n x="485"/>
        <n x="658"/>
        <n x="476"/>
      </t>
    </mdx>
    <mdx n="474" f="v">
      <t c="7">
        <n x="898" s="1"/>
        <n x="889" s="1"/>
        <n x="881" s="1"/>
        <n x="880" s="1"/>
        <n x="485"/>
        <n x="663"/>
        <n x="477"/>
      </t>
    </mdx>
    <mdx n="474" f="v">
      <t c="7">
        <n x="898" s="1"/>
        <n x="889" s="1"/>
        <n x="881" s="1"/>
        <n x="880" s="1"/>
        <n x="485"/>
        <n x="877"/>
        <n x="477"/>
      </t>
    </mdx>
    <mdx n="474" f="v">
      <t c="7">
        <n x="898" s="1"/>
        <n x="889" s="1"/>
        <n x="881" s="1"/>
        <n x="880" s="1"/>
        <n x="485"/>
        <n x="647"/>
        <n x="476"/>
      </t>
    </mdx>
    <mdx n="474" f="v">
      <t c="7">
        <n x="898" s="1"/>
        <n x="889" s="1"/>
        <n x="881" s="1"/>
        <n x="880" s="1"/>
        <n x="484"/>
        <n x="536"/>
        <n x="477"/>
      </t>
    </mdx>
    <mdx n="474" f="v">
      <t c="7">
        <n x="898" s="1"/>
        <n x="889" s="1"/>
        <n x="881" s="1"/>
        <n x="880" s="1"/>
        <n x="485"/>
        <n x="572"/>
        <n x="476"/>
      </t>
    </mdx>
    <mdx n="474" f="v">
      <t c="7">
        <n x="898" s="1"/>
        <n x="889" s="1"/>
        <n x="881" s="1"/>
        <n x="880" s="1"/>
        <n x="485"/>
        <n x="737"/>
        <n x="7"/>
      </t>
    </mdx>
    <mdx n="474" f="v">
      <t c="7">
        <n x="898" s="1"/>
        <n x="889" s="1"/>
        <n x="881" s="1"/>
        <n x="880" s="1"/>
        <n x="485"/>
        <n x="750"/>
        <n x="476"/>
      </t>
    </mdx>
    <mdx n="474" f="v">
      <t c="7">
        <n x="898" s="1"/>
        <n x="889" s="1"/>
        <n x="881" s="1"/>
        <n x="880" s="1"/>
        <n x="485"/>
        <n x="672"/>
        <n x="477"/>
      </t>
    </mdx>
    <mdx n="474" f="v">
      <t c="7">
        <n x="898" s="1"/>
        <n x="889" s="1"/>
        <n x="881" s="1"/>
        <n x="880" s="1"/>
        <n x="485"/>
        <n x="693"/>
        <n x="7"/>
      </t>
    </mdx>
    <mdx n="474" f="v">
      <t c="7">
        <n x="898" s="1"/>
        <n x="889" s="1"/>
        <n x="881" s="1"/>
        <n x="880" s="1"/>
        <n x="485"/>
        <n x="684"/>
        <n x="477"/>
      </t>
    </mdx>
    <mdx n="474" f="v">
      <t c="7">
        <n x="898" s="1"/>
        <n x="889" s="1"/>
        <n x="881" s="1"/>
        <n x="880" s="1"/>
        <n x="485"/>
        <n x="687"/>
        <n x="7"/>
      </t>
    </mdx>
    <mdx n="474" f="v">
      <t c="7">
        <n x="898" s="1"/>
        <n x="889" s="1"/>
        <n x="881" s="1"/>
        <n x="880" s="1"/>
        <n x="485"/>
        <n x="709"/>
        <n x="476"/>
      </t>
    </mdx>
    <mdx n="474" f="v">
      <t c="7">
        <n x="898" s="1"/>
        <n x="889" s="1"/>
        <n x="881" s="1"/>
        <n x="880" s="1"/>
        <n x="484"/>
        <n x="508"/>
        <n x="476"/>
      </t>
    </mdx>
    <mdx n="474" f="v">
      <t c="7">
        <n x="898" s="1"/>
        <n x="889" s="1"/>
        <n x="881" s="1"/>
        <n x="880" s="1"/>
        <n x="485"/>
        <n x="742"/>
        <n x="477"/>
      </t>
    </mdx>
    <mdx n="474" f="v">
      <t c="7">
        <n x="898" s="1"/>
        <n x="889" s="1"/>
        <n x="881" s="1"/>
        <n x="880" s="1"/>
        <n x="484"/>
        <n x="540"/>
        <n x="477"/>
      </t>
    </mdx>
    <mdx n="474" f="v">
      <t c="7">
        <n x="898" s="1"/>
        <n x="889" s="1"/>
        <n x="881" s="1"/>
        <n x="880" s="1"/>
        <n x="485"/>
        <n x="737"/>
        <n x="477"/>
      </t>
    </mdx>
    <mdx n="474" f="v">
      <t c="7">
        <n x="898" s="1"/>
        <n x="889" s="1"/>
        <n x="881" s="1"/>
        <n x="880" s="1"/>
        <n x="485"/>
        <n x="659"/>
        <n x="477"/>
      </t>
    </mdx>
    <mdx n="474" f="v">
      <t c="7">
        <n x="898" s="1"/>
        <n x="889" s="1"/>
        <n x="881" s="1"/>
        <n x="880" s="1"/>
        <n x="485"/>
        <n x="663"/>
        <n x="476"/>
      </t>
    </mdx>
    <mdx n="474" f="v">
      <t c="7">
        <n x="898" s="1"/>
        <n x="889" s="1"/>
        <n x="881" s="1"/>
        <n x="880" s="1"/>
        <n x="485"/>
        <n x="706"/>
        <n x="476"/>
      </t>
    </mdx>
    <mdx n="474" f="v">
      <t c="7">
        <n x="898" s="1"/>
        <n x="889" s="1"/>
        <n x="881" s="1"/>
        <n x="880" s="1"/>
        <n x="484"/>
        <n x="527"/>
        <n x="477"/>
      </t>
    </mdx>
    <mdx n="474" f="v">
      <t c="7">
        <n x="898" s="1"/>
        <n x="889" s="1"/>
        <n x="881" s="1"/>
        <n x="880" s="1"/>
        <n x="484"/>
        <n x="489"/>
        <n x="7"/>
      </t>
    </mdx>
    <mdx n="474" f="v">
      <t c="7">
        <n x="898" s="1"/>
        <n x="889" s="1"/>
        <n x="881" s="1"/>
        <n x="880" s="1"/>
        <n x="484"/>
        <n x="512"/>
        <n x="7"/>
      </t>
    </mdx>
    <mdx n="474" f="v">
      <t c="7">
        <n x="898" s="1"/>
        <n x="889" s="1"/>
        <n x="881" s="1"/>
        <n x="880" s="1"/>
        <n x="485"/>
        <n x="877"/>
        <n x="7"/>
      </t>
    </mdx>
    <mdx n="474" f="v">
      <t c="7">
        <n x="898" s="1"/>
        <n x="889" s="1"/>
        <n x="881" s="1"/>
        <n x="880" s="1"/>
        <n x="485"/>
        <n x="788"/>
        <n x="476"/>
      </t>
    </mdx>
    <mdx n="474" f="v">
      <t c="7">
        <n x="898" s="1"/>
        <n x="889" s="1"/>
        <n x="881" s="1"/>
        <n x="880" s="1"/>
        <n x="485"/>
        <n x="705"/>
        <n x="476"/>
      </t>
    </mdx>
    <mdx n="474" f="v">
      <t c="7">
        <n x="898" s="1"/>
        <n x="889" s="1"/>
        <n x="881" s="1"/>
        <n x="880" s="1"/>
        <n x="484"/>
        <n x="505"/>
        <n x="7"/>
      </t>
    </mdx>
    <mdx n="474" f="v">
      <t c="7">
        <n x="898" s="1"/>
        <n x="889" s="1"/>
        <n x="881" s="1"/>
        <n x="880" s="1"/>
        <n x="484"/>
        <n x="618"/>
        <n x="7"/>
      </t>
    </mdx>
    <mdx n="474" f="v">
      <t c="7">
        <n x="898" s="1"/>
        <n x="889" s="1"/>
        <n x="881" s="1"/>
        <n x="880" s="1"/>
        <n x="485"/>
        <n x="489"/>
        <n x="7"/>
      </t>
    </mdx>
    <mdx n="474" f="v">
      <t c="7">
        <n x="898" s="1"/>
        <n x="889" s="1"/>
        <n x="881" s="1"/>
        <n x="880" s="1"/>
        <n x="485"/>
        <n x="494"/>
        <n x="477"/>
      </t>
    </mdx>
    <mdx n="474" f="v">
      <t c="7">
        <n x="898" s="1"/>
        <n x="889" s="1"/>
        <n x="881" s="1"/>
        <n x="880" s="1"/>
        <n x="485"/>
        <n x="707"/>
        <n x="476"/>
      </t>
    </mdx>
    <mdx n="474" f="v">
      <t c="7">
        <n x="898" s="1"/>
        <n x="889" s="1"/>
        <n x="881" s="1"/>
        <n x="880" s="1"/>
        <n x="485"/>
        <n x="734"/>
        <n x="477"/>
      </t>
    </mdx>
    <mdx n="474" f="v">
      <t c="7">
        <n x="898" s="1"/>
        <n x="889" s="1"/>
        <n x="881" s="1"/>
        <n x="880" s="1"/>
        <n x="484"/>
        <n x="590"/>
        <n x="477"/>
      </t>
    </mdx>
    <mdx n="474" f="v">
      <t c="7">
        <n x="898" s="1"/>
        <n x="889" s="1"/>
        <n x="881" s="1"/>
        <n x="880" s="1"/>
        <n x="485"/>
        <n x="750"/>
        <n x="7"/>
      </t>
    </mdx>
    <mdx n="474" f="v">
      <t c="7">
        <n x="898" s="1"/>
        <n x="889" s="1"/>
        <n x="881" s="1"/>
        <n x="880" s="1"/>
        <n x="484"/>
        <n x="603"/>
        <n x="476"/>
      </t>
    </mdx>
    <mdx n="474" f="v">
      <t c="7">
        <n x="898" s="1"/>
        <n x="889" s="1"/>
        <n x="881" s="1"/>
        <n x="880" s="1"/>
        <n x="485"/>
        <n x="729"/>
        <n x="7"/>
      </t>
    </mdx>
    <mdx n="474" f="v">
      <t c="7">
        <n x="898" s="1"/>
        <n x="889" s="1"/>
        <n x="881" s="1"/>
        <n x="880" s="1"/>
        <n x="485"/>
        <n x="709"/>
        <n x="7"/>
      </t>
    </mdx>
    <mdx n="474" f="v">
      <t c="7">
        <n x="898" s="1"/>
        <n x="889" s="1"/>
        <n x="881" s="1"/>
        <n x="880" s="1"/>
        <n x="478"/>
        <n x="568"/>
        <n x="476"/>
      </t>
    </mdx>
    <mdx n="474" f="v">
      <t c="7">
        <n x="898" s="1"/>
        <n x="889" s="1"/>
        <n x="881" s="1"/>
        <n x="880" s="1"/>
        <n x="484"/>
        <n x="585"/>
        <n x="476"/>
      </t>
    </mdx>
    <mdx n="474" f="v">
      <t c="7">
        <n x="898" s="1"/>
        <n x="889" s="1"/>
        <n x="881" s="1"/>
        <n x="880" s="1"/>
        <n x="485"/>
        <n x="772"/>
        <n x="476"/>
      </t>
    </mdx>
    <mdx n="474" f="v">
      <t c="7">
        <n x="898" s="1"/>
        <n x="889" s="1"/>
        <n x="881" s="1"/>
        <n x="880" s="1"/>
        <n x="485"/>
        <n x="634"/>
        <n x="476"/>
      </t>
    </mdx>
    <mdx n="474" f="v">
      <t c="7">
        <n x="898" s="1"/>
        <n x="889" s="1"/>
        <n x="881" s="1"/>
        <n x="880" s="1"/>
        <n x="484"/>
        <n x="549"/>
        <n x="476"/>
      </t>
    </mdx>
    <mdx n="474" f="v">
      <t c="6">
        <n x="898" s="1"/>
        <n x="889" s="1"/>
        <n x="881" s="1"/>
        <n x="880" s="1"/>
        <n x="815"/>
        <n x="477"/>
      </t>
    </mdx>
    <mdx n="474" f="v">
      <t c="7">
        <n x="898" s="1"/>
        <n x="889" s="1"/>
        <n x="881" s="1"/>
        <n x="880" s="1"/>
        <n x="484"/>
        <n x="580"/>
        <n x="477"/>
      </t>
    </mdx>
    <mdx n="474" f="v">
      <t c="7">
        <n x="898" s="1"/>
        <n x="889" s="1"/>
        <n x="881" s="1"/>
        <n x="880" s="1"/>
        <n x="484"/>
        <n x="615"/>
        <n x="477"/>
      </t>
    </mdx>
    <mdx n="474" f="v">
      <t c="7">
        <n x="898" s="1"/>
        <n x="889" s="1"/>
        <n x="881" s="1"/>
        <n x="880" s="1"/>
        <n x="485"/>
        <n x="559"/>
        <n x="7"/>
      </t>
    </mdx>
    <mdx n="474" f="v">
      <t c="7">
        <n x="898" s="1"/>
        <n x="889" s="1"/>
        <n x="881" s="1"/>
        <n x="880" s="1"/>
        <n x="485"/>
        <n x="674"/>
        <n x="476"/>
      </t>
    </mdx>
    <mdx n="474" f="v">
      <t c="7">
        <n x="898" s="1"/>
        <n x="889" s="1"/>
        <n x="881" s="1"/>
        <n x="880" s="1"/>
        <n x="484"/>
        <n x="874"/>
        <n x="476"/>
      </t>
    </mdx>
    <mdx n="474" f="v">
      <t c="7">
        <n x="898" s="1"/>
        <n x="889" s="1"/>
        <n x="881" s="1"/>
        <n x="880" s="1"/>
        <n x="478"/>
        <n x="569"/>
        <n x="476"/>
      </t>
    </mdx>
    <mdx n="474" f="v">
      <t c="7">
        <n x="898" s="1"/>
        <n x="889" s="1"/>
        <n x="881" s="1"/>
        <n x="880" s="1"/>
        <n x="485"/>
        <n x="755"/>
        <n x="476"/>
      </t>
    </mdx>
    <mdx n="474" f="v">
      <t c="7">
        <n x="898" s="1"/>
        <n x="889" s="1"/>
        <n x="881" s="1"/>
        <n x="880" s="1"/>
        <n x="484"/>
        <n x="824"/>
        <n x="476"/>
      </t>
    </mdx>
    <mdx n="474" f="v">
      <t c="7">
        <n x="898" s="1"/>
        <n x="889" s="1"/>
        <n x="881" s="1"/>
        <n x="880" s="1"/>
        <n x="485"/>
        <n x="846"/>
        <n x="476"/>
      </t>
    </mdx>
    <mdx n="474" f="v">
      <t c="7">
        <n x="898" s="1"/>
        <n x="889" s="1"/>
        <n x="881" s="1"/>
        <n x="880" s="1"/>
        <n x="484"/>
        <n x="504"/>
        <n x="476"/>
      </t>
    </mdx>
    <mdx n="474" f="v">
      <t c="7">
        <n x="898" s="1"/>
        <n x="889" s="1"/>
        <n x="881" s="1"/>
        <n x="880" s="1"/>
        <n x="485"/>
        <n x="745"/>
        <n x="476"/>
      </t>
    </mdx>
    <mdx n="474" f="v">
      <t c="7">
        <n x="898" s="1"/>
        <n x="889" s="1"/>
        <n x="881" s="1"/>
        <n x="880" s="1"/>
        <n x="485"/>
        <n x="779"/>
        <n x="7"/>
      </t>
    </mdx>
    <mdx n="474" f="v">
      <t c="7">
        <n x="898" s="1"/>
        <n x="889" s="1"/>
        <n x="881" s="1"/>
        <n x="880" s="1"/>
        <n x="484"/>
        <n x="577"/>
        <n x="7"/>
      </t>
    </mdx>
    <mdx n="474" f="v">
      <t c="7">
        <n x="898" s="1"/>
        <n x="889" s="1"/>
        <n x="881" s="1"/>
        <n x="880" s="1"/>
        <n x="484"/>
        <n x="836"/>
        <n x="477"/>
      </t>
    </mdx>
    <mdx n="474" f="v">
      <t c="7">
        <n x="898" s="1"/>
        <n x="889" s="1"/>
        <n x="881" s="1"/>
        <n x="880" s="1"/>
        <n x="485"/>
        <n x="839"/>
        <n x="477"/>
      </t>
    </mdx>
    <mdx n="474" f="v">
      <t c="7">
        <n x="898" s="1"/>
        <n x="889" s="1"/>
        <n x="881" s="1"/>
        <n x="880" s="1"/>
        <n x="484"/>
        <n x="544"/>
        <n x="7"/>
      </t>
    </mdx>
    <mdx n="474" f="v">
      <t c="7">
        <n x="898" s="1"/>
        <n x="889" s="1"/>
        <n x="881" s="1"/>
        <n x="880" s="1"/>
        <n x="485"/>
        <n x="567"/>
        <n x="7"/>
      </t>
    </mdx>
    <mdx n="474" f="v">
      <t c="7">
        <n x="898" s="1"/>
        <n x="889" s="1"/>
        <n x="881" s="1"/>
        <n x="880" s="1"/>
        <n x="485"/>
        <n x="752"/>
        <n x="477"/>
      </t>
    </mdx>
    <mdx n="474" f="v">
      <t c="7">
        <n x="898" s="1"/>
        <n x="889" s="1"/>
        <n x="881" s="1"/>
        <n x="880" s="1"/>
        <n x="485"/>
        <n x="656"/>
        <n x="7"/>
      </t>
    </mdx>
    <mdx n="474" f="v">
      <t c="7">
        <n x="898" s="1"/>
        <n x="889" s="1"/>
        <n x="881" s="1"/>
        <n x="880" s="1"/>
        <n x="485"/>
        <n x="869"/>
        <n x="477"/>
      </t>
    </mdx>
    <mdx n="474" f="v">
      <t c="7">
        <n x="898" s="1"/>
        <n x="889" s="1"/>
        <n x="881" s="1"/>
        <n x="880" s="1"/>
        <n x="485"/>
        <n x="782"/>
        <n x="7"/>
      </t>
    </mdx>
    <mdx n="474" f="v">
      <t c="7">
        <n x="898" s="1"/>
        <n x="889" s="1"/>
        <n x="881" s="1"/>
        <n x="880" s="1"/>
        <n x="484"/>
        <n x="533"/>
        <n x="477"/>
      </t>
    </mdx>
    <mdx n="474" f="v">
      <t c="7">
        <n x="898" s="1"/>
        <n x="889" s="1"/>
        <n x="881" s="1"/>
        <n x="880" s="1"/>
        <n x="485"/>
        <n x="877"/>
        <n x="476"/>
      </t>
    </mdx>
    <mdx n="474" f="v">
      <t c="7">
        <n x="898" s="1"/>
        <n x="889" s="1"/>
        <n x="881" s="1"/>
        <n x="880" s="1"/>
        <n x="485"/>
        <n x="852"/>
        <n x="476"/>
      </t>
    </mdx>
    <mdx n="474" f="v">
      <t c="7">
        <n x="898" s="1"/>
        <n x="889" s="1"/>
        <n x="881" s="1"/>
        <n x="880" s="1"/>
        <n x="485"/>
        <n x="686"/>
        <n x="476"/>
      </t>
    </mdx>
    <mdx n="474" f="v">
      <t c="7">
        <n x="898" s="1"/>
        <n x="889" s="1"/>
        <n x="881" s="1"/>
        <n x="880" s="1"/>
        <n x="485"/>
        <n x="729"/>
        <n x="476"/>
      </t>
    </mdx>
    <mdx n="474" f="v">
      <t c="7">
        <n x="898" s="1"/>
        <n x="889" s="1"/>
        <n x="881" s="1"/>
        <n x="880" s="1"/>
        <n x="485"/>
        <n x="716"/>
        <n x="476"/>
      </t>
    </mdx>
    <mdx n="474" f="v">
      <t c="7">
        <n x="898" s="1"/>
        <n x="889" s="1"/>
        <n x="881" s="1"/>
        <n x="880" s="1"/>
        <n x="485"/>
        <n x="683"/>
        <n x="476"/>
      </t>
    </mdx>
    <mdx n="474" f="v">
      <t c="7">
        <n x="898" s="1"/>
        <n x="889" s="1"/>
        <n x="881" s="1"/>
        <n x="880" s="1"/>
        <n x="484"/>
        <n x="554"/>
        <n x="476"/>
      </t>
    </mdx>
    <mdx n="474" f="v">
      <t c="7">
        <n x="898" s="1"/>
        <n x="889" s="1"/>
        <n x="881" s="1"/>
        <n x="880" s="1"/>
        <n x="483"/>
        <n x="489"/>
        <n x="476"/>
      </t>
    </mdx>
    <mdx n="474" f="v">
      <t c="7">
        <n x="898" s="1"/>
        <n x="889" s="1"/>
        <n x="881" s="1"/>
        <n x="880" s="1"/>
        <n x="485"/>
        <n x="731"/>
        <n x="476"/>
      </t>
    </mdx>
    <mdx n="474" f="v">
      <t c="7">
        <n x="898" s="1"/>
        <n x="889" s="1"/>
        <n x="881" s="1"/>
        <n x="880" s="1"/>
        <n x="485"/>
        <n x="638"/>
        <n x="476"/>
      </t>
    </mdx>
    <mdx n="474" f="v">
      <t c="7">
        <n x="898" s="1"/>
        <n x="889" s="1"/>
        <n x="881" s="1"/>
        <n x="880" s="1"/>
        <n x="478"/>
        <n x="492"/>
        <n x="476"/>
      </t>
    </mdx>
    <mdx n="474" f="v">
      <t c="7">
        <n x="898" s="1"/>
        <n x="889" s="1"/>
        <n x="881" s="1"/>
        <n x="880" s="1"/>
        <n x="485"/>
        <n x="693"/>
        <n x="476"/>
      </t>
    </mdx>
    <mdx n="474" f="v">
      <t c="6">
        <n x="898" s="1"/>
        <n x="889" s="1"/>
        <n x="881" s="1"/>
        <n x="880" s="1"/>
        <n x="816"/>
        <n x="477"/>
      </t>
    </mdx>
    <mdx n="474" f="v">
      <t c="7">
        <n x="898" s="1"/>
        <n x="889" s="1"/>
        <n x="881" s="1"/>
        <n x="880" s="1"/>
        <n x="484"/>
        <n x="623"/>
        <n x="477"/>
      </t>
    </mdx>
    <mdx n="474" f="v">
      <t c="7">
        <n x="898" s="1"/>
        <n x="889" s="1"/>
        <n x="881" s="1"/>
        <n x="880" s="1"/>
        <n x="484"/>
        <n x="599"/>
        <n x="476"/>
      </t>
    </mdx>
    <mdx n="474" f="v">
      <t c="7">
        <n x="898" s="1"/>
        <n x="889" s="1"/>
        <n x="881" s="1"/>
        <n x="880" s="1"/>
        <n x="485"/>
        <n x="723"/>
        <n x="477"/>
      </t>
    </mdx>
    <mdx n="474" f="v">
      <t c="7">
        <n x="898" s="1"/>
        <n x="889" s="1"/>
        <n x="881" s="1"/>
        <n x="880" s="1"/>
        <n x="483"/>
        <n x="573"/>
        <n x="7"/>
      </t>
    </mdx>
    <mdx n="474" f="v">
      <t c="7">
        <n x="898" s="1"/>
        <n x="889" s="1"/>
        <n x="881" s="1"/>
        <n x="880" s="1"/>
        <n x="478"/>
        <n x="488"/>
        <n x="7"/>
      </t>
    </mdx>
    <mdx n="474" f="v">
      <t c="7">
        <n x="898" s="1"/>
        <n x="889" s="1"/>
        <n x="881" s="1"/>
        <n x="880" s="1"/>
        <n x="485"/>
        <n x="685"/>
        <n x="477"/>
      </t>
    </mdx>
    <mdx n="474" f="v">
      <t c="7">
        <n x="898" s="1"/>
        <n x="889" s="1"/>
        <n x="881" s="1"/>
        <n x="880" s="1"/>
        <n x="485"/>
        <n x="699"/>
        <n x="7"/>
      </t>
    </mdx>
    <mdx n="474" f="v">
      <t c="7">
        <n x="898" s="1"/>
        <n x="889" s="1"/>
        <n x="881" s="1"/>
        <n x="880" s="1"/>
        <n x="485"/>
        <n x="705"/>
        <n x="7"/>
      </t>
    </mdx>
    <mdx n="474" f="v">
      <t c="7">
        <n x="898" s="1"/>
        <n x="889" s="1"/>
        <n x="881" s="1"/>
        <n x="880" s="1"/>
        <n x="485"/>
        <n x="746"/>
        <n x="476"/>
      </t>
    </mdx>
    <mdx n="474" f="v">
      <t c="7">
        <n x="898" s="1"/>
        <n x="889" s="1"/>
        <n x="881" s="1"/>
        <n x="880" s="1"/>
        <n x="484"/>
        <n x="543"/>
        <n x="7"/>
      </t>
    </mdx>
    <mdx n="474" f="v">
      <t c="7">
        <n x="898" s="1"/>
        <n x="889" s="1"/>
        <n x="881" s="1"/>
        <n x="880" s="1"/>
        <n x="485"/>
        <n x="641"/>
        <n x="477"/>
      </t>
    </mdx>
    <mdx n="474" f="v">
      <t c="7">
        <n x="898" s="1"/>
        <n x="889" s="1"/>
        <n x="881" s="1"/>
        <n x="880" s="1"/>
        <n x="485"/>
        <n x="736"/>
        <n x="476"/>
      </t>
    </mdx>
    <mdx n="474" f="v">
      <t c="7">
        <n x="898" s="1"/>
        <n x="889" s="1"/>
        <n x="881" s="1"/>
        <n x="880" s="1"/>
        <n x="485"/>
        <n x="780"/>
        <n x="477"/>
      </t>
    </mdx>
    <mdx n="474" f="v">
      <t c="7">
        <n x="898" s="1"/>
        <n x="889" s="1"/>
        <n x="881" s="1"/>
        <n x="880" s="1"/>
        <n x="485"/>
        <n x="673"/>
        <n x="476"/>
      </t>
    </mdx>
    <mdx n="474" f="v">
      <t c="7">
        <n x="898" s="1"/>
        <n x="889" s="1"/>
        <n x="881" s="1"/>
        <n x="880" s="1"/>
        <n x="485"/>
        <n x="792"/>
        <n x="476"/>
      </t>
    </mdx>
    <mdx n="474" f="v">
      <t c="7">
        <n x="898" s="1"/>
        <n x="889" s="1"/>
        <n x="881" s="1"/>
        <n x="880" s="1"/>
        <n x="485"/>
        <n x="753"/>
        <n x="476"/>
      </t>
    </mdx>
    <mdx n="474" f="v">
      <t c="7">
        <n x="898" s="1"/>
        <n x="889" s="1"/>
        <n x="881" s="1"/>
        <n x="880" s="1"/>
        <n x="485"/>
        <n x="496"/>
        <n x="476"/>
      </t>
    </mdx>
    <mdx n="474" f="v">
      <t c="7">
        <n x="898" s="1"/>
        <n x="889" s="1"/>
        <n x="881" s="1"/>
        <n x="880" s="1"/>
        <n x="485"/>
        <n x="698"/>
        <n x="476"/>
      </t>
    </mdx>
    <mdx n="474" f="v">
      <t c="7">
        <n x="898" s="1"/>
        <n x="889" s="1"/>
        <n x="881" s="1"/>
        <n x="880" s="1"/>
        <n x="485"/>
        <n x="641"/>
        <n x="476"/>
      </t>
    </mdx>
    <mdx n="474" f="v">
      <t c="7">
        <n x="898" s="1"/>
        <n x="889" s="1"/>
        <n x="881" s="1"/>
        <n x="880" s="1"/>
        <n x="484"/>
        <n x="625"/>
        <n x="7"/>
      </t>
    </mdx>
    <mdx n="474" f="v">
      <t c="7">
        <n x="898" s="1"/>
        <n x="889" s="1"/>
        <n x="881" s="1"/>
        <n x="880" s="1"/>
        <n x="484"/>
        <n x="583"/>
        <n x="476"/>
      </t>
    </mdx>
    <mdx n="474" f="v">
      <t c="7">
        <n x="898" s="1"/>
        <n x="889" s="1"/>
        <n x="881" s="1"/>
        <n x="880" s="1"/>
        <n x="485"/>
        <n x="706"/>
        <n x="7"/>
      </t>
    </mdx>
    <mdx n="474" f="v">
      <t c="7">
        <n x="898" s="1"/>
        <n x="889" s="1"/>
        <n x="881" s="1"/>
        <n x="880" s="1"/>
        <n x="485"/>
        <n x="721"/>
        <n x="477"/>
      </t>
    </mdx>
    <mdx n="474" f="v">
      <t c="7">
        <n x="898" s="1"/>
        <n x="889" s="1"/>
        <n x="881" s="1"/>
        <n x="880" s="1"/>
        <n x="485"/>
        <n x="735"/>
        <n x="477"/>
      </t>
    </mdx>
    <mdx n="474" f="v">
      <t c="7">
        <n x="898" s="1"/>
        <n x="889" s="1"/>
        <n x="881" s="1"/>
        <n x="880" s="1"/>
        <n x="485"/>
        <n x="756"/>
        <n x="477"/>
      </t>
    </mdx>
    <mdx n="474" f="v">
      <t c="7">
        <n x="898" s="1"/>
        <n x="889" s="1"/>
        <n x="881" s="1"/>
        <n x="880" s="1"/>
        <n x="485"/>
        <n x="635"/>
        <n x="476"/>
      </t>
    </mdx>
    <mdx n="474" f="v">
      <t c="7">
        <n x="898" s="1"/>
        <n x="889" s="1"/>
        <n x="881" s="1"/>
        <n x="880" s="1"/>
        <n x="485"/>
        <n x="846"/>
        <n x="477"/>
      </t>
    </mdx>
    <mdx n="474" f="v">
      <t c="7">
        <n x="898" s="1"/>
        <n x="889" s="1"/>
        <n x="881" s="1"/>
        <n x="880" s="1"/>
        <n x="485"/>
        <n x="722"/>
        <n x="476"/>
      </t>
    </mdx>
    <mdx n="474" f="v">
      <t c="7">
        <n x="898" s="1"/>
        <n x="889" s="1"/>
        <n x="881" s="1"/>
        <n x="880" s="1"/>
        <n x="484"/>
        <n x="543"/>
        <n x="477"/>
      </t>
    </mdx>
    <mdx n="474" f="v">
      <t c="7">
        <n x="898" s="1"/>
        <n x="889" s="1"/>
        <n x="881" s="1"/>
        <n x="880" s="1"/>
        <n x="485"/>
        <n x="748"/>
        <n x="7"/>
      </t>
    </mdx>
    <mdx n="474" f="v">
      <t c="7">
        <n x="898" s="1"/>
        <n x="889" s="1"/>
        <n x="881" s="1"/>
        <n x="880" s="1"/>
        <n x="478"/>
        <n x="572"/>
        <n x="477"/>
      </t>
    </mdx>
    <mdx n="474" f="v">
      <t c="7">
        <n x="898" s="1"/>
        <n x="889" s="1"/>
        <n x="881" s="1"/>
        <n x="880" s="1"/>
        <n x="484"/>
        <n x="528"/>
        <n x="476"/>
      </t>
    </mdx>
    <mdx n="474" f="v">
      <t c="7">
        <n x="898" s="1"/>
        <n x="889" s="1"/>
        <n x="881" s="1"/>
        <n x="880" s="1"/>
        <n x="485"/>
        <n x="631"/>
        <n x="476"/>
      </t>
    </mdx>
    <mdx n="474" f="v">
      <t c="7">
        <n x="898" s="1"/>
        <n x="889" s="1"/>
        <n x="881" s="1"/>
        <n x="880" s="1"/>
        <n x="485"/>
        <n x="876"/>
        <n x="477"/>
      </t>
    </mdx>
    <mdx n="474" f="v">
      <t c="7">
        <n x="898" s="1"/>
        <n x="889" s="1"/>
        <n x="881" s="1"/>
        <n x="880" s="1"/>
        <n x="484"/>
        <n x="602"/>
        <n x="7"/>
      </t>
    </mdx>
    <mdx n="474" f="v">
      <t c="7">
        <n x="898" s="1"/>
        <n x="889" s="1"/>
        <n x="881" s="1"/>
        <n x="880" s="1"/>
        <n x="484"/>
        <n x="827"/>
        <n x="476"/>
      </t>
    </mdx>
    <mdx n="474" f="v">
      <t c="7">
        <n x="898" s="1"/>
        <n x="889" s="1"/>
        <n x="881" s="1"/>
        <n x="880" s="1"/>
        <n x="485"/>
        <n x="678"/>
        <n x="476"/>
      </t>
    </mdx>
    <mdx n="474" f="v">
      <t c="7">
        <n x="898" s="1"/>
        <n x="889" s="1"/>
        <n x="881" s="1"/>
        <n x="880" s="1"/>
        <n x="484"/>
        <n x="596"/>
        <n x="477"/>
      </t>
    </mdx>
    <mdx n="474" f="v">
      <t c="7">
        <n x="898" s="1"/>
        <n x="889" s="1"/>
        <n x="881" s="1"/>
        <n x="880" s="1"/>
        <n x="484"/>
        <n x="604"/>
        <n x="476"/>
      </t>
    </mdx>
    <mdx n="474" f="v">
      <t c="7">
        <n x="898" s="1"/>
        <n x="889" s="1"/>
        <n x="881" s="1"/>
        <n x="880" s="1"/>
        <n x="484"/>
        <n x="610"/>
        <n x="476"/>
      </t>
    </mdx>
    <mdx n="474" f="v">
      <t c="7">
        <n x="898" s="1"/>
        <n x="889" s="1"/>
        <n x="881" s="1"/>
        <n x="880" s="1"/>
        <n x="485"/>
        <n x="652"/>
        <n x="476"/>
      </t>
    </mdx>
    <mdx n="474" f="v">
      <t c="7">
        <n x="898" s="1"/>
        <n x="889" s="1"/>
        <n x="881" s="1"/>
        <n x="880" s="1"/>
        <n x="485"/>
        <n x="751"/>
        <n x="476"/>
      </t>
    </mdx>
    <mdx n="474" f="v">
      <t c="6">
        <n x="898" s="1"/>
        <n x="889" s="1"/>
        <n x="881" s="1"/>
        <n x="880" s="1"/>
        <n x="806"/>
        <n x="477"/>
      </t>
    </mdx>
    <mdx n="474" f="v">
      <t c="7">
        <n x="898" s="1"/>
        <n x="889" s="1"/>
        <n x="881" s="1"/>
        <n x="880" s="1"/>
        <n x="485"/>
        <n x="650"/>
        <n x="476"/>
      </t>
    </mdx>
    <mdx n="474" f="v">
      <t c="7">
        <n x="898" s="1"/>
        <n x="889" s="1"/>
        <n x="881" s="1"/>
        <n x="880" s="1"/>
        <n x="485"/>
        <n x="672"/>
        <n x="476"/>
      </t>
    </mdx>
    <mdx n="474" f="v">
      <t c="7">
        <n x="898" s="1"/>
        <n x="889" s="1"/>
        <n x="881" s="1"/>
        <n x="880" s="1"/>
        <n x="485"/>
        <n x="737"/>
        <n x="476"/>
      </t>
    </mdx>
    <mdx n="474" f="v">
      <t c="7">
        <n x="898" s="1"/>
        <n x="889" s="1"/>
        <n x="881" s="1"/>
        <n x="880" s="1"/>
        <n x="484"/>
        <n x="603"/>
        <n x="7"/>
      </t>
    </mdx>
    <mdx n="474" f="v">
      <t c="7">
        <n x="898" s="1"/>
        <n x="889" s="1"/>
        <n x="881" s="1"/>
        <n x="880" s="1"/>
        <n x="484"/>
        <n x="526"/>
        <n x="7"/>
      </t>
    </mdx>
    <mdx n="474" f="v">
      <t c="7">
        <n x="898" s="1"/>
        <n x="889" s="1"/>
        <n x="881" s="1"/>
        <n x="880" s="1"/>
        <n x="478"/>
        <n x="480"/>
        <n x="7"/>
      </t>
    </mdx>
    <mdx n="474" f="v">
      <t c="7">
        <n x="898" s="1"/>
        <n x="889" s="1"/>
        <n x="881" s="1"/>
        <n x="880" s="1"/>
        <n x="484"/>
        <n x="831"/>
        <n x="7"/>
      </t>
    </mdx>
    <mdx n="474" f="v">
      <t c="7">
        <n x="898" s="1"/>
        <n x="889" s="1"/>
        <n x="881" s="1"/>
        <n x="880" s="1"/>
        <n x="484"/>
        <n x="547"/>
        <n x="476"/>
      </t>
    </mdx>
    <mdx n="474" f="v">
      <t c="7">
        <n x="898" s="1"/>
        <n x="889" s="1"/>
        <n x="881" s="1"/>
        <n x="880" s="1"/>
        <n x="484"/>
        <n x="533"/>
        <n x="7"/>
      </t>
    </mdx>
    <mdx n="474" f="v">
      <t c="7">
        <n x="898" s="1"/>
        <n x="889" s="1"/>
        <n x="881" s="1"/>
        <n x="880" s="1"/>
        <n x="484"/>
        <n x="512"/>
        <n x="477"/>
      </t>
    </mdx>
    <mdx n="474" f="v">
      <t c="7">
        <n x="898" s="1"/>
        <n x="889" s="1"/>
        <n x="881" s="1"/>
        <n x="880" s="1"/>
        <n x="478"/>
        <n x="481"/>
        <n x="477"/>
      </t>
    </mdx>
    <mdx n="474" f="v">
      <t c="7">
        <n x="898" s="1"/>
        <n x="889" s="1"/>
        <n x="881" s="1"/>
        <n x="880" s="1"/>
        <n x="484"/>
        <n x="630"/>
        <n x="7"/>
      </t>
    </mdx>
    <mdx n="474" f="v">
      <t c="7">
        <n x="898" s="1"/>
        <n x="889" s="1"/>
        <n x="881" s="1"/>
        <n x="880" s="1"/>
        <n x="484"/>
        <n x="542"/>
        <n x="7"/>
      </t>
    </mdx>
    <mdx n="474" f="v">
      <t c="7">
        <n x="898" s="1"/>
        <n x="889" s="1"/>
        <n x="881" s="1"/>
        <n x="880" s="1"/>
        <n x="484"/>
        <n x="531"/>
        <n x="7"/>
      </t>
    </mdx>
    <mdx n="474" f="v">
      <t c="7">
        <n x="898" s="1"/>
        <n x="889" s="1"/>
        <n x="881" s="1"/>
        <n x="880" s="1"/>
        <n x="484"/>
        <n x="546"/>
        <n x="477"/>
      </t>
    </mdx>
    <mdx n="474" f="v">
      <t c="7">
        <n x="898" s="1"/>
        <n x="889" s="1"/>
        <n x="881" s="1"/>
        <n x="880" s="1"/>
        <n x="485"/>
        <n x="560"/>
        <n x="477"/>
      </t>
    </mdx>
    <mdx n="474" f="v">
      <t c="7">
        <n x="898" s="1"/>
        <n x="889" s="1"/>
        <n x="881" s="1"/>
        <n x="880" s="1"/>
        <n x="484"/>
        <n x="627"/>
        <n x="477"/>
      </t>
    </mdx>
    <mdx n="474" f="v">
      <t c="7">
        <n x="898" s="1"/>
        <n x="889" s="1"/>
        <n x="881" s="1"/>
        <n x="880" s="1"/>
        <n x="484"/>
        <n x="577"/>
        <n x="477"/>
      </t>
    </mdx>
    <mdx n="474" f="v">
      <t c="7">
        <n x="898" s="1"/>
        <n x="889" s="1"/>
        <n x="881" s="1"/>
        <n x="880" s="1"/>
        <n x="485"/>
        <n x="714"/>
        <n x="477"/>
      </t>
    </mdx>
    <mdx n="474" f="v">
      <t c="7">
        <n x="898" s="1"/>
        <n x="889" s="1"/>
        <n x="881" s="1"/>
        <n x="880" s="1"/>
        <n x="485"/>
        <n x="711"/>
        <n x="477"/>
      </t>
    </mdx>
    <mdx n="474" f="v">
      <t c="7">
        <n x="898" s="1"/>
        <n x="889" s="1"/>
        <n x="881" s="1"/>
        <n x="880" s="1"/>
        <n x="485"/>
        <n x="632"/>
        <n x="477"/>
      </t>
    </mdx>
    <mdx n="474" f="v">
      <t c="7">
        <n x="898" s="1"/>
        <n x="889" s="1"/>
        <n x="881" s="1"/>
        <n x="880" s="1"/>
        <n x="485"/>
        <n x="651"/>
        <n x="477"/>
      </t>
    </mdx>
    <mdx n="474" f="v">
      <t c="7">
        <n x="898" s="1"/>
        <n x="889" s="1"/>
        <n x="881" s="1"/>
        <n x="880" s="1"/>
        <n x="484"/>
        <n x="537"/>
        <n x="477"/>
      </t>
    </mdx>
    <mdx n="474" f="v">
      <t c="7">
        <n x="898" s="1"/>
        <n x="889" s="1"/>
        <n x="881" s="1"/>
        <n x="880" s="1"/>
        <n x="484"/>
        <n x="534"/>
        <n x="477"/>
      </t>
    </mdx>
    <mdx n="474" f="v">
      <t c="7">
        <n x="898" s="1"/>
        <n x="889" s="1"/>
        <n x="881" s="1"/>
        <n x="880" s="1"/>
        <n x="485"/>
        <n x="680"/>
        <n x="7"/>
      </t>
    </mdx>
    <mdx n="474" f="v">
      <t c="7">
        <n x="898" s="1"/>
        <n x="889" s="1"/>
        <n x="881" s="1"/>
        <n x="880" s="1"/>
        <n x="484"/>
        <n x="617"/>
        <n x="7"/>
      </t>
    </mdx>
    <mdx n="474" f="v">
      <t c="7">
        <n x="898" s="1"/>
        <n x="889" s="1"/>
        <n x="881" s="1"/>
        <n x="880" s="1"/>
        <n x="484"/>
        <n x="836"/>
        <n x="476"/>
      </t>
    </mdx>
    <mdx n="474" f="v">
      <t c="7">
        <n x="898" s="1"/>
        <n x="889" s="1"/>
        <n x="881" s="1"/>
        <n x="880" s="1"/>
        <n x="478"/>
        <n x="489"/>
        <n x="477"/>
      </t>
    </mdx>
    <mdx n="474" f="v">
      <t c="7">
        <n x="898" s="1"/>
        <n x="889" s="1"/>
        <n x="881" s="1"/>
        <n x="880" s="1"/>
        <n x="485"/>
        <n x="879"/>
        <n x="476"/>
      </t>
    </mdx>
    <mdx n="474" f="v">
      <t c="7">
        <n x="898" s="1"/>
        <n x="889" s="1"/>
        <n x="881" s="1"/>
        <n x="880" s="1"/>
        <n x="485"/>
        <n x="661"/>
        <n x="477"/>
      </t>
    </mdx>
    <mdx n="474" f="v">
      <t c="7">
        <n x="898" s="1"/>
        <n x="889" s="1"/>
        <n x="881" s="1"/>
        <n x="880" s="1"/>
        <n x="485"/>
        <n x="688"/>
        <n x="7"/>
      </t>
    </mdx>
    <mdx n="474" f="v">
      <t c="7">
        <n x="898" s="1"/>
        <n x="889" s="1"/>
        <n x="881" s="1"/>
        <n x="880" s="1"/>
        <n x="484"/>
        <n x="828"/>
        <n x="476"/>
      </t>
    </mdx>
    <mdx n="474" f="v">
      <t c="7">
        <n x="898" s="1"/>
        <n x="889" s="1"/>
        <n x="881" s="1"/>
        <n x="880" s="1"/>
        <n x="485"/>
        <n x="645"/>
        <n x="7"/>
      </t>
    </mdx>
    <mdx n="474" f="v">
      <t c="7">
        <n x="898" s="1"/>
        <n x="889" s="1"/>
        <n x="881" s="1"/>
        <n x="880" s="1"/>
        <n x="485"/>
        <n x="698"/>
        <n x="7"/>
      </t>
    </mdx>
    <mdx n="474" f="v">
      <t c="7">
        <n x="898" s="1"/>
        <n x="889" s="1"/>
        <n x="881" s="1"/>
        <n x="880" s="1"/>
        <n x="478"/>
        <n x="490"/>
        <n x="477"/>
      </t>
    </mdx>
    <mdx n="474" f="v">
      <t c="7">
        <n x="898" s="1"/>
        <n x="889" s="1"/>
        <n x="881" s="1"/>
        <n x="880" s="1"/>
        <n x="485"/>
        <n x="714"/>
        <n x="7"/>
      </t>
    </mdx>
    <mdx n="474" f="v">
      <t c="7">
        <n x="898" s="1"/>
        <n x="889" s="1"/>
        <n x="881" s="1"/>
        <n x="880" s="1"/>
        <n x="484"/>
        <n x="837"/>
        <n x="477"/>
      </t>
    </mdx>
    <mdx n="474" f="v">
      <t c="7">
        <n x="898" s="1"/>
        <n x="889" s="1"/>
        <n x="881" s="1"/>
        <n x="880" s="1"/>
        <n x="485"/>
        <n x="772"/>
        <n x="7"/>
      </t>
    </mdx>
    <mdx n="474" f="v">
      <t c="7">
        <n x="898" s="1"/>
        <n x="889" s="1"/>
        <n x="881" s="1"/>
        <n x="880" s="1"/>
        <n x="485"/>
        <n x="636"/>
        <n x="7"/>
      </t>
    </mdx>
    <mdx n="474" f="v">
      <t c="7">
        <n x="898" s="1"/>
        <n x="889" s="1"/>
        <n x="881" s="1"/>
        <n x="880" s="1"/>
        <n x="484"/>
        <n x="614"/>
        <n x="7"/>
      </t>
    </mdx>
    <mdx n="474" f="v">
      <t c="7">
        <n x="898" s="1"/>
        <n x="889" s="1"/>
        <n x="881" s="1"/>
        <n x="880" s="1"/>
        <n x="484"/>
        <n x="598"/>
        <n x="477"/>
      </t>
    </mdx>
    <mdx n="474" f="v">
      <t c="7">
        <n x="898" s="1"/>
        <n x="889" s="1"/>
        <n x="881" s="1"/>
        <n x="880" s="1"/>
        <n x="484"/>
        <n x="594"/>
        <n x="7"/>
      </t>
    </mdx>
    <mdx n="474" f="v">
      <t c="7">
        <n x="898" s="1"/>
        <n x="889" s="1"/>
        <n x="881" s="1"/>
        <n x="880" s="1"/>
        <n x="484"/>
        <n x="613"/>
        <n x="477"/>
      </t>
    </mdx>
    <mdx n="474" f="v">
      <t c="7">
        <n x="898" s="1"/>
        <n x="889" s="1"/>
        <n x="881" s="1"/>
        <n x="880" s="1"/>
        <n x="485"/>
        <n x="711"/>
        <n x="7"/>
      </t>
    </mdx>
    <mdx n="474" f="v">
      <t c="7">
        <n x="898" s="1"/>
        <n x="889" s="1"/>
        <n x="881" s="1"/>
        <n x="880" s="1"/>
        <n x="485"/>
        <n x="750"/>
        <n x="477"/>
      </t>
    </mdx>
    <mdx n="474" f="v">
      <t c="7">
        <n x="898" s="1"/>
        <n x="889" s="1"/>
        <n x="881" s="1"/>
        <n x="880" s="1"/>
        <n x="484"/>
        <n x="498"/>
        <n x="7"/>
      </t>
    </mdx>
    <mdx n="474" f="v">
      <t c="7">
        <n x="898" s="1"/>
        <n x="889" s="1"/>
        <n x="881" s="1"/>
        <n x="880" s="1"/>
        <n x="484"/>
        <n x="588"/>
        <n x="7"/>
      </t>
    </mdx>
    <mdx n="474" f="v">
      <t c="7">
        <n x="898" s="1"/>
        <n x="889" s="1"/>
        <n x="881" s="1"/>
        <n x="880" s="1"/>
        <n x="478"/>
        <n x="488"/>
        <n x="477"/>
      </t>
    </mdx>
    <mdx n="474" f="v">
      <t c="7">
        <n x="898" s="1"/>
        <n x="889" s="1"/>
        <n x="881" s="1"/>
        <n x="880" s="1"/>
        <n x="484"/>
        <n x="871"/>
        <n x="476"/>
      </t>
    </mdx>
    <mdx n="474" f="v">
      <t c="7">
        <n x="898" s="1"/>
        <n x="889" s="1"/>
        <n x="881" s="1"/>
        <n x="880" s="1"/>
        <n x="484"/>
        <n x="824"/>
        <n x="477"/>
      </t>
    </mdx>
    <mdx n="474" f="v">
      <t c="7">
        <n x="898" s="1"/>
        <n x="889" s="1"/>
        <n x="881" s="1"/>
        <n x="880" s="1"/>
        <n x="484"/>
        <n x="875"/>
        <n x="7"/>
      </t>
    </mdx>
    <mdx n="474" f="v">
      <t c="7">
        <n x="898" s="1"/>
        <n x="889" s="1"/>
        <n x="881" s="1"/>
        <n x="880" s="1"/>
        <n x="478"/>
        <n x="486"/>
        <n x="476"/>
      </t>
    </mdx>
    <mdx n="474" f="v">
      <t c="7">
        <n x="898" s="1"/>
        <n x="889" s="1"/>
        <n x="881" s="1"/>
        <n x="880" s="1"/>
        <n x="485"/>
        <n x="674"/>
        <n x="7"/>
      </t>
    </mdx>
    <mdx n="474" f="v">
      <t c="7">
        <n x="898" s="1"/>
        <n x="889" s="1"/>
        <n x="881" s="1"/>
        <n x="880" s="1"/>
        <n x="484"/>
        <n x="532"/>
        <n x="476"/>
      </t>
    </mdx>
    <mdx n="474" f="v">
      <t c="7">
        <n x="898" s="1"/>
        <n x="889" s="1"/>
        <n x="881" s="1"/>
        <n x="880" s="1"/>
        <n x="484"/>
        <n x="532"/>
        <n x="477"/>
      </t>
    </mdx>
    <mdx n="474" f="v">
      <t c="7">
        <n x="898" s="1"/>
        <n x="889" s="1"/>
        <n x="881" s="1"/>
        <n x="880" s="1"/>
        <n x="485"/>
        <n x="647"/>
        <n x="477"/>
      </t>
    </mdx>
    <mdx n="474" f="v">
      <t c="7">
        <n x="898" s="1"/>
        <n x="889" s="1"/>
        <n x="881" s="1"/>
        <n x="880" s="1"/>
        <n x="483"/>
        <n x="731"/>
        <n x="476"/>
      </t>
    </mdx>
    <mdx n="474" f="v">
      <t c="7">
        <n x="898" s="1"/>
        <n x="889" s="1"/>
        <n x="881" s="1"/>
        <n x="880" s="1"/>
        <n x="484"/>
        <n x="588"/>
        <n x="476"/>
      </t>
    </mdx>
    <mdx n="474" f="v">
      <t c="7">
        <n x="898" s="1"/>
        <n x="889" s="1"/>
        <n x="881" s="1"/>
        <n x="880" s="1"/>
        <n x="484"/>
        <n x="601"/>
        <n x="476"/>
      </t>
    </mdx>
    <mdx n="474" f="v">
      <t c="7">
        <n x="898" s="1"/>
        <n x="889" s="1"/>
        <n x="881" s="1"/>
        <n x="880" s="1"/>
        <n x="484"/>
        <n x="551"/>
        <n x="476"/>
      </t>
    </mdx>
    <mdx n="474" f="v">
      <t c="7">
        <n x="898" s="1"/>
        <n x="889" s="1"/>
        <n x="881" s="1"/>
        <n x="880" s="1"/>
        <n x="478"/>
        <n x="480"/>
        <n x="477"/>
      </t>
    </mdx>
    <mdx n="474" f="v">
      <t c="7">
        <n x="898" s="1"/>
        <n x="889" s="1"/>
        <n x="881" s="1"/>
        <n x="880" s="1"/>
        <n x="485"/>
        <n x="636"/>
        <n x="477"/>
      </t>
    </mdx>
    <mdx n="474" f="v">
      <t c="7">
        <n x="898" s="1"/>
        <n x="889" s="1"/>
        <n x="881" s="1"/>
        <n x="880" s="1"/>
        <n x="485"/>
        <n x="752"/>
        <n x="476"/>
      </t>
    </mdx>
    <mdx n="474" f="v">
      <t c="7">
        <n x="898" s="1"/>
        <n x="889" s="1"/>
        <n x="881" s="1"/>
        <n x="880" s="1"/>
        <n x="478"/>
        <n x="493"/>
        <n x="476"/>
      </t>
    </mdx>
    <mdx n="474" f="v">
      <t c="7">
        <n x="898" s="1"/>
        <n x="889" s="1"/>
        <n x="881" s="1"/>
        <n x="880" s="1"/>
        <n x="485"/>
        <n x="863"/>
        <n x="476"/>
      </t>
    </mdx>
    <mdx n="474" f="v">
      <t c="6">
        <n x="898" s="1"/>
        <n x="889" s="1"/>
        <n x="881" s="1"/>
        <n x="880" s="1"/>
        <n x="810"/>
        <n x="477"/>
      </t>
    </mdx>
    <mdx n="474" f="v">
      <t c="7">
        <n x="898" s="1"/>
        <n x="889" s="1"/>
        <n x="881" s="1"/>
        <n x="880" s="1"/>
        <n x="485"/>
        <n x="650"/>
        <n x="477"/>
      </t>
    </mdx>
    <mdx n="474" f="v">
      <t c="7">
        <n x="898" s="1"/>
        <n x="889" s="1"/>
        <n x="881" s="1"/>
        <n x="880" s="1"/>
        <n x="477"/>
        <n x="807"/>
        <n x="816"/>
      </t>
    </mdx>
    <mdx n="474" f="v">
      <t c="7">
        <n x="898" s="1"/>
        <n x="889" s="1"/>
        <n x="881" s="1"/>
        <n x="880" s="1"/>
        <n x="484"/>
        <n x="609"/>
        <n x="477"/>
      </t>
    </mdx>
    <mdx n="474" f="v">
      <t c="7">
        <n x="898" s="1"/>
        <n x="889" s="1"/>
        <n x="881" s="1"/>
        <n x="880" s="1"/>
        <n x="485"/>
        <n x="775"/>
        <n x="476"/>
      </t>
    </mdx>
    <mdx n="474" f="v">
      <t c="7">
        <n x="898" s="1"/>
        <n x="889" s="1"/>
        <n x="881" s="1"/>
        <n x="880" s="1"/>
        <n x="484"/>
        <n x="616"/>
        <n x="477"/>
      </t>
    </mdx>
    <mdx n="474" f="v">
      <t c="7">
        <n x="898" s="1"/>
        <n x="889" s="1"/>
        <n x="881" s="1"/>
        <n x="880" s="1"/>
        <n x="484"/>
        <n x="612"/>
        <n x="476"/>
      </t>
    </mdx>
    <mdx n="474" f="v">
      <t c="7">
        <n x="898" s="1"/>
        <n x="889" s="1"/>
        <n x="881" s="1"/>
        <n x="880" s="1"/>
        <n x="484"/>
        <n x="532"/>
        <n x="7"/>
      </t>
    </mdx>
    <mdx n="474" f="v">
      <t c="7">
        <n x="898" s="1"/>
        <n x="889" s="1"/>
        <n x="881" s="1"/>
        <n x="880" s="1"/>
        <n x="485"/>
        <n x="754"/>
        <n x="477"/>
      </t>
    </mdx>
    <mdx n="474" f="v">
      <t c="7">
        <n x="898" s="1"/>
        <n x="889" s="1"/>
        <n x="881" s="1"/>
        <n x="880" s="1"/>
        <n x="484"/>
        <n x="502"/>
        <n x="476"/>
      </t>
    </mdx>
    <mdx n="474" f="v">
      <t c="7">
        <n x="898" s="1"/>
        <n x="889" s="1"/>
        <n x="881" s="1"/>
        <n x="880" s="1"/>
        <n x="485"/>
        <n x="770"/>
        <n x="476"/>
      </t>
    </mdx>
    <mdx n="474" f="v">
      <t c="7">
        <n x="898" s="1"/>
        <n x="889" s="1"/>
        <n x="881" s="1"/>
        <n x="880" s="1"/>
        <n x="485"/>
        <n x="862"/>
        <n x="7"/>
      </t>
    </mdx>
    <mdx n="474" f="v">
      <t c="7">
        <n x="898" s="1"/>
        <n x="889" s="1"/>
        <n x="881" s="1"/>
        <n x="880" s="1"/>
        <n x="485"/>
        <n x="864"/>
        <n x="476"/>
      </t>
    </mdx>
    <mdx n="474" f="v">
      <t c="7">
        <n x="898" s="1"/>
        <n x="889" s="1"/>
        <n x="881" s="1"/>
        <n x="880" s="1"/>
        <n x="485"/>
        <n x="734"/>
        <n x="476"/>
      </t>
    </mdx>
    <mdx n="474" f="v">
      <t c="7">
        <n x="898" s="1"/>
        <n x="889" s="1"/>
        <n x="881" s="1"/>
        <n x="880" s="1"/>
        <n x="484"/>
        <n x="579"/>
        <n x="476"/>
      </t>
    </mdx>
    <mdx n="474" f="v">
      <t c="7">
        <n x="898" s="1"/>
        <n x="889" s="1"/>
        <n x="881" s="1"/>
        <n x="880" s="1"/>
        <n x="484"/>
        <n x="544"/>
        <n x="476"/>
      </t>
    </mdx>
    <mdx n="474" f="v">
      <t c="7">
        <n x="898" s="1"/>
        <n x="889" s="1"/>
        <n x="881" s="1"/>
        <n x="880" s="1"/>
        <n x="484"/>
        <n x="834"/>
        <n x="476"/>
      </t>
    </mdx>
    <mdx n="474" f="v">
      <t c="7">
        <n x="898" s="1"/>
        <n x="889" s="1"/>
        <n x="881" s="1"/>
        <n x="880" s="1"/>
        <n x="484"/>
        <n x="614"/>
        <n x="476"/>
      </t>
    </mdx>
    <mdx n="474" f="v">
      <t c="7">
        <n x="898" s="1"/>
        <n x="889" s="1"/>
        <n x="881" s="1"/>
        <n x="880" s="1"/>
        <n x="477"/>
        <n x="802"/>
        <n x="811"/>
      </t>
    </mdx>
    <mdx n="474" f="v">
      <t c="7">
        <n x="898" s="1"/>
        <n x="889" s="1"/>
        <n x="881" s="1"/>
        <n x="880" s="1"/>
        <n x="485"/>
        <n x="732"/>
        <n x="7"/>
      </t>
    </mdx>
    <mdx n="474" f="v">
      <t c="7">
        <n x="898" s="1"/>
        <n x="889" s="1"/>
        <n x="881" s="1"/>
        <n x="880" s="1"/>
        <n x="484"/>
        <n x="516"/>
        <n x="7"/>
      </t>
    </mdx>
    <mdx n="474" f="v">
      <t c="7">
        <n x="898" s="1"/>
        <n x="889" s="1"/>
        <n x="881" s="1"/>
        <n x="880" s="1"/>
        <n x="485"/>
        <n x="671"/>
        <n x="477"/>
      </t>
    </mdx>
    <mdx n="474" f="v">
      <t c="7">
        <n x="898" s="1"/>
        <n x="889" s="1"/>
        <n x="881" s="1"/>
        <n x="880" s="1"/>
        <n x="485"/>
        <n x="866"/>
        <n x="476"/>
      </t>
    </mdx>
    <mdx n="474" f="v">
      <t c="7">
        <n x="898" s="1"/>
        <n x="889" s="1"/>
        <n x="881" s="1"/>
        <n x="880" s="1"/>
        <n x="478"/>
        <n x="571"/>
        <n x="476"/>
      </t>
    </mdx>
    <mdx n="474" f="v">
      <t c="7">
        <n x="898" s="1"/>
        <n x="889" s="1"/>
        <n x="881" s="1"/>
        <n x="880" s="1"/>
        <n x="484"/>
        <n x="590"/>
        <n x="476"/>
      </t>
    </mdx>
    <mdx n="474" f="v">
      <t c="7">
        <n x="898" s="1"/>
        <n x="889" s="1"/>
        <n x="881" s="1"/>
        <n x="880" s="1"/>
        <n x="485"/>
        <n x="653"/>
        <n x="476"/>
      </t>
    </mdx>
    <mdx n="474" f="v">
      <t c="7">
        <n x="898" s="1"/>
        <n x="889" s="1"/>
        <n x="881" s="1"/>
        <n x="880" s="1"/>
        <n x="484"/>
        <n x="600"/>
        <n x="7"/>
      </t>
    </mdx>
    <mdx n="474" f="v">
      <t c="7">
        <n x="898" s="1"/>
        <n x="889" s="1"/>
        <n x="881" s="1"/>
        <n x="880" s="1"/>
        <n x="483"/>
        <n x="731"/>
        <n x="7"/>
      </t>
    </mdx>
    <mdx n="474" f="v">
      <t c="7">
        <n x="898" s="1"/>
        <n x="889" s="1"/>
        <n x="881" s="1"/>
        <n x="880" s="1"/>
        <n x="484"/>
        <n x="589"/>
        <n x="476"/>
      </t>
    </mdx>
    <mdx n="474" f="v">
      <t c="7">
        <n x="898" s="1"/>
        <n x="889" s="1"/>
        <n x="881" s="1"/>
        <n x="880" s="1"/>
        <n x="485"/>
        <n x="723"/>
        <n x="476"/>
      </t>
    </mdx>
    <mdx n="474" f="v">
      <t c="7">
        <n x="898" s="1"/>
        <n x="889" s="1"/>
        <n x="881" s="1"/>
        <n x="880" s="1"/>
        <n x="484"/>
        <n x="594"/>
        <n x="476"/>
      </t>
    </mdx>
    <mdx n="474" f="v">
      <t c="7">
        <n x="898" s="1"/>
        <n x="889" s="1"/>
        <n x="881" s="1"/>
        <n x="880" s="1"/>
        <n x="485"/>
        <n x="841"/>
        <n x="477"/>
      </t>
    </mdx>
    <mdx n="474" f="v">
      <t c="7">
        <n x="898" s="1"/>
        <n x="889" s="1"/>
        <n x="881" s="1"/>
        <n x="880" s="1"/>
        <n x="485"/>
        <n x="730"/>
        <n x="476"/>
      </t>
    </mdx>
    <mdx n="474" f="v">
      <t c="7">
        <n x="898" s="1"/>
        <n x="889" s="1"/>
        <n x="881" s="1"/>
        <n x="880" s="1"/>
        <n x="484"/>
        <n x="516"/>
        <n x="477"/>
      </t>
    </mdx>
    <mdx n="474" f="v">
      <t c="7">
        <n x="898" s="1"/>
        <n x="889" s="1"/>
        <n x="881" s="1"/>
        <n x="880" s="1"/>
        <n x="485"/>
        <n x="854"/>
        <n x="476"/>
      </t>
    </mdx>
    <mdx n="474" f="v">
      <t c="7">
        <n x="898" s="1"/>
        <n x="889" s="1"/>
        <n x="881" s="1"/>
        <n x="880" s="1"/>
        <n x="484"/>
        <n x="503"/>
        <n x="476"/>
      </t>
    </mdx>
    <mdx n="474" f="v">
      <t c="7">
        <n x="898" s="1"/>
        <n x="889" s="1"/>
        <n x="881" s="1"/>
        <n x="880" s="1"/>
        <n x="478"/>
        <n x="481"/>
        <n x="7"/>
      </t>
    </mdx>
    <mdx n="474" f="v">
      <t c="7">
        <n x="898" s="1"/>
        <n x="889" s="1"/>
        <n x="881" s="1"/>
        <n x="880" s="1"/>
        <n x="485"/>
        <n x="640"/>
        <n x="477"/>
      </t>
    </mdx>
    <mdx n="474" f="v">
      <t c="7">
        <n x="898" s="1"/>
        <n x="889" s="1"/>
        <n x="881" s="1"/>
        <n x="880" s="1"/>
        <n x="484"/>
        <n x="628"/>
        <n x="476"/>
      </t>
    </mdx>
    <mdx n="474" f="v">
      <t c="7">
        <n x="898" s="1"/>
        <n x="889" s="1"/>
        <n x="881" s="1"/>
        <n x="880" s="1"/>
        <n x="484"/>
        <n x="541"/>
        <n x="477"/>
      </t>
    </mdx>
    <mdx n="474" f="v">
      <t c="6">
        <n x="898" s="1"/>
        <n x="889" s="1"/>
        <n x="881" s="1"/>
        <n x="880" s="1"/>
        <n x="12"/>
        <n x="477"/>
      </t>
    </mdx>
    <mdx n="474" f="v">
      <t c="7">
        <n x="898" s="1"/>
        <n x="889" s="1"/>
        <n x="881" s="1"/>
        <n x="880" s="1"/>
        <n x="484"/>
        <n x="627"/>
        <n x="476"/>
      </t>
    </mdx>
    <mdx n="474" f="v">
      <t c="7">
        <n x="898" s="1"/>
        <n x="889" s="1"/>
        <n x="881" s="1"/>
        <n x="880" s="1"/>
        <n x="485"/>
        <n x="841"/>
        <n x="476"/>
      </t>
    </mdx>
    <mdx n="474" f="v">
      <t c="7">
        <n x="898" s="1"/>
        <n x="889" s="1"/>
        <n x="881" s="1"/>
        <n x="880" s="1"/>
        <n x="485"/>
        <n x="785"/>
        <n x="476"/>
      </t>
    </mdx>
    <mdx n="474" f="v">
      <t c="7">
        <n x="898" s="1"/>
        <n x="889" s="1"/>
        <n x="881" s="1"/>
        <n x="880" s="1"/>
        <n x="477"/>
        <n x="802"/>
        <n x="805"/>
      </t>
    </mdx>
    <mdx n="474" f="v">
      <t c="7">
        <n x="898" s="1"/>
        <n x="889" s="1"/>
        <n x="881" s="1"/>
        <n x="880" s="1"/>
        <n x="484"/>
        <n x="543"/>
        <n x="476"/>
      </t>
    </mdx>
    <mdx n="474" f="v">
      <t c="7">
        <n x="898" s="1"/>
        <n x="889" s="1"/>
        <n x="881" s="1"/>
        <n x="880" s="1"/>
        <n x="485"/>
        <n x="689"/>
        <n x="7"/>
      </t>
    </mdx>
    <mdx n="474" f="v">
      <t c="7">
        <n x="898" s="1"/>
        <n x="889" s="1"/>
        <n x="881" s="1"/>
        <n x="880" s="1"/>
        <n x="485"/>
        <n x="562"/>
        <n x="7"/>
      </t>
    </mdx>
    <mdx n="474" f="v">
      <t c="7">
        <n x="898" s="1"/>
        <n x="889" s="1"/>
        <n x="881" s="1"/>
        <n x="880" s="1"/>
        <n x="485"/>
        <n x="707"/>
        <n x="7"/>
      </t>
    </mdx>
    <mdx n="474" f="v">
      <t c="7">
        <n x="898" s="1"/>
        <n x="889" s="1"/>
        <n x="881" s="1"/>
        <n x="880" s="1"/>
        <n x="485"/>
        <n x="676"/>
        <n x="7"/>
      </t>
    </mdx>
    <mdx n="474" f="v">
      <t c="7">
        <n x="898" s="1"/>
        <n x="889" s="1"/>
        <n x="881" s="1"/>
        <n x="880" s="1"/>
        <n x="484"/>
        <n x="576"/>
        <n x="477"/>
      </t>
    </mdx>
    <mdx n="474" f="v">
      <t c="7">
        <n x="898" s="1"/>
        <n x="889" s="1"/>
        <n x="881" s="1"/>
        <n x="880" s="1"/>
        <n x="485"/>
        <n x="771"/>
        <n x="477"/>
      </t>
    </mdx>
    <mdx n="474" f="v">
      <t c="7">
        <n x="898" s="1"/>
        <n x="889" s="1"/>
        <n x="881" s="1"/>
        <n x="880" s="1"/>
        <n x="485"/>
        <n x="715"/>
        <n x="477"/>
      </t>
    </mdx>
    <mdx n="474" f="v">
      <t c="7">
        <n x="898" s="1"/>
        <n x="889" s="1"/>
        <n x="881" s="1"/>
        <n x="880" s="1"/>
        <n x="484"/>
        <n x="530"/>
        <n x="477"/>
      </t>
    </mdx>
    <mdx n="474" f="v">
      <t c="7">
        <n x="898" s="1"/>
        <n x="889" s="1"/>
        <n x="881" s="1"/>
        <n x="880" s="1"/>
        <n x="484"/>
        <n x="523"/>
        <n x="477"/>
      </t>
    </mdx>
    <mdx n="474" f="v">
      <t c="7">
        <n x="898" s="1"/>
        <n x="889" s="1"/>
        <n x="881" s="1"/>
        <n x="880" s="1"/>
        <n x="485"/>
        <n x="772"/>
        <n x="477"/>
      </t>
    </mdx>
    <mdx n="474" f="v">
      <t c="7">
        <n x="898" s="1"/>
        <n x="889" s="1"/>
        <n x="881" s="1"/>
        <n x="880" s="1"/>
        <n x="484"/>
        <n x="534"/>
        <n x="7"/>
      </t>
    </mdx>
    <mdx n="474" f="v">
      <t c="7">
        <n x="898" s="1"/>
        <n x="889" s="1"/>
        <n x="881" s="1"/>
        <n x="880" s="1"/>
        <n x="477"/>
        <n x="807"/>
        <n x="811"/>
      </t>
    </mdx>
    <mdx n="474" f="v">
      <t c="7">
        <n x="898" s="1"/>
        <n x="889" s="1"/>
        <n x="881" s="1"/>
        <n x="880" s="1"/>
        <n x="484"/>
        <n x="856"/>
        <n x="477"/>
      </t>
    </mdx>
    <mdx n="474" f="v">
      <t c="7">
        <n x="898" s="1"/>
        <n x="889" s="1"/>
        <n x="881" s="1"/>
        <n x="880" s="1"/>
        <n x="485"/>
        <n x="689"/>
        <n x="476"/>
      </t>
    </mdx>
    <mdx n="474" f="v">
      <t c="7">
        <n x="898" s="1"/>
        <n x="889" s="1"/>
        <n x="881" s="1"/>
        <n x="880" s="1"/>
        <n x="484"/>
        <n x="836"/>
        <n x="7"/>
      </t>
    </mdx>
    <mdx n="474" f="v">
      <t c="7">
        <n x="898" s="1"/>
        <n x="889" s="1"/>
        <n x="881" s="1"/>
        <n x="880" s="1"/>
        <n x="485"/>
        <n x="864"/>
        <n x="477"/>
      </t>
    </mdx>
    <mdx n="474" f="v">
      <t c="7">
        <n x="898" s="1"/>
        <n x="889" s="1"/>
        <n x="881" s="1"/>
        <n x="880" s="1"/>
        <n x="484"/>
        <n x="583"/>
        <n x="7"/>
      </t>
    </mdx>
    <mdx n="474" f="v">
      <t c="6">
        <n x="898" s="1"/>
        <n x="889" s="1"/>
        <n x="881" s="1"/>
        <n x="880" s="1"/>
        <n x="805"/>
        <n x="476"/>
      </t>
    </mdx>
    <mdx n="474" f="v">
      <t c="6">
        <n x="898" s="1"/>
        <n x="889" s="1"/>
        <n x="881" s="1"/>
        <n x="880" s="1"/>
        <n x="806"/>
        <n x="476"/>
      </t>
    </mdx>
    <mdx n="474" f="v">
      <t c="6">
        <n x="898" s="1"/>
        <n x="889" s="1"/>
        <n x="881" s="1"/>
        <n x="880" s="1"/>
        <n x="815"/>
        <n x="476"/>
      </t>
    </mdx>
    <mdx n="474" f="v">
      <t c="7">
        <n x="898" s="1"/>
        <n x="889" s="1"/>
        <n x="881" s="1"/>
        <n x="880" s="1"/>
        <n x="478"/>
        <n x="565"/>
        <n x="477"/>
      </t>
    </mdx>
    <mdx n="474" f="v">
      <t c="7">
        <n x="898" s="1"/>
        <n x="889" s="1"/>
        <n x="881" s="1"/>
        <n x="880" s="1"/>
        <n x="484"/>
        <n x="828"/>
        <n x="477"/>
      </t>
    </mdx>
    <mdx n="474" f="v">
      <t c="7">
        <n x="898" s="1"/>
        <n x="889" s="1"/>
        <n x="881" s="1"/>
        <n x="880" s="1"/>
        <n x="485"/>
        <n x="767"/>
        <n x="7"/>
      </t>
    </mdx>
    <mdx n="474" f="v">
      <t c="7">
        <n x="898" s="1"/>
        <n x="889" s="1"/>
        <n x="881" s="1"/>
        <n x="880" s="1"/>
        <n x="484"/>
        <n x="621"/>
        <n x="476"/>
      </t>
    </mdx>
    <mdx n="474" f="v">
      <t c="7">
        <n x="898" s="1"/>
        <n x="889" s="1"/>
        <n x="881" s="1"/>
        <n x="880" s="1"/>
        <n x="485"/>
        <n x="716"/>
        <n x="477"/>
      </t>
    </mdx>
    <mdx n="474" f="v">
      <t c="7">
        <n x="898" s="1"/>
        <n x="889" s="1"/>
        <n x="881" s="1"/>
        <n x="880" s="1"/>
        <n x="484"/>
        <n x="620"/>
        <n x="476"/>
      </t>
    </mdx>
    <mdx n="474" f="v">
      <t c="7">
        <n x="898" s="1"/>
        <n x="889" s="1"/>
        <n x="881" s="1"/>
        <n x="880" s="1"/>
        <n x="484"/>
        <n x="615"/>
        <n x="476"/>
      </t>
    </mdx>
    <mdx n="474" f="v">
      <t c="7">
        <n x="898" s="1"/>
        <n x="889" s="1"/>
        <n x="881" s="1"/>
        <n x="880" s="1"/>
        <n x="485"/>
        <n x="646"/>
        <n x="7"/>
      </t>
    </mdx>
    <mdx n="474" f="v">
      <t c="7">
        <n x="898" s="1"/>
        <n x="889" s="1"/>
        <n x="881" s="1"/>
        <n x="880" s="1"/>
        <n x="477"/>
        <n x="813"/>
        <n x="811"/>
      </t>
    </mdx>
    <mdx n="474" f="v">
      <t c="7">
        <n x="898" s="1"/>
        <n x="889" s="1"/>
        <n x="881" s="1"/>
        <n x="880" s="1"/>
        <n x="484"/>
        <n x="528"/>
        <n x="477"/>
      </t>
    </mdx>
    <mdx n="474" f="v">
      <t c="7">
        <n x="898" s="1"/>
        <n x="889" s="1"/>
        <n x="881" s="1"/>
        <n x="880" s="1"/>
        <n x="485"/>
        <n x="853"/>
        <n x="7"/>
      </t>
    </mdx>
    <mdx n="474" f="v">
      <t c="7">
        <n x="898" s="1"/>
        <n x="889" s="1"/>
        <n x="881" s="1"/>
        <n x="880" s="1"/>
        <n x="484"/>
        <n x="590"/>
        <n x="7"/>
      </t>
    </mdx>
    <mdx n="474" f="v">
      <t c="7">
        <n x="898" s="1"/>
        <n x="889" s="1"/>
        <n x="881" s="1"/>
        <n x="880" s="1"/>
        <n x="484"/>
        <n x="834"/>
        <n x="477"/>
      </t>
    </mdx>
    <mdx n="474" f="v">
      <t c="7">
        <n x="898" s="1"/>
        <n x="889" s="1"/>
        <n x="881" s="1"/>
        <n x="880" s="1"/>
        <n x="484"/>
        <n x="582"/>
        <n x="476"/>
      </t>
    </mdx>
    <mdx n="474" f="v">
      <t c="7">
        <n x="898" s="1"/>
        <n x="889" s="1"/>
        <n x="881" s="1"/>
        <n x="880" s="1"/>
        <n x="484"/>
        <n x="626"/>
        <n x="476"/>
      </t>
    </mdx>
    <mdx n="474" f="v">
      <t c="7">
        <n x="898" s="1"/>
        <n x="889" s="1"/>
        <n x="881" s="1"/>
        <n x="880" s="1"/>
        <n x="485"/>
        <n x="662"/>
        <n x="7"/>
      </t>
    </mdx>
    <mdx n="474" f="v">
      <t c="7">
        <n x="898" s="1"/>
        <n x="889" s="1"/>
        <n x="881" s="1"/>
        <n x="880" s="1"/>
        <n x="477"/>
        <n x="796"/>
        <n x="797"/>
      </t>
    </mdx>
    <mdx n="474" f="v">
      <t c="7">
        <n x="898" s="1"/>
        <n x="889" s="1"/>
        <n x="881" s="1"/>
        <n x="880" s="1"/>
        <n x="484"/>
        <n x="610"/>
        <n x="477"/>
      </t>
    </mdx>
    <mdx n="474" f="v">
      <t c="7">
        <n x="898" s="1"/>
        <n x="889" s="1"/>
        <n x="881" s="1"/>
        <n x="880" s="1"/>
        <n x="485"/>
        <n x="665"/>
        <n x="476"/>
      </t>
    </mdx>
    <mdx n="474" f="v">
      <t c="7">
        <n x="898" s="1"/>
        <n x="889" s="1"/>
        <n x="881" s="1"/>
        <n x="880" s="1"/>
        <n x="485"/>
        <n x="751"/>
        <n x="477"/>
      </t>
    </mdx>
    <mdx n="474" f="v">
      <t c="7">
        <n x="898" s="1"/>
        <n x="889" s="1"/>
        <n x="881" s="1"/>
        <n x="880" s="1"/>
        <n x="485"/>
        <n x="861"/>
        <n x="477"/>
      </t>
    </mdx>
    <mdx n="474" f="v">
      <t c="7">
        <n x="898" s="1"/>
        <n x="889" s="1"/>
        <n x="881" s="1"/>
        <n x="880" s="1"/>
        <n x="484"/>
        <n x="489"/>
        <n x="476"/>
      </t>
    </mdx>
    <mdx n="474" f="v">
      <t c="7">
        <n x="898" s="1"/>
        <n x="889" s="1"/>
        <n x="881" s="1"/>
        <n x="880" s="1"/>
        <n x="484"/>
        <n x="617"/>
        <n x="477"/>
      </t>
    </mdx>
    <mdx n="474" f="v">
      <t c="7">
        <n x="898" s="1"/>
        <n x="889" s="1"/>
        <n x="881" s="1"/>
        <n x="880" s="1"/>
        <n x="485"/>
        <n x="660"/>
        <n x="476"/>
      </t>
    </mdx>
    <mdx n="474" f="v">
      <t c="7">
        <n x="898" s="1"/>
        <n x="889" s="1"/>
        <n x="881" s="1"/>
        <n x="880" s="1"/>
        <n x="485"/>
        <n x="675"/>
        <n x="476"/>
      </t>
    </mdx>
    <mdx n="474" f="v">
      <t c="7">
        <n x="898" s="1"/>
        <n x="889" s="1"/>
        <n x="881" s="1"/>
        <n x="880" s="1"/>
        <n x="485"/>
        <n x="714"/>
        <n x="476"/>
      </t>
    </mdx>
    <mdx n="474" f="v">
      <t c="7">
        <n x="898" s="1"/>
        <n x="889" s="1"/>
        <n x="881" s="1"/>
        <n x="880" s="1"/>
        <n x="484"/>
        <n x="538"/>
        <n x="476"/>
      </t>
    </mdx>
    <mdx n="474" f="v">
      <t c="7">
        <n x="898" s="1"/>
        <n x="889" s="1"/>
        <n x="881" s="1"/>
        <n x="880" s="1"/>
        <n x="485"/>
        <n x="735"/>
        <n x="7"/>
      </t>
    </mdx>
    <mdx n="474" f="v">
      <t c="7">
        <n x="898" s="1"/>
        <n x="889" s="1"/>
        <n x="881" s="1"/>
        <n x="880" s="1"/>
        <n x="485"/>
        <n x="868"/>
        <n x="476"/>
      </t>
    </mdx>
    <mdx n="474" f="v">
      <t c="7">
        <n x="898" s="1"/>
        <n x="889" s="1"/>
        <n x="881" s="1"/>
        <n x="880" s="1"/>
        <n x="477"/>
        <n x="802"/>
        <n x="801"/>
      </t>
    </mdx>
    <mdx n="474" f="v">
      <t c="7">
        <n x="898" s="1"/>
        <n x="889" s="1"/>
        <n x="881" s="1"/>
        <n x="880" s="1"/>
        <n x="484"/>
        <n x="525"/>
        <n x="476"/>
      </t>
    </mdx>
    <mdx n="474" f="v">
      <t c="7">
        <n x="898" s="1"/>
        <n x="889" s="1"/>
        <n x="881" s="1"/>
        <n x="880" s="1"/>
        <n x="477"/>
        <n x="802"/>
        <n x="810"/>
      </t>
    </mdx>
    <mdx n="474" f="v">
      <t c="7">
        <n x="898" s="1"/>
        <n x="889" s="1"/>
        <n x="881" s="1"/>
        <n x="880" s="1"/>
        <n x="477"/>
        <n x="796"/>
        <n x="808"/>
      </t>
    </mdx>
    <mdx n="474" f="v">
      <t c="7">
        <n x="898" s="1"/>
        <n x="889" s="1"/>
        <n x="881" s="1"/>
        <n x="880" s="1"/>
        <n x="485"/>
        <n x="694"/>
        <n x="476"/>
      </t>
    </mdx>
    <mdx n="474" f="v">
      <t c="7">
        <n x="898" s="1"/>
        <n x="889" s="1"/>
        <n x="881" s="1"/>
        <n x="880" s="1"/>
        <n x="477"/>
        <n x="807"/>
        <n x="817"/>
      </t>
    </mdx>
    <mdx n="474" f="v">
      <t c="7">
        <n x="898" s="1"/>
        <n x="889" s="1"/>
        <n x="881" s="1"/>
        <n x="880" s="1"/>
        <n x="485"/>
        <n x="774"/>
        <n x="476"/>
      </t>
    </mdx>
    <mdx n="474" f="v">
      <t c="7">
        <n x="898" s="1"/>
        <n x="889" s="1"/>
        <n x="881" s="1"/>
        <n x="880" s="1"/>
        <n x="485"/>
        <n x="686"/>
        <n x="477"/>
      </t>
    </mdx>
    <mdx n="474" f="v">
      <t c="7">
        <n x="898" s="1"/>
        <n x="889" s="1"/>
        <n x="881" s="1"/>
        <n x="880" s="1"/>
        <n x="485"/>
        <n x="735"/>
        <n x="476"/>
      </t>
    </mdx>
    <mdx n="474" f="v">
      <t c="7">
        <n x="898" s="1"/>
        <n x="889" s="1"/>
        <n x="881" s="1"/>
        <n x="880" s="1"/>
        <n x="484"/>
        <n x="514"/>
        <n x="477"/>
      </t>
    </mdx>
    <mdx n="474" f="v">
      <t c="7">
        <n x="898" s="1"/>
        <n x="889" s="1"/>
        <n x="881" s="1"/>
        <n x="880" s="1"/>
        <n x="485"/>
        <n x="876"/>
        <n x="476"/>
      </t>
    </mdx>
    <mdx n="474" f="v">
      <t c="7">
        <n x="898" s="1"/>
        <n x="889" s="1"/>
        <n x="881" s="1"/>
        <n x="880" s="1"/>
        <n x="484"/>
        <n x="510"/>
        <n x="476"/>
      </t>
    </mdx>
    <mdx n="474" f="v">
      <t c="7">
        <n x="898" s="1"/>
        <n x="889" s="1"/>
        <n x="881" s="1"/>
        <n x="880" s="1"/>
        <n x="484"/>
        <n x="595"/>
        <n x="7"/>
      </t>
    </mdx>
    <mdx n="474" f="v">
      <t c="7">
        <n x="898" s="1"/>
        <n x="889" s="1"/>
        <n x="881" s="1"/>
        <n x="880" s="1"/>
        <n x="484"/>
        <n x="860"/>
        <n x="476"/>
      </t>
    </mdx>
    <mdx n="474" f="v">
      <t c="7">
        <n x="898" s="1"/>
        <n x="889" s="1"/>
        <n x="881" s="1"/>
        <n x="880" s="1"/>
        <n x="484"/>
        <n x="826"/>
        <n x="477"/>
      </t>
    </mdx>
    <mdx n="474" f="v">
      <t c="7">
        <n x="898" s="1"/>
        <n x="889" s="1"/>
        <n x="881" s="1"/>
        <n x="880" s="1"/>
        <n x="485"/>
        <n x="687"/>
        <n x="477"/>
      </t>
    </mdx>
    <mdx n="474" f="v">
      <t c="7">
        <n x="898" s="1"/>
        <n x="889" s="1"/>
        <n x="881" s="1"/>
        <n x="880" s="1"/>
        <n x="477"/>
        <n x="813"/>
        <n x="797"/>
      </t>
    </mdx>
    <mdx n="474" f="v">
      <t c="7">
        <n x="898" s="1"/>
        <n x="889" s="1"/>
        <n x="881" s="1"/>
        <n x="880" s="1"/>
        <n x="484"/>
        <n x="594"/>
        <n x="477"/>
      </t>
    </mdx>
    <mdx n="474" f="v">
      <t c="7">
        <n x="898" s="1"/>
        <n x="889" s="1"/>
        <n x="881" s="1"/>
        <n x="880" s="1"/>
        <n x="485"/>
        <n x="652"/>
        <n x="477"/>
      </t>
    </mdx>
    <mdx n="474" f="v">
      <t c="7">
        <n x="898" s="1"/>
        <n x="889" s="1"/>
        <n x="881" s="1"/>
        <n x="880" s="1"/>
        <n x="485"/>
        <n x="792"/>
        <n x="7"/>
      </t>
    </mdx>
    <mdx n="474" f="v">
      <t c="7">
        <n x="898" s="1"/>
        <n x="889" s="1"/>
        <n x="881" s="1"/>
        <n x="880" s="1"/>
        <n x="484"/>
        <n x="617"/>
        <n x="476"/>
      </t>
    </mdx>
    <mdx n="474" f="v">
      <t c="7">
        <n x="898" s="1"/>
        <n x="889" s="1"/>
        <n x="881" s="1"/>
        <n x="880" s="1"/>
        <n x="485"/>
        <n x="728"/>
        <n x="476"/>
      </t>
    </mdx>
    <mdx n="474" f="v">
      <t c="7">
        <n x="898" s="1"/>
        <n x="889" s="1"/>
        <n x="881" s="1"/>
        <n x="880" s="1"/>
        <n x="478"/>
        <n x="489"/>
        <n x="7"/>
      </t>
    </mdx>
    <mdx n="474" f="v">
      <t c="7">
        <n x="898" s="1"/>
        <n x="889" s="1"/>
        <n x="881" s="1"/>
        <n x="880" s="1"/>
        <n x="485"/>
        <n x="738"/>
        <n x="476"/>
      </t>
    </mdx>
    <mdx n="474" f="v">
      <t c="6">
        <n x="898" s="1"/>
        <n x="889" s="1"/>
        <n x="881" s="1"/>
        <n x="880" s="1"/>
        <n x="810"/>
        <n x="476"/>
      </t>
    </mdx>
    <mdx n="474" f="v">
      <t c="6">
        <n x="898" s="1"/>
        <n x="889" s="1"/>
        <n x="881" s="1"/>
        <n x="880" s="1"/>
        <n x="816"/>
        <n x="476"/>
      </t>
    </mdx>
    <mdx n="474" f="v">
      <t c="7">
        <n x="898" s="1"/>
        <n x="889" s="1"/>
        <n x="881" s="1"/>
        <n x="880" s="1"/>
        <n x="478"/>
        <n x="565"/>
        <n x="7"/>
      </t>
    </mdx>
    <mdx n="474" f="v">
      <t c="7">
        <n x="898" s="1"/>
        <n x="889" s="1"/>
        <n x="881" s="1"/>
        <n x="880" s="1"/>
        <n x="485"/>
        <n x="774"/>
        <n x="7"/>
      </t>
    </mdx>
    <mdx n="474" f="v">
      <t c="7">
        <n x="898" s="1"/>
        <n x="889" s="1"/>
        <n x="881" s="1"/>
        <n x="880" s="1"/>
        <n x="484"/>
        <n x="541"/>
        <n x="7"/>
      </t>
    </mdx>
    <mdx n="474" f="v">
      <t c="7">
        <n x="898" s="1"/>
        <n x="889" s="1"/>
        <n x="881" s="1"/>
        <n x="880" s="1"/>
        <n x="478"/>
        <n x="564"/>
        <n x="7"/>
      </t>
    </mdx>
    <mdx n="474" f="v">
      <t c="7">
        <n x="898" s="1"/>
        <n x="889" s="1"/>
        <n x="881" s="1"/>
        <n x="880" s="1"/>
        <n x="485"/>
        <n x="844"/>
        <n x="476"/>
      </t>
    </mdx>
    <mdx n="474" f="v">
      <t c="7">
        <n x="898" s="1"/>
        <n x="889" s="1"/>
        <n x="881" s="1"/>
        <n x="880" s="1"/>
        <n x="485"/>
        <n x="719"/>
        <n x="7"/>
      </t>
    </mdx>
    <mdx n="474" f="v">
      <t c="7">
        <n x="898" s="1"/>
        <n x="889" s="1"/>
        <n x="881" s="1"/>
        <n x="880" s="1"/>
        <n x="484"/>
        <n x="549"/>
        <n x="477"/>
      </t>
    </mdx>
    <mdx n="474" f="v">
      <t c="7">
        <n x="898" s="1"/>
        <n x="889" s="1"/>
        <n x="881" s="1"/>
        <n x="880" s="1"/>
        <n x="485"/>
        <n x="759"/>
        <n x="477"/>
      </t>
    </mdx>
    <mdx n="474" f="v">
      <t c="7">
        <n x="898" s="1"/>
        <n x="889" s="1"/>
        <n x="881" s="1"/>
        <n x="880" s="1"/>
        <n x="484"/>
        <n x="501"/>
        <n x="477"/>
      </t>
    </mdx>
    <mdx n="474" f="v">
      <t c="7">
        <n x="898" s="1"/>
        <n x="889" s="1"/>
        <n x="881" s="1"/>
        <n x="880" s="1"/>
        <n x="477"/>
        <n x="812"/>
        <n x="797"/>
      </t>
    </mdx>
    <mdx n="474" f="v">
      <t c="7">
        <n x="898" s="1"/>
        <n x="889" s="1"/>
        <n x="881" s="1"/>
        <n x="880" s="1"/>
        <n x="484"/>
        <n x="614"/>
        <n x="477"/>
      </t>
    </mdx>
    <mdx n="474" f="v">
      <t c="7">
        <n x="898" s="1"/>
        <n x="889" s="1"/>
        <n x="881" s="1"/>
        <n x="880" s="1"/>
        <n x="484"/>
        <n x="525"/>
        <n x="477"/>
      </t>
    </mdx>
    <mdx n="474" f="v">
      <t c="7">
        <n x="898" s="1"/>
        <n x="889" s="1"/>
        <n x="881" s="1"/>
        <n x="880" s="1"/>
        <n x="485"/>
        <n x="657"/>
        <n x="7"/>
      </t>
    </mdx>
    <mdx n="474" f="v">
      <t c="7">
        <n x="898" s="1"/>
        <n x="889" s="1"/>
        <n x="881" s="1"/>
        <n x="880" s="1"/>
        <n x="484"/>
        <n x="513"/>
        <n x="476"/>
      </t>
    </mdx>
    <mdx n="474" f="v">
      <t c="7">
        <n x="898" s="1"/>
        <n x="889" s="1"/>
        <n x="881" s="1"/>
        <n x="880" s="1"/>
        <n x="485"/>
        <n x="763"/>
        <n x="476"/>
      </t>
    </mdx>
    <mdx n="474" f="v">
      <t c="7">
        <n x="898" s="1"/>
        <n x="889" s="1"/>
        <n x="881" s="1"/>
        <n x="880" s="1"/>
        <n x="484"/>
        <n x="609"/>
        <n x="476"/>
      </t>
    </mdx>
    <mdx n="474" f="v">
      <t c="7">
        <n x="898" s="1"/>
        <n x="889" s="1"/>
        <n x="881" s="1"/>
        <n x="880" s="1"/>
        <n x="485"/>
        <n x="736"/>
        <n x="7"/>
      </t>
    </mdx>
    <mdx n="474" f="v">
      <t c="7">
        <n x="898" s="1"/>
        <n x="889" s="1"/>
        <n x="881" s="1"/>
        <n x="880" s="1"/>
        <n x="485"/>
        <n x="725"/>
        <n x="477"/>
      </t>
    </mdx>
    <mdx n="474" f="v">
      <t c="7">
        <n x="898" s="1"/>
        <n x="889" s="1"/>
        <n x="881" s="1"/>
        <n x="880" s="1"/>
        <n x="485"/>
        <n x="709"/>
        <n x="477"/>
      </t>
    </mdx>
    <mdx n="474" f="v">
      <t c="7">
        <n x="898" s="1"/>
        <n x="889" s="1"/>
        <n x="881" s="1"/>
        <n x="880" s="1"/>
        <n x="484"/>
        <n x="524"/>
        <n x="476"/>
      </t>
    </mdx>
    <mdx n="474" f="v">
      <t c="7">
        <n x="898" s="1"/>
        <n x="889" s="1"/>
        <n x="881" s="1"/>
        <n x="880" s="1"/>
        <n x="485"/>
        <n x="555"/>
        <n x="477"/>
      </t>
    </mdx>
    <mdx n="474" f="v">
      <t c="7">
        <n x="898" s="1"/>
        <n x="889" s="1"/>
        <n x="881" s="1"/>
        <n x="880" s="1"/>
        <n x="485"/>
        <n x="678"/>
        <n x="477"/>
      </t>
    </mdx>
    <mdx n="474" f="v">
      <t c="7">
        <n x="898" s="1"/>
        <n x="889" s="1"/>
        <n x="881" s="1"/>
        <n x="880" s="1"/>
        <n x="484"/>
        <n x="587"/>
        <n x="477"/>
      </t>
    </mdx>
    <mdx n="474" f="v">
      <t c="7">
        <n x="898" s="1"/>
        <n x="889" s="1"/>
        <n x="881" s="1"/>
        <n x="880" s="1"/>
        <n x="484"/>
        <n x="505"/>
        <n x="477"/>
      </t>
    </mdx>
    <mdx n="474" f="v">
      <t c="7">
        <n x="898" s="1"/>
        <n x="889" s="1"/>
        <n x="881" s="1"/>
        <n x="880" s="1"/>
        <n x="484"/>
        <n x="848"/>
        <n x="477"/>
      </t>
    </mdx>
    <mdx n="474" f="v">
      <t c="7">
        <n x="898" s="1"/>
        <n x="889" s="1"/>
        <n x="881" s="1"/>
        <n x="880" s="1"/>
        <n x="485"/>
        <n x="744"/>
        <n x="477"/>
      </t>
    </mdx>
    <mdx n="474" f="v">
      <t c="7">
        <n x="898" s="1"/>
        <n x="889" s="1"/>
        <n x="881" s="1"/>
        <n x="880" s="1"/>
        <n x="477"/>
        <n x="807"/>
        <n x="801"/>
      </t>
    </mdx>
    <mdx n="474" f="v">
      <t c="7">
        <n x="898" s="1"/>
        <n x="889" s="1"/>
        <n x="881" s="1"/>
        <n x="880" s="1"/>
        <n x="477"/>
        <n x="807"/>
        <n x="797"/>
      </t>
    </mdx>
    <mdx n="474" f="v">
      <t c="7">
        <n x="898" s="1"/>
        <n x="889" s="1"/>
        <n x="881" s="1"/>
        <n x="880" s="1"/>
        <n x="485"/>
        <n x="680"/>
        <n x="477"/>
      </t>
    </mdx>
    <mdx n="474" f="v">
      <t c="7">
        <n x="898" s="1"/>
        <n x="889" s="1"/>
        <n x="881" s="1"/>
        <n x="880" s="1"/>
        <n x="485"/>
        <n x="689"/>
        <n x="477"/>
      </t>
    </mdx>
    <mdx n="474" f="v">
      <t c="7">
        <n x="898" s="1"/>
        <n x="889" s="1"/>
        <n x="881" s="1"/>
        <n x="880" s="1"/>
        <n x="485"/>
        <n x="864"/>
        <n x="7"/>
      </t>
    </mdx>
    <mdx n="474" f="v">
      <t c="7">
        <n x="898" s="1"/>
        <n x="889" s="1"/>
        <n x="881" s="1"/>
        <n x="880" s="1"/>
        <n x="485"/>
        <n x="656"/>
        <n x="476"/>
      </t>
    </mdx>
    <mdx n="474" f="v">
      <t c="7">
        <n x="898" s="1"/>
        <n x="889" s="1"/>
        <n x="881" s="1"/>
        <n x="880" s="1"/>
        <n x="485"/>
        <n x="879"/>
        <n x="7"/>
      </t>
    </mdx>
    <mdx n="474" f="v">
      <t c="7">
        <n x="898" s="1"/>
        <n x="889" s="1"/>
        <n x="881" s="1"/>
        <n x="880" s="1"/>
        <n x="485"/>
        <n x="661"/>
        <n x="476"/>
      </t>
    </mdx>
    <mdx n="474" f="v">
      <t c="6">
        <n x="898" s="1"/>
        <n x="889" s="1"/>
        <n x="881" s="1"/>
        <n x="880" s="1"/>
        <n x="800"/>
        <n x="476"/>
      </t>
    </mdx>
    <mdx n="474" f="v">
      <t c="6">
        <n x="898" s="1"/>
        <n x="889" s="1"/>
        <n x="881" s="1"/>
        <n x="880" s="1"/>
        <n x="798"/>
        <n x="476"/>
      </t>
    </mdx>
    <mdx n="474" f="v">
      <t c="7">
        <n x="898" s="1"/>
        <n x="889" s="1"/>
        <n x="881" s="1"/>
        <n x="880" s="1"/>
        <n x="478"/>
        <n x="565"/>
        <n x="476"/>
      </t>
    </mdx>
    <mdx n="474" f="v">
      <t c="7">
        <n x="898" s="1"/>
        <n x="889" s="1"/>
        <n x="881" s="1"/>
        <n x="880" s="1"/>
        <n x="485"/>
        <n x="774"/>
        <n x="477"/>
      </t>
    </mdx>
    <mdx n="474" f="v">
      <t c="7">
        <n x="898" s="1"/>
        <n x="889" s="1"/>
        <n x="881" s="1"/>
        <n x="880" s="1"/>
        <n x="485"/>
        <n x="767"/>
        <n x="477"/>
      </t>
    </mdx>
    <mdx n="474" f="v">
      <t c="7">
        <n x="898" s="1"/>
        <n x="889" s="1"/>
        <n x="881" s="1"/>
        <n x="880" s="1"/>
        <n x="484"/>
        <n x="621"/>
        <n x="477"/>
      </t>
    </mdx>
    <mdx n="474" f="v">
      <t c="7">
        <n x="898" s="1"/>
        <n x="889" s="1"/>
        <n x="881" s="1"/>
        <n x="880" s="1"/>
        <n x="478"/>
        <n x="564"/>
        <n x="477"/>
      </t>
    </mdx>
    <mdx n="474" f="v">
      <t c="7">
        <n x="898" s="1"/>
        <n x="889" s="1"/>
        <n x="881" s="1"/>
        <n x="880" s="1"/>
        <n x="485"/>
        <n x="768"/>
        <n x="477"/>
      </t>
    </mdx>
    <mdx n="474" f="v">
      <t c="7">
        <n x="898" s="1"/>
        <n x="889" s="1"/>
        <n x="881" s="1"/>
        <n x="880" s="1"/>
        <n x="485"/>
        <n x="769"/>
        <n x="477"/>
      </t>
    </mdx>
    <mdx n="474" f="v">
      <t c="7">
        <n x="898" s="1"/>
        <n x="889" s="1"/>
        <n x="881" s="1"/>
        <n x="880" s="1"/>
        <n x="484"/>
        <n x="601"/>
        <n x="7"/>
      </t>
    </mdx>
    <mdx n="474" f="v">
      <t c="7">
        <n x="898" s="1"/>
        <n x="889" s="1"/>
        <n x="881" s="1"/>
        <n x="880" s="1"/>
        <n x="485"/>
        <n x="633"/>
        <n x="477"/>
      </t>
    </mdx>
    <mdx n="474" f="v">
      <t c="7">
        <n x="898" s="1"/>
        <n x="889" s="1"/>
        <n x="881" s="1"/>
        <n x="880" s="1"/>
        <n x="484"/>
        <n x="518"/>
        <n x="7"/>
      </t>
    </mdx>
    <mdx n="474" f="v">
      <t c="7">
        <n x="898" s="1"/>
        <n x="889" s="1"/>
        <n x="881" s="1"/>
        <n x="880" s="1"/>
        <n x="485"/>
        <n x="758"/>
        <n x="477"/>
      </t>
    </mdx>
    <mdx n="474" f="v">
      <t c="7">
        <n x="898" s="1"/>
        <n x="889" s="1"/>
        <n x="881" s="1"/>
        <n x="880" s="1"/>
        <n x="484"/>
        <n x="551"/>
        <n x="477"/>
      </t>
    </mdx>
    <mdx n="474" f="v">
      <t c="7">
        <n x="898" s="1"/>
        <n x="889" s="1"/>
        <n x="881" s="1"/>
        <n x="880" s="1"/>
        <n x="485"/>
        <n x="741"/>
        <n x="7"/>
      </t>
    </mdx>
    <mdx n="474" f="v">
      <t c="7">
        <n x="898" s="1"/>
        <n x="889" s="1"/>
        <n x="881" s="1"/>
        <n x="880" s="1"/>
        <n x="478"/>
        <n x="571"/>
        <n x="477"/>
      </t>
    </mdx>
    <mdx n="474" f="v">
      <t c="7">
        <n x="898" s="1"/>
        <n x="889" s="1"/>
        <n x="881" s="1"/>
        <n x="880" s="1"/>
        <n x="485"/>
        <n x="675"/>
        <n x="477"/>
      </t>
    </mdx>
    <mdx n="474" f="v">
      <t c="7">
        <n x="898" s="1"/>
        <n x="889" s="1"/>
        <n x="881" s="1"/>
        <n x="880" s="1"/>
        <n x="484"/>
        <n x="616"/>
        <n x="476"/>
      </t>
    </mdx>
    <mdx n="474" f="v">
      <t c="7">
        <n x="898" s="1"/>
        <n x="889" s="1"/>
        <n x="881" s="1"/>
        <n x="880" s="1"/>
        <n x="484"/>
        <n x="498"/>
        <n x="477"/>
      </t>
    </mdx>
    <mdx n="474" f="v">
      <t c="7">
        <n x="898" s="1"/>
        <n x="889" s="1"/>
        <n x="881" s="1"/>
        <n x="880" s="1"/>
        <n x="484"/>
        <n x="619"/>
        <n x="477"/>
      </t>
    </mdx>
    <mdx n="474" f="v">
      <t c="7">
        <n x="898" s="1"/>
        <n x="889" s="1"/>
        <n x="881" s="1"/>
        <n x="880" s="1"/>
        <n x="484"/>
        <n x="859"/>
        <n x="476"/>
      </t>
    </mdx>
    <mdx n="474" f="v">
      <t c="7">
        <n x="898" s="1"/>
        <n x="889" s="1"/>
        <n x="881" s="1"/>
        <n x="880" s="1"/>
        <n x="484"/>
        <n x="503"/>
        <n x="477"/>
      </t>
    </mdx>
    <mdx n="474" f="v">
      <t c="7">
        <n x="898" s="1"/>
        <n x="889" s="1"/>
        <n x="881" s="1"/>
        <n x="880" s="1"/>
        <n x="485"/>
        <n x="683"/>
        <n x="477"/>
      </t>
    </mdx>
    <mdx n="474" f="v">
      <t c="7">
        <n x="898" s="1"/>
        <n x="889" s="1"/>
        <n x="881" s="1"/>
        <n x="880" s="1"/>
        <n x="485"/>
        <n x="733"/>
        <n x="7"/>
      </t>
    </mdx>
    <mdx n="474" f="v">
      <t c="7">
        <n x="898" s="1"/>
        <n x="889" s="1"/>
        <n x="881" s="1"/>
        <n x="880" s="1"/>
        <n x="485"/>
        <n x="853"/>
        <n x="477"/>
      </t>
    </mdx>
    <mdx n="474" f="v">
      <t c="7">
        <n x="898" s="1"/>
        <n x="889" s="1"/>
        <n x="881" s="1"/>
        <n x="880" s="1"/>
        <n x="484"/>
        <n x="825"/>
        <n x="476"/>
      </t>
    </mdx>
    <mdx n="474" f="v">
      <t c="7">
        <n x="898" s="1"/>
        <n x="889" s="1"/>
        <n x="881" s="1"/>
        <n x="880" s="1"/>
        <n x="478"/>
        <n x="494"/>
        <n x="477"/>
      </t>
    </mdx>
    <mdx n="474" f="v">
      <t c="7">
        <n x="898" s="1"/>
        <n x="889" s="1"/>
        <n x="881" s="1"/>
        <n x="880" s="1"/>
        <n x="485"/>
        <n x="695"/>
        <n x="477"/>
      </t>
    </mdx>
    <mdx n="474" f="v">
      <t c="7">
        <n x="898" s="1"/>
        <n x="889" s="1"/>
        <n x="881" s="1"/>
        <n x="880" s="1"/>
        <n x="485"/>
        <n x="692"/>
        <n x="476"/>
      </t>
    </mdx>
    <mdx n="474" f="v">
      <t c="7">
        <n x="898" s="1"/>
        <n x="889" s="1"/>
        <n x="881" s="1"/>
        <n x="880" s="1"/>
        <n x="484"/>
        <n x="533"/>
        <n x="476"/>
      </t>
    </mdx>
    <mdx n="474" f="v">
      <t c="7">
        <n x="898" s="1"/>
        <n x="889" s="1"/>
        <n x="881" s="1"/>
        <n x="880" s="1"/>
        <n x="484"/>
        <n x="527"/>
        <n x="476"/>
      </t>
    </mdx>
    <mdx n="474" f="v">
      <t c="7">
        <n x="898" s="1"/>
        <n x="889" s="1"/>
        <n x="881" s="1"/>
        <n x="880" s="1"/>
        <n x="484"/>
        <n x="504"/>
        <n x="477"/>
      </t>
    </mdx>
    <mdx n="474" f="v">
      <t c="7">
        <n x="898" s="1"/>
        <n x="889" s="1"/>
        <n x="881" s="1"/>
        <n x="880" s="1"/>
        <n x="485"/>
        <n x="867"/>
        <n x="477"/>
      </t>
    </mdx>
    <mdx n="474" f="v">
      <t c="7">
        <n x="898" s="1"/>
        <n x="889" s="1"/>
        <n x="881" s="1"/>
        <n x="880" s="1"/>
        <n x="483"/>
        <n x="573"/>
        <n x="477"/>
      </t>
    </mdx>
    <mdx n="474" f="v">
      <t c="7">
        <n x="898" s="1"/>
        <n x="889" s="1"/>
        <n x="881" s="1"/>
        <n x="880" s="1"/>
        <n x="485"/>
        <n x="780"/>
        <n x="7"/>
      </t>
    </mdx>
    <mdx n="474" f="v">
      <t c="7">
        <n x="898" s="1"/>
        <n x="889" s="1"/>
        <n x="881" s="1"/>
        <n x="880" s="1"/>
        <n x="485"/>
        <n x="861"/>
        <n x="7"/>
      </t>
    </mdx>
    <mdx n="474" f="v">
      <t c="7">
        <n x="898" s="1"/>
        <n x="889" s="1"/>
        <n x="881" s="1"/>
        <n x="880" s="1"/>
        <n x="478"/>
        <n x="486"/>
        <n x="7"/>
      </t>
    </mdx>
    <mdx n="474" f="v">
      <t c="7">
        <n x="898" s="1"/>
        <n x="889" s="1"/>
        <n x="881" s="1"/>
        <n x="880" s="1"/>
        <n x="485"/>
        <n x="778"/>
        <n x="7"/>
      </t>
    </mdx>
    <mdx n="474" f="v">
      <t c="7">
        <n x="898" s="1"/>
        <n x="889" s="1"/>
        <n x="881" s="1"/>
        <n x="880" s="1"/>
        <n x="485"/>
        <n x="633"/>
        <n x="476"/>
      </t>
    </mdx>
    <mdx n="474" f="v">
      <t c="7">
        <n x="898" s="1"/>
        <n x="889" s="1"/>
        <n x="881" s="1"/>
        <n x="880" s="1"/>
        <n x="485"/>
        <n x="725"/>
        <n x="476"/>
      </t>
    </mdx>
    <mdx n="474" f="v">
      <t c="7">
        <n x="898" s="1"/>
        <n x="889" s="1"/>
        <n x="881" s="1"/>
        <n x="880" s="1"/>
        <n x="485"/>
        <n x="787"/>
        <n x="476"/>
      </t>
    </mdx>
    <mdx n="474" f="v">
      <t c="7">
        <n x="898" s="1"/>
        <n x="889" s="1"/>
        <n x="881" s="1"/>
        <n x="880" s="1"/>
        <n x="484"/>
        <n x="526"/>
        <n x="476"/>
      </t>
    </mdx>
    <mdx n="474" f="v">
      <t c="7">
        <n x="898" s="1"/>
        <n x="889" s="1"/>
        <n x="881" s="1"/>
        <n x="880" s="1"/>
        <n x="485"/>
        <n x="747"/>
        <n x="7"/>
      </t>
    </mdx>
    <mdx n="474" f="v">
      <t c="7">
        <n x="898" s="1"/>
        <n x="889" s="1"/>
        <n x="881" s="1"/>
        <n x="880" s="1"/>
        <n x="484"/>
        <n x="600"/>
        <n x="476"/>
      </t>
    </mdx>
    <mdx n="474" f="v">
      <t c="7">
        <n x="898" s="1"/>
        <n x="889" s="1"/>
        <n x="881" s="1"/>
        <n x="880" s="1"/>
        <n x="485"/>
        <n x="674"/>
        <n x="477"/>
      </t>
    </mdx>
    <mdx n="474" f="v">
      <t c="6">
        <n x="898" s="1"/>
        <n x="889" s="1"/>
        <n x="881" s="1"/>
        <n x="880" s="1"/>
        <n x="797"/>
        <n x="477"/>
      </t>
    </mdx>
    <mdx n="474" f="v">
      <t c="7">
        <n x="898" s="1"/>
        <n x="889" s="1"/>
        <n x="881" s="1"/>
        <n x="880" s="1"/>
        <n x="485"/>
        <n x="844"/>
        <n x="7"/>
      </t>
    </mdx>
    <mdx n="474" f="v">
      <t c="7">
        <n x="898" s="1"/>
        <n x="889" s="1"/>
        <n x="881" s="1"/>
        <n x="880" s="1"/>
        <n x="485"/>
        <n x="721"/>
        <n x="476"/>
      </t>
    </mdx>
    <mdx n="474" f="v">
      <t c="7">
        <n x="898" s="1"/>
        <n x="889" s="1"/>
        <n x="881" s="1"/>
        <n x="880" s="1"/>
        <n x="485"/>
        <n x="699"/>
        <n x="476"/>
      </t>
    </mdx>
    <mdx n="474" f="v">
      <t c="7">
        <n x="898" s="1"/>
        <n x="889" s="1"/>
        <n x="881" s="1"/>
        <n x="880" s="1"/>
        <n x="485"/>
        <n x="701"/>
        <n x="476"/>
      </t>
    </mdx>
    <mdx n="474" f="v">
      <t c="7">
        <n x="898" s="1"/>
        <n x="889" s="1"/>
        <n x="881" s="1"/>
        <n x="880" s="1"/>
        <n x="477"/>
        <n x="802"/>
        <n x="804"/>
      </t>
    </mdx>
    <mdx n="474" f="v">
      <t c="6">
        <n x="898" s="1"/>
        <n x="889" s="1"/>
        <n x="881" s="1"/>
        <n x="880" s="1"/>
        <n x="798"/>
        <n x="477"/>
      </t>
    </mdx>
    <mdx n="474" f="v">
      <t c="7">
        <n x="898" s="1"/>
        <n x="889" s="1"/>
        <n x="881" s="1"/>
        <n x="880" s="1"/>
        <n x="484"/>
        <n x="585"/>
        <n x="477"/>
      </t>
    </mdx>
    <mdx n="474" f="v">
      <t c="7">
        <n x="898" s="1"/>
        <n x="889" s="1"/>
        <n x="881" s="1"/>
        <n x="880" s="1"/>
        <n x="485"/>
        <n x="713"/>
        <n x="476"/>
      </t>
    </mdx>
    <mdx n="474" f="v">
      <t c="7">
        <n x="898" s="1"/>
        <n x="889" s="1"/>
        <n x="881" s="1"/>
        <n x="880" s="1"/>
        <n x="485"/>
        <n x="752"/>
        <n x="7"/>
      </t>
    </mdx>
    <mdx n="474" f="v">
      <t c="7">
        <n x="898" s="1"/>
        <n x="889" s="1"/>
        <n x="881" s="1"/>
        <n x="880" s="1"/>
        <n x="485"/>
        <n x="636"/>
        <n x="476"/>
      </t>
    </mdx>
    <mdx n="474" f="v">
      <t c="7">
        <n x="898" s="1"/>
        <n x="889" s="1"/>
        <n x="881" s="1"/>
        <n x="880" s="1"/>
        <n x="484"/>
        <n x="607"/>
        <n x="476"/>
      </t>
    </mdx>
    <mdx n="474" f="v">
      <t c="7">
        <n x="898" s="1"/>
        <n x="889" s="1"/>
        <n x="881" s="1"/>
        <n x="880" s="1"/>
        <n x="485"/>
        <n x="642"/>
        <n x="476"/>
      </t>
    </mdx>
    <mdx n="474" f="v">
      <t c="7">
        <n x="898" s="1"/>
        <n x="889" s="1"/>
        <n x="881" s="1"/>
        <n x="880" s="1"/>
        <n x="484"/>
        <n x="618"/>
        <n x="476"/>
      </t>
    </mdx>
    <mdx n="474" f="v">
      <t c="7">
        <n x="898" s="1"/>
        <n x="889" s="1"/>
        <n x="881" s="1"/>
        <n x="880" s="1"/>
        <n x="484"/>
        <n x="856"/>
        <n x="476"/>
      </t>
    </mdx>
    <mdx n="474" f="v">
      <t c="7">
        <n x="898" s="1"/>
        <n x="889" s="1"/>
        <n x="881" s="1"/>
        <n x="880" s="1"/>
        <n x="485"/>
        <n x="759"/>
        <n x="476"/>
      </t>
    </mdx>
    <mdx n="474" f="v">
      <t c="7">
        <n x="898" s="1"/>
        <n x="889" s="1"/>
        <n x="881" s="1"/>
        <n x="880" s="1"/>
        <n x="484"/>
        <n x="519"/>
        <n x="476"/>
      </t>
    </mdx>
    <mdx n="474" f="v">
      <t c="7">
        <n x="898" s="1"/>
        <n x="889" s="1"/>
        <n x="881" s="1"/>
        <n x="880" s="1"/>
        <n x="484"/>
        <n x="837"/>
        <n x="476"/>
      </t>
    </mdx>
    <mdx n="474" f="v">
      <t c="7">
        <n x="898" s="1"/>
        <n x="889" s="1"/>
        <n x="881" s="1"/>
        <n x="880" s="1"/>
        <n x="485"/>
        <n x="842"/>
        <n x="7"/>
      </t>
    </mdx>
    <mdx n="474" f="v">
      <t c="7">
        <n x="898" s="1"/>
        <n x="889" s="1"/>
        <n x="881" s="1"/>
        <n x="880" s="1"/>
        <n x="485"/>
        <n x="691"/>
        <n x="476"/>
      </t>
    </mdx>
    <mdx n="474" f="v">
      <t c="6">
        <n x="898" s="1"/>
        <n x="889" s="1"/>
        <n x="881" s="1"/>
        <n x="880" s="1"/>
        <n x="798"/>
        <n x="7"/>
      </t>
    </mdx>
    <mdx n="474" f="v">
      <t c="7">
        <n x="898" s="1"/>
        <n x="889" s="1"/>
        <n x="881" s="1"/>
        <n x="880" s="1"/>
        <n x="484"/>
        <n x="826"/>
        <n x="7"/>
      </t>
    </mdx>
    <mdx n="474" f="v">
      <t c="7">
        <n x="898" s="1"/>
        <n x="889" s="1"/>
        <n x="881" s="1"/>
        <n x="880" s="1"/>
        <n x="484"/>
        <n x="542"/>
        <n x="476"/>
      </t>
    </mdx>
    <mdx n="474" f="v">
      <t c="7">
        <n x="898" s="1"/>
        <n x="889" s="1"/>
        <n x="881" s="1"/>
        <n x="880" s="1"/>
        <n x="485"/>
        <n x="771"/>
        <n x="476"/>
      </t>
    </mdx>
    <mdx n="474" f="v">
      <t c="7">
        <n x="898" s="1"/>
        <n x="889" s="1"/>
        <n x="881" s="1"/>
        <n x="880" s="1"/>
        <n x="485"/>
        <n x="749"/>
        <n x="476"/>
      </t>
    </mdx>
    <mdx n="474" f="v">
      <t c="7">
        <n x="898" s="1"/>
        <n x="889" s="1"/>
        <n x="881" s="1"/>
        <n x="880" s="1"/>
        <n x="485"/>
        <n x="741"/>
        <n x="476"/>
      </t>
    </mdx>
    <mdx n="474" f="v">
      <t c="7">
        <n x="898" s="1"/>
        <n x="889" s="1"/>
        <n x="881" s="1"/>
        <n x="880" s="1"/>
        <n x="484"/>
        <n x="506"/>
        <n x="477"/>
      </t>
    </mdx>
    <mdx n="474" f="v">
      <t c="6">
        <n x="898" s="1"/>
        <n x="889" s="1"/>
        <n x="881" s="1"/>
        <n x="880" s="1"/>
        <n x="885"/>
        <n x="477"/>
      </t>
    </mdx>
    <mdx n="474" f="v">
      <t c="6">
        <n x="898" s="1"/>
        <n x="889" s="1"/>
        <n x="881" s="1"/>
        <n x="880" s="1"/>
        <n x="810"/>
        <n x="7"/>
      </t>
    </mdx>
    <mdx n="474" f="v">
      <t c="7">
        <n x="898" s="1"/>
        <n x="889" s="1"/>
        <n x="881" s="1"/>
        <n x="880" s="1"/>
        <n x="484"/>
        <n x="501"/>
        <n x="476"/>
      </t>
    </mdx>
    <mdx n="474" f="v">
      <t c="7">
        <n x="898" s="1"/>
        <n x="889" s="1"/>
        <n x="881" s="1"/>
        <n x="880" s="1"/>
        <n x="485"/>
        <n x="567"/>
        <n x="476"/>
      </t>
    </mdx>
    <mdx n="474" f="v">
      <t c="7">
        <n x="898" s="1"/>
        <n x="889" s="1"/>
        <n x="881" s="1"/>
        <n x="880" s="1"/>
        <n x="485"/>
        <n x="560"/>
        <n x="476"/>
      </t>
    </mdx>
    <mdx n="474" f="v">
      <t c="7">
        <n x="898" s="1"/>
        <n x="889" s="1"/>
        <n x="881" s="1"/>
        <n x="880" s="1"/>
        <n x="485"/>
        <n x="715"/>
        <n x="476"/>
      </t>
    </mdx>
    <mdx n="474" f="v">
      <t c="7">
        <n x="898" s="1"/>
        <n x="889" s="1"/>
        <n x="881" s="1"/>
        <n x="880" s="1"/>
        <n x="484"/>
        <n x="593"/>
        <n x="476"/>
      </t>
    </mdx>
    <mdx n="474" f="v">
      <t c="7">
        <n x="898" s="1"/>
        <n x="889" s="1"/>
        <n x="881" s="1"/>
        <n x="880" s="1"/>
        <n x="484"/>
        <n x="613"/>
        <n x="476"/>
      </t>
    </mdx>
    <mdx n="474" f="v">
      <t c="7">
        <n x="898" s="1"/>
        <n x="889" s="1"/>
        <n x="881" s="1"/>
        <n x="880" s="1"/>
        <n x="484"/>
        <n x="574"/>
        <n x="476"/>
      </t>
    </mdx>
    <mdx n="474" f="v">
      <t c="7">
        <n x="898" s="1"/>
        <n x="889" s="1"/>
        <n x="881" s="1"/>
        <n x="880" s="1"/>
        <n x="485"/>
        <n x="677"/>
        <n x="476"/>
      </t>
    </mdx>
    <mdx n="474" f="v">
      <t c="7">
        <n x="898" s="1"/>
        <n x="889" s="1"/>
        <n x="881" s="1"/>
        <n x="880" s="1"/>
        <n x="485"/>
        <n x="786"/>
        <n x="477"/>
      </t>
    </mdx>
    <mdx n="474" f="v">
      <t c="7">
        <n x="898" s="1"/>
        <n x="889" s="1"/>
        <n x="881" s="1"/>
        <n x="880" s="1"/>
        <n x="485"/>
        <n x="733"/>
        <n x="476"/>
      </t>
    </mdx>
    <mdx n="474" f="v">
      <t c="7">
        <n x="898" s="1"/>
        <n x="889" s="1"/>
        <n x="881" s="1"/>
        <n x="880" s="1"/>
        <n x="485"/>
        <n x="776"/>
        <n x="476"/>
      </t>
    </mdx>
    <mdx n="474" f="v">
      <t c="7">
        <n x="898" s="1"/>
        <n x="889" s="1"/>
        <n x="881" s="1"/>
        <n x="880" s="1"/>
        <n x="485"/>
        <n x="726"/>
        <n x="476"/>
      </t>
    </mdx>
    <mdx n="474" f="v">
      <t c="7">
        <n x="898" s="1"/>
        <n x="889" s="1"/>
        <n x="881" s="1"/>
        <n x="880" s="1"/>
        <n x="485"/>
        <n x="717"/>
        <n x="7"/>
      </t>
    </mdx>
    <mdx n="474" f="v">
      <t c="6">
        <n x="898" s="1"/>
        <n x="889" s="1"/>
        <n x="881" s="1"/>
        <n x="880" s="1"/>
        <n x="10"/>
        <n x="476"/>
      </t>
    </mdx>
    <mdx n="474" f="v">
      <t c="7">
        <n x="898" s="1"/>
        <n x="889" s="1"/>
        <n x="881" s="1"/>
        <n x="880" s="1"/>
        <n x="484"/>
        <n x="595"/>
        <n x="476"/>
      </t>
    </mdx>
    <mdx n="474" f="v">
      <t c="6">
        <n x="898" s="1"/>
        <n x="889" s="1"/>
        <n x="881" s="1"/>
        <n x="880" s="1"/>
        <n x="803"/>
        <n x="477"/>
      </t>
    </mdx>
    <mdx n="474" f="v">
      <t c="7">
        <n x="898" s="1"/>
        <n x="889" s="1"/>
        <n x="881" s="1"/>
        <n x="880" s="1"/>
        <n x="485"/>
        <n x="661"/>
        <n x="7"/>
      </t>
    </mdx>
    <mdx n="474" f="v">
      <t c="7">
        <n x="898" s="1"/>
        <n x="889" s="1"/>
        <n x="881" s="1"/>
        <n x="880" s="1"/>
        <n x="485"/>
        <n x="681"/>
        <n x="476"/>
      </t>
    </mdx>
    <mdx n="474" f="v">
      <t c="7">
        <n x="898" s="1"/>
        <n x="889" s="1"/>
        <n x="881" s="1"/>
        <n x="880" s="1"/>
        <n x="485"/>
        <n x="738"/>
        <n x="477"/>
      </t>
    </mdx>
    <mdx n="474" f="v">
      <t c="7">
        <n x="898" s="1"/>
        <n x="889" s="1"/>
        <n x="881" s="1"/>
        <n x="880" s="1"/>
        <n x="485"/>
        <n x="712"/>
        <n x="477"/>
      </t>
    </mdx>
    <mdx n="474" f="v">
      <t c="7">
        <n x="898" s="1"/>
        <n x="889" s="1"/>
        <n x="881" s="1"/>
        <n x="880" s="1"/>
        <n x="485"/>
        <n x="853"/>
        <n x="476"/>
      </t>
    </mdx>
    <mdx n="474" f="v">
      <t c="7">
        <n x="898" s="1"/>
        <n x="889" s="1"/>
        <n x="881" s="1"/>
        <n x="880" s="1"/>
        <n x="485"/>
        <n x="878"/>
        <n x="7"/>
      </t>
    </mdx>
    <mdx n="474" f="v">
      <t c="7">
        <n x="898" s="1"/>
        <n x="889" s="1"/>
        <n x="881" s="1"/>
        <n x="880" s="1"/>
        <n x="485"/>
        <n x="688"/>
        <n x="477"/>
      </t>
    </mdx>
    <mdx n="474" f="v">
      <t c="7">
        <n x="898" s="1"/>
        <n x="889" s="1"/>
        <n x="881" s="1"/>
        <n x="880" s="1"/>
        <n x="484"/>
        <n x="489"/>
        <n x="477"/>
      </t>
    </mdx>
    <mdx n="474" f="v">
      <t c="7">
        <n x="898" s="1"/>
        <n x="889" s="1"/>
        <n x="881" s="1"/>
        <n x="880" s="1"/>
        <n x="485"/>
        <n x="691"/>
        <n x="7"/>
      </t>
    </mdx>
    <mdx n="474" f="v">
      <t c="7">
        <n x="898" s="1"/>
        <n x="889" s="1"/>
        <n x="881" s="1"/>
        <n x="880" s="1"/>
        <n x="484"/>
        <n x="626"/>
        <n x="477"/>
      </t>
    </mdx>
    <mdx n="474" f="v">
      <t c="7">
        <n x="898" s="1"/>
        <n x="889" s="1"/>
        <n x="881" s="1"/>
        <n x="880" s="1"/>
        <n x="478"/>
        <n x="487"/>
        <n x="477"/>
      </t>
    </mdx>
    <mdx n="474" f="v">
      <t c="7">
        <n x="898" s="1"/>
        <n x="889" s="1"/>
        <n x="881" s="1"/>
        <n x="880" s="1"/>
        <n x="485"/>
        <n x="701"/>
        <n x="477"/>
      </t>
    </mdx>
    <mdx n="474" f="v">
      <t c="7">
        <n x="898" s="1"/>
        <n x="889" s="1"/>
        <n x="881" s="1"/>
        <n x="880" s="1"/>
        <n x="484"/>
        <n x="630"/>
        <n x="477"/>
      </t>
    </mdx>
    <mdx n="474" f="v">
      <t c="7">
        <n x="898" s="1"/>
        <n x="889" s="1"/>
        <n x="881" s="1"/>
        <n x="880" s="1"/>
        <n x="484"/>
        <n x="628"/>
        <n x="477"/>
      </t>
    </mdx>
    <mdx n="474" f="v">
      <t c="7">
        <n x="898" s="1"/>
        <n x="889" s="1"/>
        <n x="881" s="1"/>
        <n x="880" s="1"/>
        <n x="485"/>
        <n x="755"/>
        <n x="477"/>
      </t>
    </mdx>
    <mdx n="474" f="v">
      <t c="7">
        <n x="898" s="1"/>
        <n x="889" s="1"/>
        <n x="881" s="1"/>
        <n x="880" s="1"/>
        <n x="484"/>
        <n x="856"/>
        <n x="7"/>
      </t>
    </mdx>
    <mdx n="474" f="v">
      <t c="7">
        <n x="898" s="1"/>
        <n x="889" s="1"/>
        <n x="881" s="1"/>
        <n x="880" s="1"/>
        <n x="485"/>
        <n x="494"/>
        <n x="476"/>
      </t>
    </mdx>
    <mdx n="474" f="v">
      <t c="7">
        <n x="898" s="1"/>
        <n x="889" s="1"/>
        <n x="881" s="1"/>
        <n x="880" s="1"/>
        <n x="478"/>
        <n x="489"/>
        <n x="476"/>
      </t>
    </mdx>
    <mdx n="474" f="v">
      <t c="7">
        <n x="898" s="1"/>
        <n x="889" s="1"/>
        <n x="881" s="1"/>
        <n x="880" s="1"/>
        <n x="477"/>
        <n x="818" s="1"/>
        <n x="803"/>
      </t>
    </mdx>
    <mdx n="474" f="v">
      <t c="7">
        <n x="898" s="1"/>
        <n x="889" s="1"/>
        <n x="881" s="1"/>
        <n x="880" s="1"/>
        <n x="477"/>
        <n x="818" s="1"/>
        <n x="815"/>
      </t>
    </mdx>
    <mdx n="474" f="v">
      <t c="7">
        <n x="898" s="1"/>
        <n x="889" s="1"/>
        <n x="881" s="1"/>
        <n x="880" s="1"/>
        <n x="485"/>
        <n x="738"/>
        <n x="7"/>
      </t>
    </mdx>
    <mdx n="474" f="v">
      <t c="7">
        <n x="898" s="1"/>
        <n x="889" s="1"/>
        <n x="881" s="1"/>
        <n x="880" s="1"/>
        <n x="484"/>
        <n x="583"/>
        <n x="477"/>
      </t>
    </mdx>
    <mdx n="474" f="v">
      <t c="6">
        <n x="898" s="1"/>
        <n x="889" s="1"/>
        <n x="881" s="1"/>
        <n x="880" s="1"/>
        <n x="804"/>
        <n x="476"/>
      </t>
    </mdx>
    <mdx n="474" f="v">
      <t c="6">
        <n x="898" s="1"/>
        <n x="889" s="1"/>
        <n x="881" s="1"/>
        <n x="880" s="1"/>
        <n x="801"/>
        <n x="476"/>
      </t>
    </mdx>
    <mdx n="474" f="v">
      <t c="6">
        <n x="898" s="1"/>
        <n x="889" s="1"/>
        <n x="881" s="1"/>
        <n x="880" s="1"/>
        <n x="808"/>
        <n x="476"/>
      </t>
    </mdx>
    <mdx n="474" f="v">
      <t c="7">
        <n x="898" s="1"/>
        <n x="889" s="1"/>
        <n x="881" s="1"/>
        <n x="880" s="1"/>
        <n x="484"/>
        <n x="535"/>
        <n x="476"/>
      </t>
    </mdx>
    <mdx n="474" f="v">
      <t c="7">
        <n x="898" s="1"/>
        <n x="889" s="1"/>
        <n x="881" s="1"/>
        <n x="880" s="1"/>
        <n x="485"/>
        <n x="688"/>
        <n x="476"/>
      </t>
    </mdx>
    <mdx n="474" f="v">
      <t c="7">
        <n x="898" s="1"/>
        <n x="889" s="1"/>
        <n x="881" s="1"/>
        <n x="880" s="1"/>
        <n x="484"/>
        <n x="828"/>
        <n x="7"/>
      </t>
    </mdx>
    <mdx n="474" f="v">
      <t c="7">
        <n x="898" s="1"/>
        <n x="889" s="1"/>
        <n x="881" s="1"/>
        <n x="880" s="1"/>
        <n x="484"/>
        <n x="541"/>
        <n x="476"/>
      </t>
    </mdx>
    <mdx n="474" f="v">
      <t c="7">
        <n x="898" s="1"/>
        <n x="889" s="1"/>
        <n x="881" s="1"/>
        <n x="880" s="1"/>
        <n x="485"/>
        <n x="722"/>
        <n x="477"/>
      </t>
    </mdx>
    <mdx n="474" f="v">
      <t c="7">
        <n x="898" s="1"/>
        <n x="889" s="1"/>
        <n x="881" s="1"/>
        <n x="880" s="1"/>
        <n x="485"/>
        <n x="641"/>
        <n x="7"/>
      </t>
    </mdx>
    <mdx n="474" f="v">
      <t c="7">
        <n x="898" s="1"/>
        <n x="889" s="1"/>
        <n x="881" s="1"/>
        <n x="880" s="1"/>
        <n x="485"/>
        <n x="785"/>
        <n x="7"/>
      </t>
    </mdx>
    <mdx n="474" f="v">
      <t c="7">
        <n x="898" s="1"/>
        <n x="889" s="1"/>
        <n x="881" s="1"/>
        <n x="880" s="1"/>
        <n x="485"/>
        <n x="634"/>
        <n x="477"/>
      </t>
    </mdx>
    <mdx n="474" f="v">
      <t c="7">
        <n x="898" s="1"/>
        <n x="889" s="1"/>
        <n x="881" s="1"/>
        <n x="880" s="1"/>
        <n x="484"/>
        <n x="597"/>
        <n x="7"/>
      </t>
    </mdx>
    <mdx n="474" f="v">
      <t c="7">
        <n x="898" s="1"/>
        <n x="889" s="1"/>
        <n x="881" s="1"/>
        <n x="880" s="1"/>
        <n x="485"/>
        <n x="734"/>
        <n x="7"/>
      </t>
    </mdx>
    <mdx n="474" f="v">
      <t c="7">
        <n x="898" s="1"/>
        <n x="889" s="1"/>
        <n x="881" s="1"/>
        <n x="880" s="1"/>
        <n x="485"/>
        <n x="727"/>
        <n x="7"/>
      </t>
    </mdx>
    <mdx n="474" f="v">
      <t c="7">
        <n x="898" s="1"/>
        <n x="889" s="1"/>
        <n x="881" s="1"/>
        <n x="880" s="1"/>
        <n x="485"/>
        <n x="691"/>
        <n x="477"/>
      </t>
    </mdx>
    <mdx n="474" f="v">
      <t c="7">
        <n x="898" s="1"/>
        <n x="889" s="1"/>
        <n x="881" s="1"/>
        <n x="880" s="1"/>
        <n x="484"/>
        <n x="500"/>
        <n x="477"/>
      </t>
    </mdx>
    <mdx n="474" f="v">
      <t c="7">
        <n x="898" s="1"/>
        <n x="889" s="1"/>
        <n x="881" s="1"/>
        <n x="880" s="1"/>
        <n x="484"/>
        <n x="604"/>
        <n x="7"/>
      </t>
    </mdx>
    <mdx n="474" f="v">
      <t c="7">
        <n x="898" s="1"/>
        <n x="889" s="1"/>
        <n x="881" s="1"/>
        <n x="880" s="1"/>
        <n x="484"/>
        <n x="548"/>
        <n x="476"/>
      </t>
    </mdx>
    <mdx n="474" f="v">
      <t c="7">
        <n x="898" s="1"/>
        <n x="889" s="1"/>
        <n x="881" s="1"/>
        <n x="880" s="1"/>
        <n x="478"/>
        <n x="572"/>
        <n x="476"/>
      </t>
    </mdx>
    <mdx n="474" f="v">
      <t c="7">
        <n x="898" s="1"/>
        <n x="889" s="1"/>
        <n x="881" s="1"/>
        <n x="880" s="1"/>
        <n x="485"/>
        <n x="845"/>
        <n x="476"/>
      </t>
    </mdx>
    <mdx n="474" f="v">
      <t c="7">
        <n x="898" s="1"/>
        <n x="889" s="1"/>
        <n x="881" s="1"/>
        <n x="880" s="1"/>
        <n x="484"/>
        <n x="857"/>
        <n x="476"/>
      </t>
    </mdx>
    <mdx n="474" f="v">
      <t c="7">
        <n x="898" s="1"/>
        <n x="889" s="1"/>
        <n x="881" s="1"/>
        <n x="880" s="1"/>
        <n x="484"/>
        <n x="539"/>
        <n x="476"/>
      </t>
    </mdx>
    <mdx n="474" f="v">
      <t c="7">
        <n x="898" s="1"/>
        <n x="889" s="1"/>
        <n x="881" s="1"/>
        <n x="880" s="1"/>
        <n x="485"/>
        <n x="645"/>
        <n x="476"/>
      </t>
    </mdx>
    <mdx n="474" f="v">
      <t c="7">
        <n x="898" s="1"/>
        <n x="889" s="1"/>
        <n x="881" s="1"/>
        <n x="880" s="1"/>
        <n x="485"/>
        <n x="671"/>
        <n x="476"/>
      </t>
    </mdx>
    <mdx n="474" f="v">
      <t c="7">
        <n x="898" s="1"/>
        <n x="889" s="1"/>
        <n x="881" s="1"/>
        <n x="880" s="1"/>
        <n x="485"/>
        <n x="781"/>
        <n x="476"/>
      </t>
    </mdx>
    <mdx n="474" f="v">
      <t c="7">
        <n x="898" s="1"/>
        <n x="889" s="1"/>
        <n x="881" s="1"/>
        <n x="880" s="1"/>
        <n x="484"/>
        <n x="498"/>
        <n x="476"/>
      </t>
    </mdx>
    <mdx n="474" f="v">
      <t c="7">
        <n x="898" s="1"/>
        <n x="889" s="1"/>
        <n x="881" s="1"/>
        <n x="880" s="1"/>
        <n x="485"/>
        <n x="787"/>
        <n x="477"/>
      </t>
    </mdx>
    <mdx n="474" f="v">
      <t c="7">
        <n x="898" s="1"/>
        <n x="889" s="1"/>
        <n x="881" s="1"/>
        <n x="880" s="1"/>
        <n x="485"/>
        <n x="651"/>
        <n x="476"/>
      </t>
    </mdx>
    <mdx n="474" f="v">
      <t c="7">
        <n x="898" s="1"/>
        <n x="889" s="1"/>
        <n x="881" s="1"/>
        <n x="880" s="1"/>
        <n x="485"/>
        <n x="782"/>
        <n x="476"/>
      </t>
    </mdx>
    <mdx n="474" f="v">
      <t c="7">
        <n x="898" s="1"/>
        <n x="889" s="1"/>
        <n x="881" s="1"/>
        <n x="880" s="1"/>
        <n x="485"/>
        <n x="573"/>
        <n x="476"/>
      </t>
    </mdx>
    <mdx n="474" f="v">
      <t c="7">
        <n x="898" s="1"/>
        <n x="889" s="1"/>
        <n x="881" s="1"/>
        <n x="880" s="1"/>
        <n x="478"/>
        <n x="564"/>
        <n x="476"/>
      </t>
    </mdx>
    <mdx n="474" f="v">
      <t c="7">
        <n x="898" s="1"/>
        <n x="889" s="1"/>
        <n x="881" s="1"/>
        <n x="880" s="1"/>
        <n x="485"/>
        <n x="703"/>
        <n x="476"/>
      </t>
    </mdx>
    <mdx n="474" f="v">
      <t c="7">
        <n x="898" s="1"/>
        <n x="889" s="1"/>
        <n x="881" s="1"/>
        <n x="880" s="1"/>
        <n x="484"/>
        <n x="497"/>
        <n x="476"/>
      </t>
    </mdx>
    <mdx n="474" f="v">
      <t c="7">
        <n x="898" s="1"/>
        <n x="889" s="1"/>
        <n x="881" s="1"/>
        <n x="880" s="1"/>
        <n x="485"/>
        <n x="747"/>
        <n x="476"/>
      </t>
    </mdx>
    <mdx n="474" f="v">
      <t c="6">
        <n x="898" s="1"/>
        <n x="889" s="1"/>
        <n x="881" s="1"/>
        <n x="880" s="1"/>
        <n x="19"/>
        <n x="477"/>
      </t>
    </mdx>
    <mdx n="474" f="v">
      <t c="7">
        <n x="898" s="1"/>
        <n x="889" s="1"/>
        <n x="881" s="1"/>
        <n x="880" s="1"/>
        <n x="477"/>
        <n x="818" s="1"/>
        <n x="800"/>
      </t>
    </mdx>
    <mdx n="474" f="v">
      <t c="7">
        <n x="898" s="1"/>
        <n x="889" s="1"/>
        <n x="881" s="1"/>
        <n x="880" s="1"/>
        <n x="484"/>
        <n x="497"/>
        <n x="477"/>
      </t>
    </mdx>
    <mdx n="474" f="v">
      <t c="7">
        <n x="898" s="1"/>
        <n x="889" s="1"/>
        <n x="881" s="1"/>
        <n x="880" s="1"/>
        <n x="484"/>
        <n x="530"/>
        <n x="7"/>
      </t>
    </mdx>
    <mdx n="474" f="v">
      <t c="7">
        <n x="898" s="1"/>
        <n x="889" s="1"/>
        <n x="881" s="1"/>
        <n x="880" s="1"/>
        <n x="484"/>
        <n x="825"/>
        <n x="477"/>
      </t>
    </mdx>
    <mdx n="474" f="v">
      <t c="7">
        <n x="898" s="1"/>
        <n x="889" s="1"/>
        <n x="881" s="1"/>
        <n x="880" s="1"/>
        <n x="477"/>
        <n x="796"/>
        <n x="817"/>
      </t>
    </mdx>
    <mdx n="474" f="v">
      <t c="7">
        <n x="898" s="1"/>
        <n x="889" s="1"/>
        <n x="881" s="1"/>
        <n x="880" s="1"/>
        <n x="484"/>
        <n x="587"/>
        <n x="476"/>
      </t>
    </mdx>
    <mdx n="474" f="v">
      <t c="7">
        <n x="898" s="1"/>
        <n x="889" s="1"/>
        <n x="881" s="1"/>
        <n x="880" s="1"/>
        <n x="484"/>
        <n x="537"/>
        <n x="476"/>
      </t>
    </mdx>
    <mdx n="474" f="v">
      <t c="7">
        <n x="898" s="1"/>
        <n x="889" s="1"/>
        <n x="881" s="1"/>
        <n x="880" s="1"/>
        <n x="484"/>
        <n x="610"/>
        <n x="7"/>
      </t>
    </mdx>
    <mdx n="474" f="v">
      <t c="7">
        <n x="898" s="1"/>
        <n x="889" s="1"/>
        <n x="881" s="1"/>
        <n x="880" s="1"/>
        <n x="484"/>
        <n x="500"/>
        <n x="476"/>
      </t>
    </mdx>
    <mdx n="474" f="v">
      <t c="7">
        <n x="898" s="1"/>
        <n x="889" s="1"/>
        <n x="881" s="1"/>
        <n x="880" s="1"/>
        <n x="484"/>
        <n x="542"/>
        <n x="477"/>
      </t>
    </mdx>
    <mdx n="474" f="v">
      <t c="7">
        <n x="898" s="1"/>
        <n x="889" s="1"/>
        <n x="881" s="1"/>
        <n x="880" s="1"/>
        <n x="485"/>
        <n x="779"/>
        <n x="477"/>
      </t>
    </mdx>
    <mdx n="474" f="v">
      <t c="7">
        <n x="898" s="1"/>
        <n x="889" s="1"/>
        <n x="881" s="1"/>
        <n x="880" s="1"/>
        <n x="484"/>
        <n x="827"/>
        <n x="7"/>
      </t>
    </mdx>
    <mdx n="474" f="v">
      <t c="7">
        <n x="898" s="1"/>
        <n x="889" s="1"/>
        <n x="881" s="1"/>
        <n x="880" s="1"/>
        <n x="485"/>
        <n x="843"/>
        <n x="476"/>
      </t>
    </mdx>
    <mdx n="474" f="v">
      <t c="7">
        <n x="898" s="1"/>
        <n x="889" s="1"/>
        <n x="881" s="1"/>
        <n x="880" s="1"/>
        <n x="485"/>
        <n x="687"/>
        <n x="476"/>
      </t>
    </mdx>
    <mdx n="474" f="v">
      <t c="7">
        <n x="898" s="1"/>
        <n x="889" s="1"/>
        <n x="881" s="1"/>
        <n x="880" s="1"/>
        <n x="485"/>
        <n x="736"/>
        <n x="477"/>
      </t>
    </mdx>
    <mdx n="474" f="v">
      <t c="7">
        <n x="898" s="1"/>
        <n x="889" s="1"/>
        <n x="881" s="1"/>
        <n x="880" s="1"/>
        <n x="484"/>
        <n x="849"/>
        <n x="477"/>
      </t>
    </mdx>
    <mdx n="474" f="v">
      <t c="7">
        <n x="898" s="1"/>
        <n x="889" s="1"/>
        <n x="881" s="1"/>
        <n x="880" s="1"/>
        <n x="484"/>
        <n x="874"/>
        <n x="7"/>
      </t>
    </mdx>
    <mdx n="474" f="v">
      <t c="7">
        <n x="898" s="1"/>
        <n x="889" s="1"/>
        <n x="881" s="1"/>
        <n x="880" s="1"/>
        <n x="485"/>
        <n x="635"/>
        <n x="477"/>
      </t>
    </mdx>
    <mdx n="474" f="v">
      <t c="7">
        <n x="898" s="1"/>
        <n x="889" s="1"/>
        <n x="881" s="1"/>
        <n x="880" s="1"/>
        <n x="484"/>
        <n x="597"/>
        <n x="476"/>
      </t>
    </mdx>
    <mdx n="474" f="v">
      <t c="7">
        <n x="898" s="1"/>
        <n x="889" s="1"/>
        <n x="881" s="1"/>
        <n x="880" s="1"/>
        <n x="485"/>
        <n x="727"/>
        <n x="476"/>
      </t>
    </mdx>
    <mdx n="474" f="v">
      <t c="7">
        <n x="898" s="1"/>
        <n x="889" s="1"/>
        <n x="881" s="1"/>
        <n x="880" s="1"/>
        <n x="485"/>
        <n x="868"/>
        <n x="477"/>
      </t>
    </mdx>
    <mdx n="474" f="v">
      <t c="7">
        <n x="898" s="1"/>
        <n x="889" s="1"/>
        <n x="881" s="1"/>
        <n x="880" s="1"/>
        <n x="484"/>
        <n x="540"/>
        <n x="476"/>
      </t>
    </mdx>
    <mdx n="474" f="v">
      <t c="7">
        <n x="898" s="1"/>
        <n x="889" s="1"/>
        <n x="881" s="1"/>
        <n x="880" s="1"/>
        <n x="484"/>
        <n x="855"/>
        <n x="477"/>
      </t>
    </mdx>
    <mdx n="474" f="v">
      <t c="7">
        <n x="898" s="1"/>
        <n x="889" s="1"/>
        <n x="881" s="1"/>
        <n x="880" s="1"/>
        <n x="484"/>
        <n x="531"/>
        <n x="477"/>
      </t>
    </mdx>
    <mdx n="474" f="v">
      <t c="7">
        <n x="898" s="1"/>
        <n x="889" s="1"/>
        <n x="881" s="1"/>
        <n x="880" s="1"/>
        <n x="485"/>
        <n x="496"/>
        <n x="477"/>
      </t>
    </mdx>
    <mdx n="474" f="v">
      <t c="7">
        <n x="898" s="1"/>
        <n x="889" s="1"/>
        <n x="881" s="1"/>
        <n x="880" s="1"/>
        <n x="485"/>
        <n x="760"/>
        <n x="477"/>
      </t>
    </mdx>
    <mdx n="474" f="v">
      <t c="7">
        <n x="898" s="1"/>
        <n x="889" s="1"/>
        <n x="881" s="1"/>
        <n x="880" s="1"/>
        <n x="483"/>
        <n x="489"/>
        <n x="477"/>
      </t>
    </mdx>
    <mdx n="474" f="v">
      <t c="7">
        <n x="898" s="1"/>
        <n x="889" s="1"/>
        <n x="881" s="1"/>
        <n x="880" s="1"/>
        <n x="485"/>
        <n x="755"/>
        <n x="7"/>
      </t>
    </mdx>
    <mdx n="474" f="v">
      <t c="7">
        <n x="898" s="1"/>
        <n x="889" s="1"/>
        <n x="881" s="1"/>
        <n x="880" s="1"/>
        <n x="477"/>
        <n x="818" s="1"/>
        <n x="798"/>
      </t>
    </mdx>
    <mdx n="474" f="v">
      <t c="7">
        <n x="898" s="1"/>
        <n x="889" s="1"/>
        <n x="881" s="1"/>
        <n x="880" s="1"/>
        <n x="485"/>
        <n x="879"/>
        <n x="477"/>
      </t>
    </mdx>
    <mdx n="474" f="v">
      <t c="6">
        <n x="898" s="1"/>
        <n x="889" s="1"/>
        <n x="881" s="1"/>
        <n x="880" s="1"/>
        <n x="12"/>
        <n x="476"/>
      </t>
    </mdx>
    <mdx n="474" f="v">
      <t c="7">
        <n x="898" s="1"/>
        <n x="889" s="1"/>
        <n x="881" s="1"/>
        <n x="880" s="1"/>
        <n x="485"/>
        <n x="767"/>
        <n x="476"/>
      </t>
    </mdx>
    <mdx n="474" f="v">
      <t c="7">
        <n x="898" s="1"/>
        <n x="889" s="1"/>
        <n x="881" s="1"/>
        <n x="880" s="1"/>
        <n x="484"/>
        <n x="575"/>
        <n x="7"/>
      </t>
    </mdx>
    <mdx n="474" f="v">
      <t c="7">
        <n x="898" s="1"/>
        <n x="889" s="1"/>
        <n x="881" s="1"/>
        <n x="880" s="1"/>
        <n x="485"/>
        <n x="559"/>
        <n x="477"/>
      </t>
    </mdx>
    <mdx n="474" f="v">
      <t c="7">
        <n x="898" s="1"/>
        <n x="889" s="1"/>
        <n x="881" s="1"/>
        <n x="880" s="1"/>
        <n x="485"/>
        <n x="844"/>
        <n x="477"/>
      </t>
    </mdx>
    <mdx n="474" f="v">
      <t c="7">
        <n x="898" s="1"/>
        <n x="889" s="1"/>
        <n x="881" s="1"/>
        <n x="880" s="1"/>
        <n x="485"/>
        <n x="642"/>
        <n x="477"/>
      </t>
    </mdx>
    <mdx n="474" f="v">
      <t c="7">
        <n x="898" s="1"/>
        <n x="889" s="1"/>
        <n x="881" s="1"/>
        <n x="880" s="1"/>
        <n x="484"/>
        <n x="611"/>
        <n x="477"/>
      </t>
    </mdx>
    <mdx n="474" f="v">
      <t c="7">
        <n x="898" s="1"/>
        <n x="889" s="1"/>
        <n x="881" s="1"/>
        <n x="880" s="1"/>
        <n x="485"/>
        <n x="682"/>
        <n x="7"/>
      </t>
    </mdx>
    <mdx n="474" f="v">
      <t c="7">
        <n x="898" s="1"/>
        <n x="889" s="1"/>
        <n x="881" s="1"/>
        <n x="880" s="1"/>
        <n x="485"/>
        <n x="557"/>
        <n x="477"/>
      </t>
    </mdx>
    <mdx n="474" f="v">
      <t c="7">
        <n x="898" s="1"/>
        <n x="889" s="1"/>
        <n x="881" s="1"/>
        <n x="880" s="1"/>
        <n x="485"/>
        <n x="739"/>
        <n x="7"/>
      </t>
    </mdx>
    <mdx n="474" f="v">
      <t c="7">
        <n x="898" s="1"/>
        <n x="889" s="1"/>
        <n x="881" s="1"/>
        <n x="880" s="1"/>
        <n x="485"/>
        <n x="777"/>
        <n x="477"/>
      </t>
    </mdx>
    <mdx n="474" f="v">
      <t c="7">
        <n x="898" s="1"/>
        <n x="889" s="1"/>
        <n x="881" s="1"/>
        <n x="880" s="1"/>
        <n x="484"/>
        <n x="850"/>
        <n x="7"/>
      </t>
    </mdx>
    <mdx n="474" f="v">
      <t c="7">
        <n x="898" s="1"/>
        <n x="889" s="1"/>
        <n x="881" s="1"/>
        <n x="880" s="1"/>
        <n x="484"/>
        <n x="525"/>
        <n x="7"/>
      </t>
    </mdx>
    <mdx n="474" f="v">
      <t c="7">
        <n x="898" s="1"/>
        <n x="889" s="1"/>
        <n x="881" s="1"/>
        <n x="880" s="1"/>
        <n x="485"/>
        <n x="745"/>
        <n x="7"/>
      </t>
    </mdx>
    <mdx n="474" f="v">
      <t c="7">
        <n x="898" s="1"/>
        <n x="889" s="1"/>
        <n x="881" s="1"/>
        <n x="880" s="1"/>
        <n x="484"/>
        <n x="613"/>
        <n x="7"/>
      </t>
    </mdx>
    <mdx n="474" f="v">
      <t c="7">
        <n x="898" s="1"/>
        <n x="889" s="1"/>
        <n x="881" s="1"/>
        <n x="880" s="1"/>
        <n x="484"/>
        <n x="859"/>
        <n x="477"/>
      </t>
    </mdx>
    <mdx n="474" f="v">
      <t c="7">
        <n x="898" s="1"/>
        <n x="889" s="1"/>
        <n x="881" s="1"/>
        <n x="880" s="1"/>
        <n x="484"/>
        <n x="591"/>
        <n x="477"/>
      </t>
    </mdx>
    <mdx n="474" f="v">
      <t c="7">
        <n x="898" s="1"/>
        <n x="889" s="1"/>
        <n x="881" s="1"/>
        <n x="880" s="1"/>
        <n x="485"/>
        <n x="650"/>
        <n x="7"/>
      </t>
    </mdx>
    <mdx n="474" f="v">
      <t c="7">
        <n x="898" s="1"/>
        <n x="889" s="1"/>
        <n x="881" s="1"/>
        <n x="880" s="1"/>
        <n x="485"/>
        <n x="698"/>
        <n x="477"/>
      </t>
    </mdx>
    <mdx n="474" f="v">
      <t c="7">
        <n x="898" s="1"/>
        <n x="889" s="1"/>
        <n x="881" s="1"/>
        <n x="880" s="1"/>
        <n x="484"/>
        <n x="874"/>
        <n x="477"/>
      </t>
    </mdx>
    <mdx n="474" f="v">
      <t c="7">
        <n x="898" s="1"/>
        <n x="889" s="1"/>
        <n x="881" s="1"/>
        <n x="880" s="1"/>
        <n x="485"/>
        <n x="677"/>
        <n x="7"/>
      </t>
    </mdx>
    <mdx n="474" f="v">
      <t c="7">
        <n x="898" s="1"/>
        <n x="889" s="1"/>
        <n x="881" s="1"/>
        <n x="880" s="1"/>
        <n x="485"/>
        <n x="740"/>
        <n x="477"/>
      </t>
    </mdx>
    <mdx n="474" f="v">
      <t c="7">
        <n x="898" s="1"/>
        <n x="889" s="1"/>
        <n x="881" s="1"/>
        <n x="880" s="1"/>
        <n x="484"/>
        <n x="545"/>
        <n x="476"/>
      </t>
    </mdx>
    <mdx n="474" f="v">
      <t c="7">
        <n x="898" s="1"/>
        <n x="889" s="1"/>
        <n x="881" s="1"/>
        <n x="880" s="1"/>
        <n x="485"/>
        <n x="870"/>
        <n x="7"/>
      </t>
    </mdx>
    <mdx n="474" f="v">
      <t c="7">
        <n x="898" s="1"/>
        <n x="889" s="1"/>
        <n x="881" s="1"/>
        <n x="880" s="1"/>
        <n x="485"/>
        <n x="778"/>
        <n x="476"/>
      </t>
    </mdx>
    <mdx n="474" f="v">
      <t c="6">
        <n x="898" s="1"/>
        <n x="889" s="1"/>
        <n x="881" s="1"/>
        <n x="880" s="1"/>
        <n x="10"/>
        <n x="477"/>
      </t>
    </mdx>
    <mdx n="474" f="v">
      <t c="7">
        <n x="898" s="1"/>
        <n x="889" s="1"/>
        <n x="881" s="1"/>
        <n x="880" s="1"/>
        <n x="485"/>
        <n x="670"/>
        <n x="476"/>
      </t>
    </mdx>
    <mdx n="474" f="v">
      <t c="7">
        <n x="898" s="1"/>
        <n x="889" s="1"/>
        <n x="881" s="1"/>
        <n x="880" s="1"/>
        <n x="484"/>
        <n x="612"/>
        <n x="7"/>
      </t>
    </mdx>
    <mdx n="474" f="v">
      <t c="7">
        <n x="898" s="1"/>
        <n x="889" s="1"/>
        <n x="881" s="1"/>
        <n x="880" s="1"/>
        <n x="484"/>
        <n x="584"/>
        <n x="476"/>
      </t>
    </mdx>
    <mdx n="474" f="v">
      <t c="7">
        <n x="898" s="1"/>
        <n x="889" s="1"/>
        <n x="881" s="1"/>
        <n x="880" s="1"/>
        <n x="485"/>
        <n x="684"/>
        <n x="7"/>
      </t>
    </mdx>
    <mdx n="474" f="v">
      <t c="7">
        <n x="898" s="1"/>
        <n x="889" s="1"/>
        <n x="881" s="1"/>
        <n x="880" s="1"/>
        <n x="485"/>
        <n x="724"/>
        <n x="477"/>
      </t>
    </mdx>
    <mdx n="474" f="v">
      <t c="7">
        <n x="898" s="1"/>
        <n x="889" s="1"/>
        <n x="881" s="1"/>
        <n x="880" s="1"/>
        <n x="485"/>
        <n x="680"/>
        <n x="476"/>
      </t>
    </mdx>
    <mdx n="474" f="v">
      <t c="7">
        <n x="898" s="1"/>
        <n x="889" s="1"/>
        <n x="881" s="1"/>
        <n x="880" s="1"/>
        <n x="485"/>
        <n x="789"/>
        <n x="476"/>
      </t>
    </mdx>
    <mdx n="474" f="v">
      <t c="7">
        <n x="898" s="1"/>
        <n x="889" s="1"/>
        <n x="881" s="1"/>
        <n x="880" s="1"/>
        <n x="484"/>
        <n x="855"/>
        <n x="476"/>
      </t>
    </mdx>
    <mdx n="474" f="v">
      <t c="7">
        <n x="898" s="1"/>
        <n x="889" s="1"/>
        <n x="881" s="1"/>
        <n x="880" s="1"/>
        <n x="478"/>
        <n x="563"/>
        <n x="476"/>
      </t>
    </mdx>
    <mdx n="474" f="v">
      <t c="7">
        <n x="898" s="1"/>
        <n x="889" s="1"/>
        <n x="881" s="1"/>
        <n x="880" s="1"/>
        <n x="484"/>
        <n x="619"/>
        <n x="476"/>
      </t>
    </mdx>
    <mdx n="474" f="v">
      <t c="7">
        <n x="898" s="1"/>
        <n x="889" s="1"/>
        <n x="881" s="1"/>
        <n x="880" s="1"/>
        <n x="484"/>
        <n x="586"/>
        <n x="477"/>
      </t>
    </mdx>
    <mdx n="474" f="v">
      <t c="7">
        <n x="898" s="1"/>
        <n x="889" s="1"/>
        <n x="881" s="1"/>
        <n x="880" s="1"/>
        <n x="484"/>
        <n x="538"/>
        <n x="7"/>
      </t>
    </mdx>
    <mdx n="474" f="v">
      <t c="7">
        <n x="898" s="1"/>
        <n x="889" s="1"/>
        <n x="881" s="1"/>
        <n x="880" s="1"/>
        <n x="484"/>
        <n x="575"/>
        <n x="477"/>
      </t>
    </mdx>
    <mdx n="474" f="v">
      <t c="7">
        <n x="898" s="1"/>
        <n x="889" s="1"/>
        <n x="881" s="1"/>
        <n x="880" s="1"/>
        <n x="484"/>
        <n x="604"/>
        <n x="477"/>
      </t>
    </mdx>
    <mdx n="474" f="v">
      <t c="7">
        <n x="898" s="1"/>
        <n x="889" s="1"/>
        <n x="881" s="1"/>
        <n x="880" s="1"/>
        <n x="485"/>
        <n x="555"/>
        <n x="476"/>
      </t>
    </mdx>
    <mdx n="474" f="v">
      <t c="7">
        <n x="898" s="1"/>
        <n x="889" s="1"/>
        <n x="881" s="1"/>
        <n x="880" s="1"/>
        <n x="484"/>
        <n x="831"/>
        <n x="476"/>
      </t>
    </mdx>
    <mdx n="474" f="v">
      <t c="7">
        <n x="898" s="1"/>
        <n x="889" s="1"/>
        <n x="881" s="1"/>
        <n x="880" s="1"/>
        <n x="485"/>
        <n x="489"/>
        <n x="476"/>
      </t>
    </mdx>
    <mdx n="474" f="v">
      <t c="7">
        <n x="898" s="1"/>
        <n x="889" s="1"/>
        <n x="881" s="1"/>
        <n x="880" s="1"/>
        <n x="484"/>
        <n x="580"/>
        <n x="476"/>
      </t>
    </mdx>
    <mdx n="474" f="v">
      <t c="7">
        <n x="898" s="1"/>
        <n x="889" s="1"/>
        <n x="881" s="1"/>
        <n x="880" s="1"/>
        <n x="484"/>
        <n x="598"/>
        <n x="7"/>
      </t>
    </mdx>
    <mdx n="474" f="v">
      <t c="7">
        <n x="898" s="1"/>
        <n x="889" s="1"/>
        <n x="881" s="1"/>
        <n x="880" s="1"/>
        <n x="484"/>
        <n x="623"/>
        <n x="7"/>
      </t>
    </mdx>
    <mdx n="474" f="v">
      <t c="7">
        <n x="898" s="1"/>
        <n x="889" s="1"/>
        <n x="881" s="1"/>
        <n x="880" s="1"/>
        <n x="485"/>
        <n x="644"/>
        <n x="7"/>
      </t>
    </mdx>
    <mdx n="474" f="v">
      <t c="7">
        <n x="898" s="1"/>
        <n x="889" s="1"/>
        <n x="881" s="1"/>
        <n x="880" s="1"/>
        <n x="478"/>
        <n x="568"/>
        <n x="7"/>
      </t>
    </mdx>
    <mdx n="474" f="v">
      <t c="7">
        <n x="898" s="1"/>
        <n x="889" s="1"/>
        <n x="881" s="1"/>
        <n x="880" s="1"/>
        <n x="485"/>
        <n x="645"/>
        <n x="477"/>
      </t>
    </mdx>
    <mdx n="474" f="v">
      <t c="7">
        <n x="898" s="1"/>
        <n x="889" s="1"/>
        <n x="881" s="1"/>
        <n x="880" s="1"/>
        <n x="485"/>
        <n x="773"/>
        <n x="7"/>
      </t>
    </mdx>
    <mdx n="474" f="v">
      <t c="7">
        <n x="898" s="1"/>
        <n x="889" s="1"/>
        <n x="881" s="1"/>
        <n x="880" s="1"/>
        <n x="485"/>
        <n x="703"/>
        <n x="477"/>
      </t>
    </mdx>
    <mdx n="474" f="v">
      <t c="7">
        <n x="898" s="1"/>
        <n x="889" s="1"/>
        <n x="881" s="1"/>
        <n x="880" s="1"/>
        <n x="484"/>
        <n x="577"/>
        <n x="476"/>
      </t>
    </mdx>
    <mdx n="474" f="v">
      <t c="7">
        <n x="898" s="1"/>
        <n x="889" s="1"/>
        <n x="881" s="1"/>
        <n x="880" s="1"/>
        <n x="484"/>
        <n x="552"/>
        <n x="476"/>
      </t>
    </mdx>
    <mdx n="474" f="v">
      <t c="7">
        <n x="898" s="1"/>
        <n x="889" s="1"/>
        <n x="881" s="1"/>
        <n x="880" s="1"/>
        <n x="478"/>
        <n x="569"/>
        <n x="477"/>
      </t>
    </mdx>
    <mdx n="474" f="v">
      <t c="7">
        <n x="898" s="1"/>
        <n x="889" s="1"/>
        <n x="881" s="1"/>
        <n x="880" s="1"/>
        <n x="485"/>
        <n x="696"/>
        <n x="477"/>
      </t>
    </mdx>
    <mdx n="474" f="v">
      <t c="7">
        <n x="898" s="1"/>
        <n x="889" s="1"/>
        <n x="881" s="1"/>
        <n x="880" s="1"/>
        <n x="484"/>
        <n x="606"/>
        <n x="7"/>
      </t>
    </mdx>
    <mdx n="474" f="v">
      <t c="7">
        <n x="898" s="1"/>
        <n x="889" s="1"/>
        <n x="881" s="1"/>
        <n x="880" s="1"/>
        <n x="485"/>
        <n x="657"/>
        <n x="476"/>
      </t>
    </mdx>
    <mdx n="474" f="v">
      <t c="7">
        <n x="898" s="1"/>
        <n x="889" s="1"/>
        <n x="881" s="1"/>
        <n x="880" s="1"/>
        <n x="485"/>
        <n x="783"/>
        <n x="476"/>
      </t>
    </mdx>
    <mdx n="474" f="v">
      <t c="7">
        <n x="898" s="1"/>
        <n x="889" s="1"/>
        <n x="881" s="1"/>
        <n x="880" s="1"/>
        <n x="485"/>
        <n x="637"/>
        <n x="476"/>
      </t>
    </mdx>
    <mdx n="474" f="v">
      <t c="7">
        <n x="898" s="1"/>
        <n x="889" s="1"/>
        <n x="881" s="1"/>
        <n x="880" s="1"/>
        <n x="485"/>
        <n x="649"/>
        <n x="476"/>
      </t>
    </mdx>
    <mdx n="474" f="v">
      <t c="7">
        <n x="898" s="1"/>
        <n x="889" s="1"/>
        <n x="881" s="1"/>
        <n x="880" s="1"/>
        <n x="485"/>
        <n x="742"/>
        <n x="476"/>
      </t>
    </mdx>
    <mdx n="474" f="v">
      <t c="7">
        <n x="898" s="1"/>
        <n x="889" s="1"/>
        <n x="881" s="1"/>
        <n x="880" s="1"/>
        <n x="484"/>
        <n x="505"/>
        <n x="476"/>
      </t>
    </mdx>
    <mdx n="474" f="v">
      <t c="7">
        <n x="898" s="1"/>
        <n x="889" s="1"/>
        <n x="881" s="1"/>
        <n x="880" s="1"/>
        <n x="485"/>
        <n x="766"/>
        <n x="476"/>
      </t>
    </mdx>
    <mdx n="474" f="v">
      <t c="7">
        <n x="898" s="1"/>
        <n x="889" s="1"/>
        <n x="881" s="1"/>
        <n x="880" s="1"/>
        <n x="477"/>
        <n x="802"/>
        <n x="815"/>
      </t>
    </mdx>
    <mdx n="474" f="v">
      <t c="7">
        <n x="898" s="1"/>
        <n x="889" s="1"/>
        <n x="881" s="1"/>
        <n x="880" s="1"/>
        <n x="484"/>
        <n x="598"/>
        <n x="476"/>
      </t>
    </mdx>
    <mdx n="474" f="v">
      <t c="7">
        <n x="898" s="1"/>
        <n x="889" s="1"/>
        <n x="881" s="1"/>
        <n x="880" s="1"/>
        <n x="477"/>
        <n x="818" s="1"/>
        <n x="811"/>
      </t>
    </mdx>
    <mdx n="474" f="v">
      <t c="7">
        <n x="898" s="1"/>
        <n x="889" s="1"/>
        <n x="881" s="1"/>
        <n x="880" s="1"/>
        <n x="485"/>
        <n x="763"/>
        <n x="7"/>
      </t>
    </mdx>
    <mdx n="474" f="v">
      <t c="7">
        <n x="898" s="1"/>
        <n x="889" s="1"/>
        <n x="881" s="1"/>
        <n x="880" s="1"/>
        <n x="484"/>
        <n x="611"/>
        <n x="7"/>
      </t>
    </mdx>
    <mdx n="474" f="v">
      <t c="7">
        <n x="898" s="1"/>
        <n x="889" s="1"/>
        <n x="881" s="1"/>
        <n x="880" s="1"/>
        <n x="485"/>
        <n x="573"/>
        <n x="477"/>
      </t>
    </mdx>
    <mdx n="474" f="v">
      <t c="7">
        <n x="898" s="1"/>
        <n x="889" s="1"/>
        <n x="881" s="1"/>
        <n x="880" s="1"/>
        <n x="485"/>
        <n x="754"/>
        <n x="476"/>
      </t>
    </mdx>
    <mdx n="474" f="v">
      <t c="7">
        <n x="898" s="1"/>
        <n x="889" s="1"/>
        <n x="881" s="1"/>
        <n x="880" s="1"/>
        <n x="484"/>
        <n x="873"/>
        <n x="7"/>
      </t>
    </mdx>
    <mdx n="474" f="v">
      <t c="7">
        <n x="898" s="1"/>
        <n x="889" s="1"/>
        <n x="881" s="1"/>
        <n x="880" s="1"/>
        <n x="477"/>
        <n x="796"/>
        <n x="805"/>
      </t>
    </mdx>
    <mdx n="474" f="v">
      <t c="7">
        <n x="898" s="1"/>
        <n x="889" s="1"/>
        <n x="881" s="1"/>
        <n x="880" s="1"/>
        <n x="484"/>
        <n x="578"/>
        <n x="476"/>
      </t>
    </mdx>
    <mdx n="474" f="v">
      <t c="7">
        <n x="898" s="1"/>
        <n x="889" s="1"/>
        <n x="881" s="1"/>
        <n x="880" s="1"/>
        <n x="485"/>
        <n x="761"/>
        <n x="476"/>
      </t>
    </mdx>
    <mdx n="474" f="v">
      <t c="7">
        <n x="898" s="1"/>
        <n x="889" s="1"/>
        <n x="881" s="1"/>
        <n x="880" s="1"/>
        <n x="485"/>
        <n x="851"/>
        <n x="476"/>
      </t>
    </mdx>
    <mdx n="474" f="v">
      <t c="7">
        <n x="898" s="1"/>
        <n x="889" s="1"/>
        <n x="881" s="1"/>
        <n x="880" s="1"/>
        <n x="485"/>
        <n x="662"/>
        <n x="476"/>
      </t>
    </mdx>
    <mdx n="474" f="v">
      <t c="7">
        <n x="898" s="1"/>
        <n x="889" s="1"/>
        <n x="881" s="1"/>
        <n x="880" s="1"/>
        <n x="484"/>
        <n x="584"/>
        <n x="7"/>
      </t>
    </mdx>
    <mdx n="474" f="v">
      <t c="7">
        <n x="898" s="1"/>
        <n x="889" s="1"/>
        <n x="881" s="1"/>
        <n x="880" s="1"/>
        <n x="484"/>
        <n x="832"/>
        <n x="7"/>
      </t>
    </mdx>
    <mdx n="474" f="v">
      <t c="7">
        <n x="898" s="1"/>
        <n x="889" s="1"/>
        <n x="881" s="1"/>
        <n x="880" s="1"/>
        <n x="477"/>
        <n x="818" s="1"/>
        <n x="801"/>
      </t>
    </mdx>
    <mdx n="474" f="v">
      <t c="7">
        <n x="898" s="1"/>
        <n x="889" s="1"/>
        <n x="881" s="1"/>
        <n x="880" s="1"/>
        <n x="483"/>
        <n x="496"/>
        <n x="476"/>
      </t>
    </mdx>
    <mdx n="474" f="v">
      <t c="7">
        <n x="898" s="1"/>
        <n x="889" s="1"/>
        <n x="881" s="1"/>
        <n x="880" s="1"/>
        <n x="478"/>
        <n x="494"/>
        <n x="476"/>
      </t>
    </mdx>
    <mdx n="474" f="v">
      <t c="7">
        <n x="898" s="1"/>
        <n x="889" s="1"/>
        <n x="881" s="1"/>
        <n x="880" s="1"/>
        <n x="485"/>
        <n x="643"/>
        <n x="7"/>
      </t>
    </mdx>
    <mdx n="474" f="v">
      <t c="7">
        <n x="898" s="1"/>
        <n x="889" s="1"/>
        <n x="881" s="1"/>
        <n x="880" s="1"/>
        <n x="484"/>
        <n x="625"/>
        <n x="477"/>
      </t>
    </mdx>
    <mdx n="474" f="v">
      <t c="7">
        <n x="898" s="1"/>
        <n x="889" s="1"/>
        <n x="881" s="1"/>
        <n x="880" s="1"/>
        <n x="485"/>
        <n x="866"/>
        <n x="7"/>
      </t>
    </mdx>
    <mdx n="474" f="v">
      <t c="7">
        <n x="898" s="1"/>
        <n x="889" s="1"/>
        <n x="881" s="1"/>
        <n x="880" s="1"/>
        <n x="485"/>
        <n x="756"/>
        <n x="476"/>
      </t>
    </mdx>
    <mdx n="474" f="v">
      <t c="7">
        <n x="898" s="1"/>
        <n x="889" s="1"/>
        <n x="881" s="1"/>
        <n x="880" s="1"/>
        <n x="484"/>
        <n x="623"/>
        <n x="476"/>
      </t>
    </mdx>
    <mdx n="474" f="v">
      <t c="7">
        <n x="898" s="1"/>
        <n x="889" s="1"/>
        <n x="881" s="1"/>
        <n x="880" s="1"/>
        <n x="485"/>
        <n x="694"/>
        <n x="477"/>
      </t>
    </mdx>
    <mdx n="474" f="v">
      <t c="7">
        <n x="898" s="1"/>
        <n x="889" s="1"/>
        <n x="881" s="1"/>
        <n x="880" s="1"/>
        <n x="485"/>
        <n x="695"/>
        <n x="476"/>
      </t>
    </mdx>
    <mdx n="474" f="v">
      <t c="7">
        <n x="898" s="1"/>
        <n x="889" s="1"/>
        <n x="881" s="1"/>
        <n x="880" s="1"/>
        <n x="478"/>
        <n x="567"/>
        <n x="7"/>
      </t>
    </mdx>
    <mdx n="474" f="v">
      <t c="7">
        <n x="898" s="1"/>
        <n x="889" s="1"/>
        <n x="881" s="1"/>
        <n x="880" s="1"/>
        <n x="478"/>
        <n x="568"/>
        <n x="477"/>
      </t>
    </mdx>
    <mdx n="474" f="v">
      <t c="7">
        <n x="898" s="1"/>
        <n x="889" s="1"/>
        <n x="881" s="1"/>
        <n x="880" s="1"/>
        <n x="478"/>
        <n x="570"/>
        <n x="476"/>
      </t>
    </mdx>
    <mdx n="474" f="v">
      <t c="7">
        <n x="898" s="1"/>
        <n x="889" s="1"/>
        <n x="881" s="1"/>
        <n x="880" s="1"/>
        <n x="484"/>
        <n x="605"/>
        <n x="7"/>
      </t>
    </mdx>
    <mdx n="474" f="v">
      <t c="7">
        <n x="898" s="1"/>
        <n x="889" s="1"/>
        <n x="881" s="1"/>
        <n x="880" s="1"/>
        <n x="485"/>
        <n x="692"/>
        <n x="7"/>
      </t>
    </mdx>
    <mdx n="474" f="v">
      <t c="7">
        <n x="898" s="1"/>
        <n x="889" s="1"/>
        <n x="881" s="1"/>
        <n x="880" s="1"/>
        <n x="485"/>
        <n x="784"/>
        <n x="476"/>
      </t>
    </mdx>
    <mdx n="474" f="v">
      <t c="7">
        <n x="898" s="1"/>
        <n x="889" s="1"/>
        <n x="881" s="1"/>
        <n x="880" s="1"/>
        <n x="485"/>
        <n x="558"/>
        <n x="476"/>
      </t>
    </mdx>
    <mdx n="474" f="v">
      <t c="7">
        <n x="898" s="1"/>
        <n x="889" s="1"/>
        <n x="881" s="1"/>
        <n x="880" s="1"/>
        <n x="477"/>
        <n x="802"/>
        <n x="797"/>
      </t>
    </mdx>
    <mdx n="474" f="v">
      <t c="7">
        <n x="898" s="1"/>
        <n x="889" s="1"/>
        <n x="881" s="1"/>
        <n x="880" s="1"/>
        <n x="484"/>
        <n x="553"/>
        <n x="477"/>
      </t>
    </mdx>
    <mdx n="474" f="v">
      <t c="7">
        <n x="898" s="1"/>
        <n x="889" s="1"/>
        <n x="881" s="1"/>
        <n x="880" s="1"/>
        <n x="485"/>
        <n x="720"/>
        <n x="7"/>
      </t>
    </mdx>
    <mdx n="474" f="v">
      <t c="7">
        <n x="898" s="1"/>
        <n x="889" s="1"/>
        <n x="881" s="1"/>
        <n x="880" s="1"/>
        <n x="485"/>
        <n x="720"/>
        <n x="477"/>
      </t>
    </mdx>
    <mdx n="474" f="v">
      <t c="7">
        <n x="898" s="1"/>
        <n x="889" s="1"/>
        <n x="881" s="1"/>
        <n x="880" s="1"/>
        <n x="484"/>
        <n x="554"/>
        <n x="477"/>
      </t>
    </mdx>
    <mdx n="474" f="v">
      <t c="7">
        <n x="898" s="1"/>
        <n x="889" s="1"/>
        <n x="881" s="1"/>
        <n x="880" s="1"/>
        <n x="484"/>
        <n x="554"/>
        <n x="7"/>
      </t>
    </mdx>
    <mdx n="474" f="v">
      <t c="7">
        <n x="898" s="1"/>
        <n x="889" s="1"/>
        <n x="881" s="1"/>
        <n x="880" s="1"/>
        <n x="484"/>
        <n x="605"/>
        <n x="477"/>
      </t>
    </mdx>
    <mdx n="474" f="v">
      <t c="7">
        <n x="898" s="1"/>
        <n x="889" s="1"/>
        <n x="881" s="1"/>
        <n x="880" s="1"/>
        <n x="484"/>
        <n x="829"/>
        <n x="477"/>
      </t>
    </mdx>
    <mdx n="474" f="v">
      <t c="7">
        <n x="898" s="1"/>
        <n x="889" s="1"/>
        <n x="881" s="1"/>
        <n x="880" s="1"/>
        <n x="485"/>
        <n x="785"/>
        <n x="477"/>
      </t>
    </mdx>
    <mdx n="474" f="v">
      <t c="7">
        <n x="898" s="1"/>
        <n x="889" s="1"/>
        <n x="881" s="1"/>
        <n x="880" s="1"/>
        <n x="485"/>
        <n x="741"/>
        <n x="477"/>
      </t>
    </mdx>
    <mdx n="474" f="v">
      <t c="7">
        <n x="898" s="1"/>
        <n x="889" s="1"/>
        <n x="881" s="1"/>
        <n x="880" s="1"/>
        <n x="485"/>
        <n x="863"/>
        <n x="477"/>
      </t>
    </mdx>
    <mdx n="474" f="v">
      <t c="7">
        <n x="898" s="1"/>
        <n x="889" s="1"/>
        <n x="881" s="1"/>
        <n x="880" s="1"/>
        <n x="484"/>
        <n x="547"/>
        <n x="477"/>
      </t>
    </mdx>
    <mdx n="474" f="v">
      <t c="7">
        <n x="898" s="1"/>
        <n x="889" s="1"/>
        <n x="881" s="1"/>
        <n x="880" s="1"/>
        <n x="484"/>
        <n x="873"/>
        <n x="477"/>
      </t>
    </mdx>
    <mdx n="474" f="v">
      <t c="7">
        <n x="898" s="1"/>
        <n x="889" s="1"/>
        <n x="881" s="1"/>
        <n x="880" s="1"/>
        <n x="485"/>
        <n x="638"/>
        <n x="477"/>
      </t>
    </mdx>
    <mdx n="474" f="v">
      <t c="7">
        <n x="898" s="1"/>
        <n x="889" s="1"/>
        <n x="881" s="1"/>
        <n x="880" s="1"/>
        <n x="485"/>
        <n x="866"/>
        <n x="477"/>
      </t>
    </mdx>
    <mdx n="474" f="v">
      <t c="7">
        <n x="898" s="1"/>
        <n x="889" s="1"/>
        <n x="881" s="1"/>
        <n x="880" s="1"/>
        <n x="484"/>
        <n x="519"/>
        <n x="477"/>
      </t>
    </mdx>
    <mdx n="474" f="v">
      <t c="7">
        <n x="898" s="1"/>
        <n x="889" s="1"/>
        <n x="881" s="1"/>
        <n x="880" s="1"/>
        <n x="484"/>
        <n x="582"/>
        <n x="477"/>
      </t>
    </mdx>
    <mdx n="474" f="v">
      <t c="7">
        <n x="898" s="1"/>
        <n x="889" s="1"/>
        <n x="881" s="1"/>
        <n x="880" s="1"/>
        <n x="485"/>
        <n x="649"/>
        <n x="477"/>
      </t>
    </mdx>
    <mdx n="474" f="v">
      <t c="7">
        <n x="898" s="1"/>
        <n x="889" s="1"/>
        <n x="881" s="1"/>
        <n x="880" s="1"/>
        <n x="485"/>
        <n x="655"/>
        <n x="477"/>
      </t>
    </mdx>
    <mdx n="474" f="v">
      <t c="7">
        <n x="898" s="1"/>
        <n x="889" s="1"/>
        <n x="881" s="1"/>
        <n x="880" s="1"/>
        <n x="485"/>
        <n x="731"/>
        <n x="477"/>
      </t>
    </mdx>
    <mdx n="474" f="v">
      <t c="7">
        <n x="898" s="1"/>
        <n x="889" s="1"/>
        <n x="881" s="1"/>
        <n x="880" s="1"/>
        <n x="485"/>
        <n x="704"/>
        <n x="477"/>
      </t>
    </mdx>
    <mdx n="474" f="v">
      <t c="7">
        <n x="898" s="1"/>
        <n x="889" s="1"/>
        <n x="881" s="1"/>
        <n x="880" s="1"/>
        <n x="485"/>
        <n x="766"/>
        <n x="477"/>
      </t>
    </mdx>
    <mdx n="474" f="v">
      <t c="7">
        <n x="898" s="1"/>
        <n x="889" s="1"/>
        <n x="881" s="1"/>
        <n x="880" s="1"/>
        <n x="484"/>
        <n x="618"/>
        <n x="477"/>
      </t>
    </mdx>
    <mdx n="474" f="v">
      <t c="7">
        <n x="898" s="1"/>
        <n x="889" s="1"/>
        <n x="881" s="1"/>
        <n x="880" s="1"/>
        <n x="484"/>
        <n x="515"/>
        <n x="477"/>
      </t>
    </mdx>
    <mdx n="474" f="v">
      <t c="7">
        <n x="898" s="1"/>
        <n x="889" s="1"/>
        <n x="881" s="1"/>
        <n x="880" s="1"/>
        <n x="478"/>
        <n x="486"/>
        <n x="477"/>
      </t>
    </mdx>
    <mdx n="474" f="v">
      <t c="7">
        <n x="898" s="1"/>
        <n x="889" s="1"/>
        <n x="881" s="1"/>
        <n x="880" s="1"/>
        <n x="478"/>
        <n x="479"/>
        <n x="477"/>
      </t>
    </mdx>
    <mdx n="474" f="v">
      <t c="7">
        <n x="898" s="1"/>
        <n x="889" s="1"/>
        <n x="881" s="1"/>
        <n x="880" s="1"/>
        <n x="484"/>
        <n x="612"/>
        <n x="477"/>
      </t>
    </mdx>
    <mdx n="474" f="v">
      <t c="7">
        <n x="898" s="1"/>
        <n x="889" s="1"/>
        <n x="881" s="1"/>
        <n x="880" s="1"/>
        <n x="485"/>
        <n x="749"/>
        <n x="477"/>
      </t>
    </mdx>
    <mdx n="474" f="v">
      <t c="7">
        <n x="898" s="1"/>
        <n x="889" s="1"/>
        <n x="881" s="1"/>
        <n x="880" s="1"/>
        <n x="485"/>
        <n x="761"/>
        <n x="477"/>
      </t>
    </mdx>
    <mdx n="474" f="v">
      <t c="7">
        <n x="898" s="1"/>
        <n x="889" s="1"/>
        <n x="881" s="1"/>
        <n x="880" s="1"/>
        <n x="485"/>
        <n x="733"/>
        <n x="477"/>
      </t>
    </mdx>
    <mdx n="474" f="v">
      <t c="7">
        <n x="898" s="1"/>
        <n x="889" s="1"/>
        <n x="881" s="1"/>
        <n x="880" s="1"/>
        <n x="478"/>
        <n x="563"/>
        <n x="477"/>
      </t>
    </mdx>
    <mdx n="474" f="v">
      <t c="7">
        <n x="898" s="1"/>
        <n x="889" s="1"/>
        <n x="881" s="1"/>
        <n x="880" s="1"/>
        <n x="485"/>
        <n x="753"/>
        <n x="477"/>
      </t>
    </mdx>
    <mdx n="474" f="v">
      <t c="7">
        <n x="898" s="1"/>
        <n x="889" s="1"/>
        <n x="881" s="1"/>
        <n x="880" s="1"/>
        <n x="485"/>
        <n x="646"/>
        <n x="477"/>
      </t>
    </mdx>
    <mdx n="474" f="v">
      <t c="7">
        <n x="898" s="1"/>
        <n x="889" s="1"/>
        <n x="881" s="1"/>
        <n x="880" s="1"/>
        <n x="485"/>
        <n x="567"/>
        <n x="477"/>
      </t>
    </mdx>
    <mdx n="474" f="v">
      <t c="7">
        <n x="898" s="1"/>
        <n x="889" s="1"/>
        <n x="881" s="1"/>
        <n x="880" s="1"/>
        <n x="484"/>
        <n x="526"/>
        <n x="477"/>
      </t>
    </mdx>
    <mdx n="474" f="v">
      <t c="7">
        <n x="898" s="1"/>
        <n x="889" s="1"/>
        <n x="881" s="1"/>
        <n x="880" s="1"/>
        <n x="485"/>
        <n x="677"/>
        <n x="477"/>
      </t>
    </mdx>
    <mdx n="474" f="v">
      <t c="7">
        <n x="898" s="1"/>
        <n x="889" s="1"/>
        <n x="881" s="1"/>
        <n x="880" s="1"/>
        <n x="484"/>
        <n x="589"/>
        <n x="477"/>
      </t>
    </mdx>
    <mdx n="474" f="v">
      <t c="7">
        <n x="898" s="1"/>
        <n x="889" s="1"/>
        <n x="881" s="1"/>
        <n x="880" s="1"/>
        <n x="485"/>
        <n x="665"/>
        <n x="477"/>
      </t>
    </mdx>
    <mdx n="474" f="v">
      <t c="7">
        <n x="898" s="1"/>
        <n x="889" s="1"/>
        <n x="881" s="1"/>
        <n x="880" s="1"/>
        <n x="484"/>
        <n x="827"/>
        <n x="477"/>
      </t>
    </mdx>
    <mdx n="474" f="v">
      <t c="7">
        <n x="898" s="1"/>
        <n x="889" s="1"/>
        <n x="881" s="1"/>
        <n x="880" s="1"/>
        <n x="485"/>
        <n x="852"/>
        <n x="477"/>
      </t>
    </mdx>
    <mdx n="474" f="v">
      <t c="7">
        <n x="898" s="1"/>
        <n x="889" s="1"/>
        <n x="881" s="1"/>
        <n x="880" s="1"/>
        <n x="485"/>
        <n x="789"/>
        <n x="477"/>
      </t>
    </mdx>
    <mdx n="474" f="v">
      <t c="7">
        <n x="898" s="1"/>
        <n x="889" s="1"/>
        <n x="881" s="1"/>
        <n x="880" s="1"/>
        <n x="483"/>
        <n x="496"/>
        <n x="477"/>
      </t>
    </mdx>
    <mdx n="474" f="v">
      <t c="7">
        <n x="898" s="1"/>
        <n x="889" s="1"/>
        <n x="881" s="1"/>
        <n x="880" s="1"/>
        <n x="483"/>
        <n x="496"/>
        <n x="7"/>
      </t>
    </mdx>
    <mdx n="474" f="v">
      <t c="7">
        <n x="898" s="1"/>
        <n x="889" s="1"/>
        <n x="881" s="1"/>
        <n x="880" s="1"/>
        <n x="477"/>
        <n x="796"/>
        <n x="814"/>
      </t>
    </mdx>
    <mdx n="474" f="v">
      <t c="7">
        <n x="898" s="1"/>
        <n x="889" s="1"/>
        <n x="881" s="1"/>
        <n x="880" s="1"/>
        <n x="477"/>
        <n x="796"/>
        <n x="804"/>
      </t>
    </mdx>
    <mdx n="474" f="v">
      <t c="7">
        <n x="898" s="1"/>
        <n x="889" s="1"/>
        <n x="881" s="1"/>
        <n x="880" s="1"/>
        <n x="478"/>
        <n x="570"/>
        <n x="477"/>
      </t>
    </mdx>
    <mdx n="474" f="v">
      <t c="7">
        <n x="898" s="1"/>
        <n x="889" s="1"/>
        <n x="881" s="1"/>
        <n x="880" s="1"/>
        <n x="478"/>
        <n x="570"/>
        <n x="7"/>
      </t>
    </mdx>
    <mdx n="474" f="v">
      <t c="7">
        <n x="898" s="1"/>
        <n x="889" s="1"/>
        <n x="881" s="1"/>
        <n x="880" s="1"/>
        <n x="485"/>
        <n x="791"/>
        <n x="476"/>
      </t>
    </mdx>
    <mdx n="474" f="v">
      <t c="7">
        <n x="898" s="1"/>
        <n x="889" s="1"/>
        <n x="881" s="1"/>
        <n x="880" s="1"/>
        <n x="485"/>
        <n x="791"/>
        <n x="477"/>
      </t>
    </mdx>
    <mdx n="474" f="v">
      <t c="7">
        <n x="898" s="1"/>
        <n x="889" s="1"/>
        <n x="881" s="1"/>
        <n x="880" s="1"/>
        <n x="485"/>
        <n x="676"/>
        <n x="476"/>
      </t>
    </mdx>
    <mdx n="474" f="v">
      <t c="7">
        <n x="898" s="1"/>
        <n x="889" s="1"/>
        <n x="881" s="1"/>
        <n x="880" s="1"/>
        <n x="485"/>
        <n x="676"/>
        <n x="477"/>
      </t>
    </mdx>
    <mdx n="474" f="v">
      <t c="7">
        <n x="898" s="1"/>
        <n x="889" s="1"/>
        <n x="881" s="1"/>
        <n x="880" s="1"/>
        <n x="485"/>
        <n x="790"/>
        <n x="476"/>
      </t>
    </mdx>
    <mdx n="474" f="v">
      <t c="7">
        <n x="898" s="1"/>
        <n x="889" s="1"/>
        <n x="881" s="1"/>
        <n x="880" s="1"/>
        <n x="485"/>
        <n x="790"/>
        <n x="7"/>
      </t>
    </mdx>
    <mdx n="474" f="v">
      <t c="7">
        <n x="898" s="1"/>
        <n x="889" s="1"/>
        <n x="881" s="1"/>
        <n x="880" s="1"/>
        <n x="485"/>
        <n x="790"/>
        <n x="477"/>
      </t>
    </mdx>
    <mdx n="474" f="v">
      <t c="7">
        <n x="898" s="1"/>
        <n x="889" s="1"/>
        <n x="881" s="1"/>
        <n x="880" s="1"/>
        <n x="478"/>
        <n x="482"/>
        <n x="476"/>
      </t>
    </mdx>
    <mdx n="474" f="v">
      <t c="7">
        <n x="898" s="1"/>
        <n x="889" s="1"/>
        <n x="881" s="1"/>
        <n x="880" s="1"/>
        <n x="478"/>
        <n x="482"/>
        <n x="477"/>
      </t>
    </mdx>
    <mdx n="474" f="v">
      <t c="7">
        <n x="898" s="1"/>
        <n x="889" s="1"/>
        <n x="881" s="1"/>
        <n x="880" s="1"/>
        <n x="485"/>
        <n x="862"/>
        <n x="476"/>
      </t>
    </mdx>
    <mdx n="474" f="v">
      <t c="7">
        <n x="898" s="1"/>
        <n x="889" s="1"/>
        <n x="881" s="1"/>
        <n x="880" s="1"/>
        <n x="485"/>
        <n x="862"/>
        <n x="477"/>
      </t>
    </mdx>
    <mdx n="474" f="v">
      <t c="7">
        <n x="898" s="1"/>
        <n x="889" s="1"/>
        <n x="881" s="1"/>
        <n x="880" s="1"/>
        <n x="485"/>
        <n x="869"/>
        <n x="476"/>
      </t>
    </mdx>
    <mdx n="474" f="v">
      <t c="7">
        <n x="898" s="1"/>
        <n x="889" s="1"/>
        <n x="881" s="1"/>
        <n x="880" s="1"/>
        <n x="485"/>
        <n x="710"/>
        <n x="477"/>
      </t>
    </mdx>
    <mdx n="474" f="v">
      <t c="7">
        <n x="898" s="1"/>
        <n x="889" s="1"/>
        <n x="881" s="1"/>
        <n x="880" s="1"/>
        <n x="485"/>
        <n x="710"/>
        <n x="7"/>
      </t>
    </mdx>
    <mdx n="474" f="v">
      <t c="7">
        <n x="898" s="1"/>
        <n x="889" s="1"/>
        <n x="881" s="1"/>
        <n x="880" s="1"/>
        <n x="485"/>
        <n x="710"/>
        <n x="476"/>
      </t>
    </mdx>
    <mdx n="474" f="v">
      <t c="7">
        <n x="898" s="1"/>
        <n x="889" s="1"/>
        <n x="881" s="1"/>
        <n x="880" s="1"/>
        <n x="485"/>
        <n x="561"/>
        <n x="476"/>
      </t>
    </mdx>
    <mdx n="474" f="v">
      <t c="7">
        <n x="898" s="1"/>
        <n x="889" s="1"/>
        <n x="881" s="1"/>
        <n x="880" s="1"/>
        <n x="485"/>
        <n x="561"/>
        <n x="477"/>
      </t>
    </mdx>
    <mdx n="474" f="v">
      <t c="7">
        <n x="898" s="1"/>
        <n x="889" s="1"/>
        <n x="881" s="1"/>
        <n x="880" s="1"/>
        <n x="485"/>
        <n x="561"/>
        <n x="7"/>
      </t>
    </mdx>
    <mdx n="474" f="v">
      <t c="7">
        <n x="898" s="1"/>
        <n x="889" s="1"/>
        <n x="881" s="1"/>
        <n x="880" s="1"/>
        <n x="484"/>
        <n x="512"/>
        <n x="476"/>
      </t>
    </mdx>
    <mdx n="474" f="v">
      <t c="7">
        <n x="898" s="1"/>
        <n x="889" s="1"/>
        <n x="881" s="1"/>
        <n x="880" s="1"/>
        <n x="484"/>
        <n x="521"/>
        <n x="476"/>
      </t>
    </mdx>
    <mdx n="474" f="v">
      <t c="7">
        <n x="898" s="1"/>
        <n x="889" s="1"/>
        <n x="881" s="1"/>
        <n x="880" s="1"/>
        <n x="484"/>
        <n x="523"/>
        <n x="476"/>
      </t>
    </mdx>
    <mdx n="474" f="v">
      <t c="7">
        <n x="898" s="1"/>
        <n x="889" s="1"/>
        <n x="881" s="1"/>
        <n x="880" s="1"/>
        <n x="485"/>
        <n x="769"/>
        <n x="476"/>
      </t>
    </mdx>
    <mdx n="474" f="v">
      <t c="7">
        <n x="898" s="1"/>
        <n x="889" s="1"/>
        <n x="881" s="1"/>
        <n x="880" s="1"/>
        <n x="484"/>
        <n x="611"/>
        <n x="476"/>
      </t>
    </mdx>
    <mdx n="474" f="v">
      <t c="7">
        <n x="898" s="1"/>
        <n x="889" s="1"/>
        <n x="881" s="1"/>
        <n x="880" s="1"/>
        <n x="485"/>
        <n x="779"/>
        <n x="476"/>
      </t>
    </mdx>
    <mdx n="474" f="v">
      <t c="7">
        <n x="898" s="1"/>
        <n x="889" s="1"/>
        <n x="881" s="1"/>
        <n x="880" s="1"/>
        <n x="485"/>
        <n x="720"/>
        <n x="476"/>
      </t>
    </mdx>
    <mdx n="474" f="v">
      <t c="7">
        <n x="898" s="1"/>
        <n x="889" s="1"/>
        <n x="881" s="1"/>
        <n x="880" s="1"/>
        <n x="484"/>
        <n x="592"/>
        <n x="476"/>
      </t>
    </mdx>
    <mdx n="474" f="v">
      <t c="7">
        <n x="898" s="1"/>
        <n x="889" s="1"/>
        <n x="881" s="1"/>
        <n x="880" s="1"/>
        <n x="485"/>
        <n x="718"/>
        <n x="476"/>
      </t>
    </mdx>
    <mdx n="474" f="v">
      <t c="7">
        <n x="898" s="1"/>
        <n x="889" s="1"/>
        <n x="881" s="1"/>
        <n x="880" s="1"/>
        <n x="485"/>
        <n x="768"/>
        <n x="476"/>
      </t>
    </mdx>
    <mdx n="474" f="v">
      <t c="7">
        <n x="898" s="1"/>
        <n x="889" s="1"/>
        <n x="881" s="1"/>
        <n x="880" s="1"/>
        <n x="485"/>
        <n x="870"/>
        <n x="476"/>
      </t>
    </mdx>
    <mdx n="474" f="v">
      <t c="7">
        <n x="898" s="1"/>
        <n x="889" s="1"/>
        <n x="881" s="1"/>
        <n x="880" s="1"/>
        <n x="485"/>
        <n x="632"/>
        <n x="476"/>
      </t>
    </mdx>
    <mdx n="474" f="v">
      <t c="7">
        <n x="898" s="1"/>
        <n x="889" s="1"/>
        <n x="881" s="1"/>
        <n x="880" s="1"/>
        <n x="485"/>
        <n x="758"/>
        <n x="476"/>
      </t>
    </mdx>
    <mdx n="474" f="v">
      <t c="7">
        <n x="898" s="1"/>
        <n x="889" s="1"/>
        <n x="881" s="1"/>
        <n x="880" s="1"/>
        <n x="484"/>
        <n x="591"/>
        <n x="476"/>
      </t>
    </mdx>
    <mdx n="474" f="v">
      <t c="7">
        <n x="898" s="1"/>
        <n x="889" s="1"/>
        <n x="881" s="1"/>
        <n x="880" s="1"/>
        <n x="485"/>
        <n x="739"/>
        <n x="476"/>
      </t>
    </mdx>
    <mdx n="474" f="v">
      <t c="7">
        <n x="898" s="1"/>
        <n x="889" s="1"/>
        <n x="881" s="1"/>
        <n x="880" s="1"/>
        <n x="485"/>
        <n x="760"/>
        <n x="476"/>
      </t>
    </mdx>
    <mdx n="474" f="v">
      <t c="7">
        <n x="898" s="1"/>
        <n x="889" s="1"/>
        <n x="881" s="1"/>
        <n x="880" s="1"/>
        <n x="485"/>
        <n x="659"/>
        <n x="476"/>
      </t>
    </mdx>
    <mdx n="474" f="v">
      <t c="7">
        <n x="898" s="1"/>
        <n x="889" s="1"/>
        <n x="881" s="1"/>
        <n x="880" s="1"/>
        <n x="485"/>
        <n x="839"/>
        <n x="476"/>
      </t>
    </mdx>
    <mdx n="474" f="v">
      <t c="7">
        <n x="898" s="1"/>
        <n x="889" s="1"/>
        <n x="881" s="1"/>
        <n x="880" s="1"/>
        <n x="484"/>
        <n x="518"/>
        <n x="476"/>
      </t>
    </mdx>
    <mdx n="474" f="v">
      <t c="7">
        <n x="898" s="1"/>
        <n x="889" s="1"/>
        <n x="881" s="1"/>
        <n x="880" s="1"/>
        <n x="478"/>
        <n x="480"/>
        <n x="476"/>
      </t>
    </mdx>
    <mdx n="474" f="v">
      <t c="7">
        <n x="898" s="1"/>
        <n x="889" s="1"/>
        <n x="881" s="1"/>
        <n x="880" s="1"/>
        <n x="485"/>
        <n x="669"/>
        <n x="476"/>
      </t>
    </mdx>
    <mdx n="474" f="v">
      <t c="7">
        <n x="898" s="1"/>
        <n x="889" s="1"/>
        <n x="881" s="1"/>
        <n x="880" s="1"/>
        <n x="484"/>
        <n x="529"/>
        <n x="476"/>
      </t>
    </mdx>
    <mdx n="474" f="v">
      <t c="7">
        <n x="898" s="1"/>
        <n x="889" s="1"/>
        <n x="881" s="1"/>
        <n x="880" s="1"/>
        <n x="485"/>
        <n x="777"/>
        <n x="476"/>
      </t>
    </mdx>
    <mdx n="474" f="v">
      <t c="7">
        <n x="898" s="1"/>
        <n x="889" s="1"/>
        <n x="881" s="1"/>
        <n x="880" s="1"/>
        <n x="484"/>
        <n x="531"/>
        <n x="476"/>
      </t>
    </mdx>
    <mdx n="474" f="v">
      <t c="7">
        <n x="898" s="1"/>
        <n x="889" s="1"/>
        <n x="881" s="1"/>
        <n x="880" s="1"/>
        <n x="484"/>
        <n x="858"/>
        <n x="476"/>
      </t>
    </mdx>
    <mdx n="474" f="v">
      <t c="7">
        <n x="898" s="1"/>
        <n x="889" s="1"/>
        <n x="881" s="1"/>
        <n x="880" s="1"/>
        <n x="484"/>
        <n x="602"/>
        <n x="476"/>
      </t>
    </mdx>
    <mdx n="474" f="v">
      <t c="7">
        <n x="898" s="1"/>
        <n x="889" s="1"/>
        <n x="881" s="1"/>
        <n x="880" s="1"/>
        <n x="485"/>
        <n x="704"/>
        <n x="476"/>
      </t>
    </mdx>
    <mdx n="474" f="v">
      <t c="7">
        <n x="898" s="1"/>
        <n x="889" s="1"/>
        <n x="881" s="1"/>
        <n x="880" s="1"/>
        <n x="484"/>
        <n x="536"/>
        <n x="476"/>
      </t>
    </mdx>
    <mdx n="474" f="v">
      <t c="7">
        <n x="898" s="1"/>
        <n x="889" s="1"/>
        <n x="881" s="1"/>
        <n x="880" s="1"/>
        <n x="478"/>
        <n x="487"/>
        <n x="476"/>
      </t>
    </mdx>
    <mdx n="474" f="v">
      <t c="7">
        <n x="898" s="1"/>
        <n x="889" s="1"/>
        <n x="881" s="1"/>
        <n x="880" s="1"/>
        <n x="478"/>
        <n x="488"/>
        <n x="476"/>
      </t>
    </mdx>
    <mdx n="474" f="v">
      <t c="7">
        <n x="898" s="1"/>
        <n x="889" s="1"/>
        <n x="881" s="1"/>
        <n x="880" s="1"/>
        <n x="485"/>
        <n x="748"/>
        <n x="476"/>
      </t>
    </mdx>
    <mdx n="474" f="v">
      <t c="7">
        <n x="898" s="1"/>
        <n x="889" s="1"/>
        <n x="881" s="1"/>
        <n x="880" s="1"/>
        <n x="483"/>
        <n x="573"/>
        <n x="476"/>
      </t>
    </mdx>
    <mdx n="474" f="v">
      <t c="7">
        <n x="898" s="1"/>
        <n x="889" s="1"/>
        <n x="881" s="1"/>
        <n x="880" s="1"/>
        <n x="485"/>
        <n x="655"/>
        <n x="476"/>
      </t>
    </mdx>
    <mdx n="474" f="v">
      <t c="7">
        <n x="898" s="1"/>
        <n x="889" s="1"/>
        <n x="881" s="1"/>
        <n x="880" s="1"/>
        <n x="484"/>
        <n x="534"/>
        <n x="476"/>
      </t>
    </mdx>
    <mdx n="474" f="v">
      <t c="7">
        <n x="898" s="1"/>
        <n x="889" s="1"/>
        <n x="881" s="1"/>
        <n x="880" s="1"/>
        <n x="484"/>
        <n x="875"/>
        <n x="476"/>
      </t>
    </mdx>
    <mdx n="474" f="v">
      <t c="7">
        <n x="898" s="1"/>
        <n x="889" s="1"/>
        <n x="881" s="1"/>
        <n x="880" s="1"/>
        <n x="484"/>
        <n x="832"/>
        <n x="476"/>
      </t>
    </mdx>
    <mdx n="474" f="v">
      <t c="7">
        <n x="898" s="1"/>
        <n x="889" s="1"/>
        <n x="881" s="1"/>
        <n x="880" s="1"/>
        <n x="484"/>
        <n x="516"/>
        <n x="476"/>
      </t>
    </mdx>
    <mdx n="474" f="v">
      <t c="7">
        <n x="898" s="1"/>
        <n x="889" s="1"/>
        <n x="881" s="1"/>
        <n x="880" s="1"/>
        <n x="485"/>
        <n x="773"/>
        <n x="476"/>
      </t>
    </mdx>
    <mdx n="474" f="v">
      <t c="7">
        <n x="898" s="1"/>
        <n x="889" s="1"/>
        <n x="881" s="1"/>
        <n x="880" s="1"/>
        <n x="484"/>
        <n x="596"/>
        <n x="476"/>
      </t>
    </mdx>
    <mdx n="474" f="v">
      <t c="7">
        <n x="898" s="1"/>
        <n x="889" s="1"/>
        <n x="881" s="1"/>
        <n x="880" s="1"/>
        <n x="478"/>
        <n x="567"/>
        <n x="476"/>
      </t>
    </mdx>
    <mdx n="474" f="v">
      <t c="7">
        <n x="898" s="1"/>
        <n x="889" s="1"/>
        <n x="881" s="1"/>
        <n x="880" s="1"/>
        <n x="485"/>
        <n x="696"/>
        <n x="476"/>
      </t>
    </mdx>
    <mdx n="474" f="v">
      <t c="7">
        <n x="898" s="1"/>
        <n x="889" s="1"/>
        <n x="881" s="1"/>
        <n x="880" s="1"/>
        <n x="485"/>
        <n x="780"/>
        <n x="476"/>
      </t>
    </mdx>
    <mdx n="474" f="v">
      <t c="7">
        <n x="898" s="1"/>
        <n x="889" s="1"/>
        <n x="881" s="1"/>
        <n x="880" s="1"/>
        <n x="485"/>
        <n x="711"/>
        <n x="476"/>
      </t>
    </mdx>
    <mdx n="474" f="v">
      <t c="7">
        <n x="898" s="1"/>
        <n x="889" s="1"/>
        <n x="881" s="1"/>
        <n x="880" s="1"/>
        <n x="484"/>
        <n x="515"/>
        <n x="476"/>
      </t>
    </mdx>
    <mdx n="474" f="v">
      <t c="7">
        <n x="898" s="1"/>
        <n x="889" s="1"/>
        <n x="881" s="1"/>
        <n x="880" s="1"/>
        <n x="484"/>
        <n x="499"/>
        <n x="476"/>
      </t>
    </mdx>
    <mdx n="474" f="v">
      <t c="7">
        <n x="898" s="1"/>
        <n x="889" s="1"/>
        <n x="881" s="1"/>
        <n x="880" s="1"/>
        <n x="485"/>
        <n x="708"/>
        <n x="476"/>
      </t>
    </mdx>
    <mdx n="474" f="v">
      <t c="7">
        <n x="898" s="1"/>
        <n x="889" s="1"/>
        <n x="881" s="1"/>
        <n x="880" s="1"/>
        <n x="484"/>
        <n x="873"/>
        <n x="476"/>
      </t>
    </mdx>
    <mdx n="474" f="v">
      <t c="7">
        <n x="898" s="1"/>
        <n x="889" s="1"/>
        <n x="881" s="1"/>
        <n x="880" s="1"/>
        <n x="485"/>
        <n x="562"/>
        <n x="476"/>
      </t>
    </mdx>
    <mdx n="474" f="v">
      <t c="7">
        <n x="898" s="1"/>
        <n x="889" s="1"/>
        <n x="881" s="1"/>
        <n x="880" s="1"/>
        <n x="484"/>
        <n x="630"/>
        <n x="476"/>
      </t>
    </mdx>
    <mdx n="474" f="v">
      <t c="7">
        <n x="898" s="1"/>
        <n x="889" s="1"/>
        <n x="881" s="1"/>
        <n x="880" s="1"/>
        <n x="484"/>
        <n x="546"/>
        <n x="476"/>
      </t>
    </mdx>
    <mdx n="474" f="v">
      <t c="7">
        <n x="898" s="1"/>
        <n x="889" s="1"/>
        <n x="881" s="1"/>
        <n x="880" s="1"/>
        <n x="484"/>
        <n x="550"/>
        <n x="476"/>
      </t>
    </mdx>
    <mdx n="474" f="v">
      <t c="7">
        <n x="898" s="1"/>
        <n x="889" s="1"/>
        <n x="881" s="1"/>
        <n x="880" s="1"/>
        <n x="484"/>
        <n x="829"/>
        <n x="476"/>
      </t>
    </mdx>
    <mdx n="474" f="v">
      <t c="7">
        <n x="898" s="1"/>
        <n x="889" s="1"/>
        <n x="881" s="1"/>
        <n x="880" s="1"/>
        <n x="484"/>
        <n x="624"/>
        <n x="476"/>
      </t>
    </mdx>
    <mdx n="474" f="v">
      <t c="7">
        <n x="898" s="1"/>
        <n x="889" s="1"/>
        <n x="881" s="1"/>
        <n x="880" s="1"/>
        <n x="485"/>
        <n x="557"/>
        <n x="476"/>
      </t>
    </mdx>
    <mdx n="474" f="v">
      <t c="7">
        <n x="898" s="1"/>
        <n x="889" s="1"/>
        <n x="881" s="1"/>
        <n x="880" s="1"/>
        <n x="484"/>
        <n x="514"/>
        <n x="476"/>
      </t>
    </mdx>
    <mdx n="474" f="v">
      <t c="7">
        <n x="898" s="1"/>
        <n x="889" s="1"/>
        <n x="881" s="1"/>
        <n x="880" s="1"/>
        <n x="485"/>
        <n x="865"/>
        <n x="476"/>
      </t>
    </mdx>
    <mdx n="474" f="v">
      <t c="7">
        <n x="898" s="1"/>
        <n x="889" s="1"/>
        <n x="881" s="1"/>
        <n x="880" s="1"/>
        <n x="485"/>
        <n x="719"/>
        <n x="476"/>
      </t>
    </mdx>
    <mdx n="474" f="v">
      <t c="7">
        <n x="898" s="1"/>
        <n x="889" s="1"/>
        <n x="881" s="1"/>
        <n x="880" s="1"/>
        <n x="485"/>
        <n x="744"/>
        <n x="476"/>
      </t>
    </mdx>
    <mdx n="474" f="v">
      <t c="7">
        <n x="898" s="1"/>
        <n x="889" s="1"/>
        <n x="881" s="1"/>
        <n x="880" s="1"/>
        <n x="485"/>
        <n x="684"/>
        <n x="476"/>
      </t>
    </mdx>
    <mdx n="474" f="v">
      <t c="7">
        <n x="898" s="1"/>
        <n x="889" s="1"/>
        <n x="881" s="1"/>
        <n x="880" s="1"/>
        <n x="485"/>
        <n x="559"/>
        <n x="476"/>
      </t>
    </mdx>
    <mdx n="474" f="v">
      <t c="7">
        <n x="898" s="1"/>
        <n x="889" s="1"/>
        <n x="881" s="1"/>
        <n x="880" s="1"/>
        <n x="484"/>
        <n x="506"/>
        <n x="476"/>
      </t>
    </mdx>
    <mdx n="474" f="v">
      <t c="7">
        <n x="898" s="1"/>
        <n x="889" s="1"/>
        <n x="881" s="1"/>
        <n x="880" s="1"/>
        <n x="484"/>
        <n x="835"/>
        <n x="476"/>
      </t>
    </mdx>
    <mdx n="474" f="v">
      <t c="7">
        <n x="898" s="1"/>
        <n x="889" s="1"/>
        <n x="881" s="1"/>
        <n x="880" s="1"/>
        <n x="484"/>
        <n x="848"/>
        <n x="476"/>
      </t>
    </mdx>
    <mdx n="474" f="v">
      <t c="7">
        <n x="898" s="1"/>
        <n x="889" s="1"/>
        <n x="881" s="1"/>
        <n x="880" s="1"/>
        <n x="484"/>
        <n x="581"/>
        <n x="476"/>
      </t>
    </mdx>
    <mdx n="474" f="v">
      <t c="7">
        <n x="898" s="1"/>
        <n x="889" s="1"/>
        <n x="881" s="1"/>
        <n x="880" s="1"/>
        <n x="485"/>
        <n x="861"/>
        <n x="476"/>
      </t>
    </mdx>
    <mdx n="474" f="v">
      <t c="7">
        <n x="898" s="1"/>
        <n x="889" s="1"/>
        <n x="881" s="1"/>
        <n x="880" s="1"/>
        <n x="485"/>
        <n x="640"/>
        <n x="476"/>
      </t>
    </mdx>
    <mdx n="474" f="v">
      <t c="7">
        <n x="898" s="1"/>
        <n x="889" s="1"/>
        <n x="881" s="1"/>
        <n x="880" s="1"/>
        <n x="484"/>
        <n x="530"/>
        <n x="476"/>
      </t>
    </mdx>
    <mdx n="474" f="v">
      <t c="7">
        <n x="898" s="1"/>
        <n x="889" s="1"/>
        <n x="881" s="1"/>
        <n x="880" s="1"/>
        <n x="485"/>
        <n x="664"/>
        <n x="476"/>
      </t>
    </mdx>
    <mdx n="474" f="v">
      <t c="7">
        <n x="898" s="1"/>
        <n x="889" s="1"/>
        <n x="881" s="1"/>
        <n x="880" s="1"/>
        <n x="485"/>
        <n x="697"/>
        <n x="476"/>
      </t>
    </mdx>
    <mdx n="474" f="v">
      <t c="7">
        <n x="898" s="1"/>
        <n x="889" s="1"/>
        <n x="881" s="1"/>
        <n x="880" s="1"/>
        <n x="484"/>
        <n x="629"/>
        <n x="476"/>
      </t>
    </mdx>
    <mdx n="474" f="v">
      <t c="7">
        <n x="898" s="1"/>
        <n x="889" s="1"/>
        <n x="881" s="1"/>
        <n x="880" s="1"/>
        <n x="485"/>
        <n x="654"/>
        <n x="476"/>
      </t>
    </mdx>
    <mdx n="474" f="v">
      <t c="7">
        <n x="898" s="1"/>
        <n x="889" s="1"/>
        <n x="881" s="1"/>
        <n x="880" s="1"/>
        <n x="478"/>
        <n x="490"/>
        <n x="476"/>
      </t>
    </mdx>
    <mdx n="474" f="v">
      <t c="7">
        <n x="898" s="1"/>
        <n x="889" s="1"/>
        <n x="881" s="1"/>
        <n x="880" s="1"/>
        <n x="485"/>
        <n x="732"/>
        <n x="476"/>
      </t>
    </mdx>
    <mdx n="474" f="v">
      <t c="7">
        <n x="898" s="1"/>
        <n x="889" s="1"/>
        <n x="881" s="1"/>
        <n x="880" s="1"/>
        <n x="485"/>
        <n x="685"/>
        <n x="476"/>
      </t>
    </mdx>
    <mdx n="474" f="v">
      <t c="7">
        <n x="898" s="1"/>
        <n x="889" s="1"/>
        <n x="881" s="1"/>
        <n x="880" s="1"/>
        <n x="484"/>
        <n x="575"/>
        <n x="476"/>
      </t>
    </mdx>
    <mdx n="474" f="v">
      <t c="7">
        <n x="898" s="1"/>
        <n x="889" s="1"/>
        <n x="881" s="1"/>
        <n x="880" s="1"/>
        <n x="485"/>
        <n x="762"/>
        <n x="476"/>
      </t>
    </mdx>
    <mdx n="474" f="v">
      <t c="7">
        <n x="898" s="1"/>
        <n x="889" s="1"/>
        <n x="881" s="1"/>
        <n x="880" s="1"/>
        <n x="484"/>
        <n x="605"/>
        <n x="476"/>
      </t>
    </mdx>
    <mdx n="474" f="v">
      <t c="7">
        <n x="898" s="1"/>
        <n x="889" s="1"/>
        <n x="881" s="1"/>
        <n x="880" s="1"/>
        <n x="485"/>
        <n x="646"/>
        <n x="476"/>
      </t>
    </mdx>
    <mdx n="474" f="v">
      <t c="7">
        <n x="898" s="1"/>
        <n x="889" s="1"/>
        <n x="881" s="1"/>
        <n x="880" s="1"/>
        <n x="478"/>
        <n x="479"/>
        <n x="476"/>
      </t>
    </mdx>
    <mdx n="474" f="v">
      <t c="7">
        <n x="898" s="1"/>
        <n x="889" s="1"/>
        <n x="881" s="1"/>
        <n x="880" s="1"/>
        <n x="485"/>
        <n x="712"/>
        <n x="7"/>
      </t>
    </mdx>
    <mdx n="474" f="v">
      <t c="7">
        <n x="898" s="1"/>
        <n x="889" s="1"/>
        <n x="881" s="1"/>
        <n x="880" s="1"/>
        <n x="485"/>
        <n x="712"/>
        <n x="476"/>
      </t>
    </mdx>
    <mdx n="474" f="v">
      <t c="7">
        <n x="898" s="1"/>
        <n x="889" s="1"/>
        <n x="881" s="1"/>
        <n x="880" s="1"/>
        <n x="484"/>
        <n x="599"/>
        <n x="477"/>
      </t>
    </mdx>
    <mdx n="474" f="v">
      <t c="7">
        <n x="898" s="1"/>
        <n x="889" s="1"/>
        <n x="881" s="1"/>
        <n x="880" s="1"/>
        <n x="484"/>
        <n x="579"/>
        <n x="477"/>
      </t>
    </mdx>
    <mdx n="474" f="v">
      <t c="7">
        <n x="898" s="1"/>
        <n x="889" s="1"/>
        <n x="881" s="1"/>
        <n x="880" s="1"/>
        <n x="484"/>
        <n x="833"/>
        <n x="476"/>
      </t>
    </mdx>
    <mdx n="474" f="v">
      <t c="7">
        <n x="898" s="1"/>
        <n x="889" s="1"/>
        <n x="881" s="1"/>
        <n x="880" s="1"/>
        <n x="484"/>
        <n x="833"/>
        <n x="477"/>
      </t>
    </mdx>
    <mdx n="474" f="v">
      <t c="7">
        <n x="898" s="1"/>
        <n x="889" s="1"/>
        <n x="881" s="1"/>
        <n x="880" s="1"/>
        <n x="484"/>
        <n x="833"/>
        <n x="7"/>
      </t>
    </mdx>
    <mdx n="474" f="v">
      <t c="7">
        <n x="898" s="1"/>
        <n x="889" s="1"/>
        <n x="881" s="1"/>
        <n x="880" s="1"/>
        <n x="484"/>
        <n x="576"/>
        <n x="476"/>
      </t>
    </mdx>
    <mdx n="474" f="v">
      <t c="7">
        <n x="898" s="1"/>
        <n x="889" s="1"/>
        <n x="881" s="1"/>
        <n x="880" s="1"/>
        <n x="484"/>
        <n x="576"/>
        <n x="7"/>
      </t>
    </mdx>
    <mdx n="474" f="v">
      <t c="7">
        <n x="898" s="1"/>
        <n x="889" s="1"/>
        <n x="881" s="1"/>
        <n x="880" s="1"/>
        <n x="484"/>
        <n x="545"/>
        <n x="7"/>
      </t>
    </mdx>
    <mdx n="474" f="v">
      <t c="7">
        <n x="898" s="1"/>
        <n x="889" s="1"/>
        <n x="881" s="1"/>
        <n x="880" s="1"/>
        <n x="484"/>
        <n x="545"/>
        <n x="477"/>
      </t>
    </mdx>
    <mdx n="474" f="v">
      <t c="7">
        <n x="898" s="1"/>
        <n x="889" s="1"/>
        <n x="881" s="1"/>
        <n x="880" s="1"/>
        <n x="485"/>
        <n x="786"/>
        <n x="476"/>
      </t>
    </mdx>
    <mdx n="474" f="v">
      <t c="7">
        <n x="898" s="1"/>
        <n x="889" s="1"/>
        <n x="881" s="1"/>
        <n x="880" s="1"/>
        <n x="485"/>
        <n x="786"/>
        <n x="7"/>
      </t>
    </mdx>
    <mdx n="474" f="v">
      <t c="7">
        <n x="898" s="1"/>
        <n x="889" s="1"/>
        <n x="881" s="1"/>
        <n x="880" s="1"/>
        <n x="485"/>
        <n x="682"/>
        <n x="477"/>
      </t>
    </mdx>
    <mdx n="474" f="v">
      <t c="7">
        <n x="898" s="1"/>
        <n x="889" s="1"/>
        <n x="881" s="1"/>
        <n x="880" s="1"/>
        <n x="485"/>
        <n x="682"/>
        <n x="476"/>
      </t>
    </mdx>
    <mdx n="474" f="v">
      <t c="7">
        <n x="898" s="1"/>
        <n x="889" s="1"/>
        <n x="881" s="1"/>
        <n x="880" s="1"/>
        <n x="484"/>
        <n x="838"/>
        <n x="476"/>
      </t>
    </mdx>
    <mdx n="474" f="v">
      <t c="7">
        <n x="898" s="1"/>
        <n x="889" s="1"/>
        <n x="881" s="1"/>
        <n x="880" s="1"/>
        <n x="484"/>
        <n x="838"/>
        <n x="477"/>
      </t>
    </mdx>
    <mdx n="474" f="v">
      <t c="7">
        <n x="898" s="1"/>
        <n x="889" s="1"/>
        <n x="881" s="1"/>
        <n x="880" s="1"/>
        <n x="485"/>
        <n x="840"/>
        <n x="476"/>
      </t>
    </mdx>
    <mdx n="474" f="v">
      <t c="7">
        <n x="898" s="1"/>
        <n x="889" s="1"/>
        <n x="881" s="1"/>
        <n x="880" s="1"/>
        <n x="485"/>
        <n x="840"/>
        <n x="7"/>
      </t>
    </mdx>
    <mdx n="474" f="v">
      <t c="7">
        <n x="898" s="1"/>
        <n x="889" s="1"/>
        <n x="881" s="1"/>
        <n x="880" s="1"/>
        <n x="477"/>
        <n x="807"/>
        <n x="814"/>
      </t>
    </mdx>
    <mdx n="474" f="v">
      <t c="7">
        <n x="898" s="1"/>
        <n x="889" s="1"/>
        <n x="881" s="1"/>
        <n x="880" s="1"/>
        <n x="477"/>
        <n x="807"/>
        <n x="803"/>
      </t>
    </mdx>
    <mdx n="474" f="v">
      <t c="7">
        <n x="898" s="1"/>
        <n x="889" s="1"/>
        <n x="881" s="1"/>
        <n x="880" s="1"/>
        <n x="477"/>
        <n x="807"/>
        <n x="804"/>
      </t>
    </mdx>
    <mdx n="474" f="v">
      <t c="7">
        <n x="898" s="1"/>
        <n x="889" s="1"/>
        <n x="881" s="1"/>
        <n x="880" s="1"/>
        <n x="477"/>
        <n x="807"/>
        <n x="800"/>
      </t>
    </mdx>
    <mdx n="474" f="v">
      <t c="7">
        <n x="898" s="1"/>
        <n x="889" s="1"/>
        <n x="881" s="1"/>
        <n x="880" s="1"/>
        <n x="477"/>
        <n x="802"/>
        <n x="806"/>
      </t>
    </mdx>
    <mdx n="474" f="v">
      <t c="7">
        <n x="898" s="1"/>
        <n x="889" s="1"/>
        <n x="881" s="1"/>
        <n x="880" s="1"/>
        <n x="477"/>
        <n x="802"/>
        <n x="798"/>
      </t>
    </mdx>
    <mdx n="474" f="v">
      <t c="7">
        <n x="898" s="1"/>
        <n x="889" s="1"/>
        <n x="881" s="1"/>
        <n x="880" s="1"/>
        <n x="477"/>
        <n x="802"/>
        <n x="800"/>
      </t>
    </mdx>
    <mdx n="474" f="v">
      <t c="7">
        <n x="898" s="1"/>
        <n x="889" s="1"/>
        <n x="881" s="1"/>
        <n x="880" s="1"/>
        <n x="477"/>
        <n x="802"/>
        <n x="816"/>
      </t>
    </mdx>
    <mdx n="474" f="v">
      <t c="7">
        <n x="898" s="1"/>
        <n x="889" s="1"/>
        <n x="881" s="1"/>
        <n x="880" s="1"/>
        <n x="477"/>
        <n x="802"/>
        <n x="808"/>
      </t>
    </mdx>
    <mdx n="474" f="v">
      <t c="7">
        <n x="898" s="1"/>
        <n x="889" s="1"/>
        <n x="881" s="1"/>
        <n x="880" s="1"/>
        <n x="477"/>
        <n x="802"/>
        <n x="817"/>
      </t>
    </mdx>
    <mdx n="474" f="v">
      <t c="7">
        <n x="898" s="1"/>
        <n x="889" s="1"/>
        <n x="881" s="1"/>
        <n x="880" s="1"/>
        <n x="477"/>
        <n x="802"/>
        <n x="814"/>
      </t>
    </mdx>
    <mdx n="474" f="v">
      <t c="7">
        <n x="898" s="1"/>
        <n x="889" s="1"/>
        <n x="881" s="1"/>
        <n x="880" s="1"/>
        <n x="477"/>
        <n x="802"/>
        <n x="803"/>
      </t>
    </mdx>
    <mdx n="474" f="v">
      <t c="7">
        <n x="898" s="1"/>
        <n x="889" s="1"/>
        <n x="881" s="1"/>
        <n x="880" s="1"/>
        <n x="484"/>
        <n x="517"/>
        <n x="476"/>
      </t>
    </mdx>
    <mdx n="474" f="v">
      <t c="7">
        <n x="898" s="1"/>
        <n x="889" s="1"/>
        <n x="881" s="1"/>
        <n x="880" s="1"/>
        <n x="484"/>
        <n x="517"/>
        <n x="477"/>
      </t>
    </mdx>
    <mdx n="474" f="v">
      <t c="7">
        <n x="898" s="1"/>
        <n x="889" s="1"/>
        <n x="881" s="1"/>
        <n x="880" s="1"/>
        <n x="485"/>
        <n x="726"/>
        <n x="477"/>
      </t>
    </mdx>
    <mdx n="474" f="v">
      <t c="7">
        <n x="898" s="1"/>
        <n x="889" s="1"/>
        <n x="881" s="1"/>
        <n x="880" s="1"/>
        <n x="485"/>
        <n x="726"/>
        <n x="7"/>
      </t>
    </mdx>
    <mdx n="474" f="v">
      <t c="6">
        <n x="898" s="1"/>
        <n x="889" s="1"/>
        <n x="881" s="1"/>
        <n x="880" s="1"/>
        <n x="885"/>
        <n x="476"/>
      </t>
    </mdx>
    <mdx n="474" f="v">
      <t c="6">
        <n x="898" s="1"/>
        <n x="889" s="1"/>
        <n x="881" s="1"/>
        <n x="880" s="1"/>
        <n x="803"/>
        <n x="476"/>
      </t>
    </mdx>
    <mdx n="474" f="v">
      <t c="6">
        <n x="898" s="1"/>
        <n x="889" s="1"/>
        <n x="881" s="1"/>
        <n x="880" s="1"/>
        <n x="797"/>
        <n x="476"/>
      </t>
    </mdx>
    <mdx n="474" f="v">
      <t c="6">
        <n x="898" s="1"/>
        <n x="889" s="1"/>
        <n x="881" s="1"/>
        <n x="880" s="1"/>
        <n x="19"/>
        <n x="476"/>
      </t>
    </mdx>
    <mdx n="474" f="v">
      <t c="7">
        <n x="898" s="1"/>
        <n x="889" s="1"/>
        <n x="881" s="1"/>
        <n x="880" s="1"/>
        <n x="484"/>
        <n x="535"/>
        <n x="477"/>
      </t>
    </mdx>
    <mdx n="474" f="v">
      <t c="7">
        <n x="898" s="1"/>
        <n x="889" s="1"/>
        <n x="881" s="1"/>
        <n x="880" s="1"/>
        <n x="484"/>
        <n x="535"/>
        <n x="7"/>
      </t>
    </mdx>
    <mdx n="474" f="v">
      <t c="7">
        <n x="898" s="1"/>
        <n x="889" s="1"/>
        <n x="881" s="1"/>
        <n x="880" s="1"/>
        <n x="485"/>
        <n x="842"/>
        <n x="477"/>
      </t>
    </mdx>
    <mdx n="474" f="v">
      <t c="7">
        <n x="898" s="1"/>
        <n x="889" s="1"/>
        <n x="881" s="1"/>
        <n x="880" s="1"/>
        <n x="485"/>
        <n x="842"/>
        <n x="476"/>
      </t>
    </mdx>
    <mdx n="474" f="v">
      <t c="7">
        <n x="898" s="1"/>
        <n x="889" s="1"/>
        <n x="881" s="1"/>
        <n x="880" s="1"/>
        <n x="485"/>
        <n x="764"/>
        <n x="7"/>
      </t>
    </mdx>
    <mdx n="474" f="v">
      <t c="7">
        <n x="898" s="1"/>
        <n x="889" s="1"/>
        <n x="881" s="1"/>
        <n x="880" s="1"/>
        <n x="485"/>
        <n x="764"/>
        <n x="476"/>
      </t>
    </mdx>
    <mdx n="474" f="v">
      <t c="7">
        <n x="898" s="1"/>
        <n x="889" s="1"/>
        <n x="881" s="1"/>
        <n x="880" s="1"/>
        <n x="485"/>
        <n x="764"/>
        <n x="477"/>
      </t>
    </mdx>
    <mdx n="474" f="v">
      <t c="7">
        <n x="898" s="1"/>
        <n x="889" s="1"/>
        <n x="881" s="1"/>
        <n x="880" s="1"/>
        <n x="485"/>
        <n x="643"/>
        <n x="477"/>
      </t>
    </mdx>
    <mdx n="474" f="v">
      <t c="7">
        <n x="898" s="1"/>
        <n x="889" s="1"/>
        <n x="881" s="1"/>
        <n x="880" s="1"/>
        <n x="485"/>
        <n x="643"/>
        <n x="476"/>
      </t>
    </mdx>
    <mdx n="474" f="v">
      <t c="7">
        <n x="898" s="1"/>
        <n x="889" s="1"/>
        <n x="881" s="1"/>
        <n x="880" s="1"/>
        <n x="484"/>
        <n x="622"/>
        <n x="476"/>
      </t>
    </mdx>
    <mdx n="474" f="v">
      <t c="7">
        <n x="898" s="1"/>
        <n x="889" s="1"/>
        <n x="881" s="1"/>
        <n x="880" s="1"/>
        <n x="484"/>
        <n x="622"/>
        <n x="477"/>
      </t>
    </mdx>
    <mdx n="474" f="v">
      <t c="7">
        <n x="898" s="1"/>
        <n x="889" s="1"/>
        <n x="881" s="1"/>
        <n x="880" s="1"/>
        <n x="485"/>
        <n x="702"/>
        <n x="476"/>
      </t>
    </mdx>
    <mdx n="474" f="v">
      <t c="7">
        <n x="898" s="1"/>
        <n x="889" s="1"/>
        <n x="881" s="1"/>
        <n x="880" s="1"/>
        <n x="485"/>
        <n x="702"/>
        <n x="477"/>
      </t>
    </mdx>
    <mdx n="474" f="v">
      <t c="7">
        <n x="898" s="1"/>
        <n x="889" s="1"/>
        <n x="881" s="1"/>
        <n x="880" s="1"/>
        <n x="485"/>
        <n x="702"/>
        <n x="7"/>
      </t>
    </mdx>
    <mdx n="474" f="v">
      <t c="7">
        <n x="898" s="1"/>
        <n x="889" s="1"/>
        <n x="881" s="1"/>
        <n x="880" s="1"/>
        <n x="485"/>
        <n x="644"/>
        <n x="477"/>
      </t>
    </mdx>
    <mdx n="474" f="v">
      <t c="7">
        <n x="898" s="1"/>
        <n x="889" s="1"/>
        <n x="881" s="1"/>
        <n x="880" s="1"/>
        <n x="485"/>
        <n x="644"/>
        <n x="476"/>
      </t>
    </mdx>
    <mdx n="474" f="v">
      <t c="7">
        <n x="898" s="1"/>
        <n x="889" s="1"/>
        <n x="881" s="1"/>
        <n x="880" s="1"/>
        <n x="485"/>
        <n x="743"/>
        <n x="476"/>
      </t>
    </mdx>
    <mdx n="474" f="v">
      <t c="7">
        <n x="898" s="1"/>
        <n x="889" s="1"/>
        <n x="881" s="1"/>
        <n x="880" s="1"/>
        <n x="485"/>
        <n x="743"/>
        <n x="477"/>
      </t>
    </mdx>
    <mdx n="474" f="v">
      <t c="7">
        <n x="898" s="1"/>
        <n x="889" s="1"/>
        <n x="881" s="1"/>
        <n x="880" s="1"/>
        <n x="484"/>
        <n x="608"/>
        <n x="476"/>
      </t>
    </mdx>
    <mdx n="474" f="v">
      <t c="7">
        <n x="898" s="1"/>
        <n x="889" s="1"/>
        <n x="881" s="1"/>
        <n x="880" s="1"/>
        <n x="484"/>
        <n x="608"/>
        <n x="7"/>
      </t>
    </mdx>
    <mdx n="474" f="v">
      <t c="7">
        <n x="898" s="1"/>
        <n x="889" s="1"/>
        <n x="881" s="1"/>
        <n x="880" s="1"/>
        <n x="484"/>
        <n x="608"/>
        <n x="477"/>
      </t>
    </mdx>
    <mdx n="474" f="v">
      <t c="7">
        <n x="898" s="1"/>
        <n x="889" s="1"/>
        <n x="881" s="1"/>
        <n x="880" s="1"/>
        <n x="478"/>
        <n x="495"/>
        <n x="477"/>
      </t>
    </mdx>
    <mdx n="474" f="v">
      <t c="7">
        <n x="898" s="1"/>
        <n x="889" s="1"/>
        <n x="881" s="1"/>
        <n x="880" s="1"/>
        <n x="478"/>
        <n x="495"/>
        <n x="476"/>
      </t>
    </mdx>
    <mdx n="474" f="v">
      <t c="7">
        <n x="898" s="1"/>
        <n x="889" s="1"/>
        <n x="881" s="1"/>
        <n x="880" s="1"/>
        <n x="478"/>
        <n x="495"/>
        <n x="7"/>
      </t>
    </mdx>
    <mdx n="474" f="v">
      <t c="7">
        <n x="898" s="1"/>
        <n x="889" s="1"/>
        <n x="881" s="1"/>
        <n x="880" s="1"/>
        <n x="478"/>
        <n x="899"/>
        <n x="477"/>
      </t>
    </mdx>
    <mdx n="474" f="v">
      <t c="7">
        <n x="898" s="1"/>
        <n x="889" s="1"/>
        <n x="881" s="1"/>
        <n x="880" s="1"/>
        <n x="478"/>
        <n x="899"/>
        <n x="476"/>
      </t>
    </mdx>
    <mdx n="474" f="v">
      <t c="7">
        <n x="898" s="1"/>
        <n x="889" s="1"/>
        <n x="881" s="1"/>
        <n x="880" s="1"/>
        <n x="478"/>
        <n x="899"/>
        <n x="7"/>
      </t>
    </mdx>
    <mdx n="474" f="v">
      <t c="7">
        <n x="898" s="1"/>
        <n x="889" s="1"/>
        <n x="881" s="1"/>
        <n x="880" s="1"/>
        <n x="484"/>
        <n x="511"/>
        <n x="477"/>
      </t>
    </mdx>
    <mdx n="474" f="v">
      <t c="7">
        <n x="898" s="1"/>
        <n x="889" s="1"/>
        <n x="881" s="1"/>
        <n x="880" s="1"/>
        <n x="484"/>
        <n x="511"/>
        <n x="476"/>
      </t>
    </mdx>
    <mdx n="474" f="v">
      <t c="7">
        <n x="898" s="1"/>
        <n x="889" s="1"/>
        <n x="881" s="1"/>
        <n x="880" s="1"/>
        <n x="485"/>
        <n x="867"/>
        <n x="476"/>
      </t>
    </mdx>
    <mdx n="474" f="v">
      <t c="7">
        <n x="898" s="1"/>
        <n x="889" s="1"/>
        <n x="881" s="1"/>
        <n x="880" s="1"/>
        <n x="485"/>
        <n x="867"/>
        <n x="7"/>
      </t>
    </mdx>
    <mdx n="474" f="v">
      <t c="7">
        <n x="898" s="1"/>
        <n x="889" s="1"/>
        <n x="881" s="1"/>
        <n x="880" s="1"/>
        <n x="477"/>
        <n x="807"/>
        <n x="815"/>
      </t>
    </mdx>
    <mdx n="474" f="v">
      <t c="7">
        <n x="898" s="1"/>
        <n x="889" s="1"/>
        <n x="881" s="1"/>
        <n x="880" s="1"/>
        <n x="485"/>
        <n x="765"/>
        <n x="477"/>
      </t>
    </mdx>
    <mdx n="474" f="v">
      <t c="7">
        <n x="898" s="1"/>
        <n x="889" s="1"/>
        <n x="881" s="1"/>
        <n x="880" s="1"/>
        <n x="485"/>
        <n x="765"/>
        <n x="476"/>
      </t>
    </mdx>
    <mdx n="474" f="v">
      <t c="7">
        <n x="898" s="1"/>
        <n x="889" s="1"/>
        <n x="881" s="1"/>
        <n x="880" s="1"/>
        <n x="485"/>
        <n x="765"/>
        <n x="7"/>
      </t>
    </mdx>
    <mdx n="474" f="v">
      <t c="7">
        <n x="898" s="1"/>
        <n x="889" s="1"/>
        <n x="881" s="1"/>
        <n x="880" s="1"/>
        <n x="485"/>
        <n x="668"/>
        <n x="476"/>
      </t>
    </mdx>
    <mdx n="474" f="v">
      <t c="7">
        <n x="898" s="1"/>
        <n x="889" s="1"/>
        <n x="881" s="1"/>
        <n x="880" s="1"/>
        <n x="485"/>
        <n x="668"/>
        <n x="7"/>
      </t>
    </mdx>
    <mdx n="474" f="v">
      <t c="7">
        <n x="898" s="1"/>
        <n x="889" s="1"/>
        <n x="881" s="1"/>
        <n x="880" s="1"/>
        <n x="485"/>
        <n x="556"/>
        <n x="476"/>
      </t>
    </mdx>
    <mdx n="474" f="v">
      <t c="7">
        <n x="898" s="1"/>
        <n x="889" s="1"/>
        <n x="881" s="1"/>
        <n x="880" s="1"/>
        <n x="485"/>
        <n x="556"/>
        <n x="7"/>
      </t>
    </mdx>
    <mdx n="474" f="v">
      <t c="7">
        <n x="898" s="1"/>
        <n x="889" s="1"/>
        <n x="881" s="1"/>
        <n x="880" s="1"/>
        <n x="485"/>
        <n x="556"/>
        <n x="477"/>
      </t>
    </mdx>
    <mdx n="474" f="v">
      <t c="7">
        <n x="898" s="1"/>
        <n x="889" s="1"/>
        <n x="881" s="1"/>
        <n x="880" s="1"/>
        <n x="484"/>
        <n x="607"/>
        <n x="477"/>
      </t>
    </mdx>
    <mdx n="474" f="v">
      <t c="7">
        <n x="898" s="1"/>
        <n x="889" s="1"/>
        <n x="881" s="1"/>
        <n x="880" s="1"/>
        <n x="484"/>
        <n x="607"/>
        <n x="7"/>
      </t>
    </mdx>
    <mdx n="474" f="v">
      <t c="7">
        <n x="898" s="1"/>
        <n x="889" s="1"/>
        <n x="881" s="1"/>
        <n x="880" s="1"/>
        <n x="484"/>
        <n x="507"/>
        <n x="477"/>
      </t>
    </mdx>
    <mdx n="474" f="v">
      <t c="7">
        <n x="898" s="1"/>
        <n x="889" s="1"/>
        <n x="881" s="1"/>
        <n x="880" s="1"/>
        <n x="484"/>
        <n x="507"/>
        <n x="7"/>
      </t>
    </mdx>
    <mdx n="474" f="v">
      <t c="7">
        <n x="898" s="1"/>
        <n x="889" s="1"/>
        <n x="881" s="1"/>
        <n x="880" s="1"/>
        <n x="484"/>
        <n x="507"/>
        <n x="476"/>
      </t>
    </mdx>
    <mdx n="474" f="v">
      <t c="7">
        <n x="898" s="1"/>
        <n x="889" s="1"/>
        <n x="881" s="1"/>
        <n x="880" s="1"/>
        <n x="485"/>
        <n x="724"/>
        <n x="476"/>
      </t>
    </mdx>
    <mdx n="474" f="v">
      <t c="7">
        <n x="898" s="1"/>
        <n x="889" s="1"/>
        <n x="881" s="1"/>
        <n x="880" s="1"/>
        <n x="485"/>
        <n x="724"/>
        <n x="7"/>
      </t>
    </mdx>
    <mdx n="474" f="v">
      <t c="7">
        <n x="898" s="1"/>
        <n x="889" s="1"/>
        <n x="881" s="1"/>
        <n x="880" s="1"/>
        <n x="485"/>
        <n x="717"/>
        <n x="476"/>
      </t>
    </mdx>
    <mdx n="474" f="v">
      <t c="7">
        <n x="898" s="1"/>
        <n x="889" s="1"/>
        <n x="881" s="1"/>
        <n x="880" s="1"/>
        <n x="485"/>
        <n x="717"/>
        <n x="477"/>
      </t>
    </mdx>
    <mdx n="474" f="v">
      <t c="6">
        <n x="898" s="1"/>
        <n x="889" s="1"/>
        <n x="881" s="1"/>
        <n x="880" s="1"/>
        <n x="12"/>
        <n x="7"/>
      </t>
    </mdx>
    <mdx n="474" f="v">
      <t c="6">
        <n x="898" s="1"/>
        <n x="889" s="1"/>
        <n x="881" s="1"/>
        <n x="880" s="1"/>
        <n x="815"/>
        <n x="7"/>
      </t>
    </mdx>
    <mdx n="474" f="v">
      <t c="6">
        <n x="898" s="1"/>
        <n x="889" s="1"/>
        <n x="881" s="1"/>
        <n x="880" s="1"/>
        <n x="19"/>
        <n x="7"/>
      </t>
    </mdx>
    <mdx n="474" f="v">
      <t c="6">
        <n x="898" s="1"/>
        <n x="889" s="1"/>
        <n x="881" s="1"/>
        <n x="880" s="1"/>
        <n x="10"/>
        <n x="7"/>
      </t>
    </mdx>
    <mdx n="474" f="v">
      <t c="6">
        <n x="898" s="1"/>
        <n x="889" s="1"/>
        <n x="881" s="1"/>
        <n x="880" s="1"/>
        <n x="806"/>
        <n x="7"/>
      </t>
    </mdx>
    <mdx n="474" f="v">
      <t c="6">
        <n x="898" s="1"/>
        <n x="889" s="1"/>
        <n x="881" s="1"/>
        <n x="880" s="1"/>
        <n x="805"/>
        <n x="7"/>
      </t>
    </mdx>
    <mdx n="474" f="v">
      <t c="6">
        <n x="898" s="1"/>
        <n x="889" s="1"/>
        <n x="881" s="1"/>
        <n x="880" s="1"/>
        <n x="808"/>
        <n x="7"/>
      </t>
    </mdx>
    <mdx n="474" f="v">
      <t c="6">
        <n x="898" s="1"/>
        <n x="889" s="1"/>
        <n x="881" s="1"/>
        <n x="880" s="1"/>
        <n x="803"/>
        <n x="7"/>
      </t>
    </mdx>
    <mdx n="474" f="v">
      <t c="6">
        <n x="898" s="1"/>
        <n x="889" s="1"/>
        <n x="881" s="1"/>
        <n x="880" s="1"/>
        <n x="885"/>
        <n x="7"/>
      </t>
    </mdx>
    <mdx n="474" f="v">
      <t c="6">
        <n x="898" s="1"/>
        <n x="889" s="1"/>
        <n x="881" s="1"/>
        <n x="880" s="1"/>
        <n x="797"/>
        <n x="7"/>
      </t>
    </mdx>
    <mdx n="474" f="v">
      <t c="6">
        <n x="898" s="1"/>
        <n x="889" s="1"/>
        <n x="881" s="1"/>
        <n x="880" s="1"/>
        <n x="804"/>
        <n x="7"/>
      </t>
    </mdx>
    <mdx n="474" f="v">
      <t c="6">
        <n x="898" s="1"/>
        <n x="889" s="1"/>
        <n x="881" s="1"/>
        <n x="880" s="1"/>
        <n x="816"/>
        <n x="7"/>
      </t>
    </mdx>
    <mdx n="474" f="v">
      <t c="6">
        <n x="898" s="1"/>
        <n x="889" s="1"/>
        <n x="881" s="1"/>
        <n x="880" s="1"/>
        <n x="800"/>
        <n x="7"/>
      </t>
    </mdx>
    <mdx n="474" f="v">
      <t c="7">
        <n x="898" s="1"/>
        <n x="889" s="1"/>
        <n x="881" s="1"/>
        <n x="880" s="1"/>
        <n x="485"/>
        <n x="878"/>
        <n x="476"/>
      </t>
    </mdx>
    <mdx n="474" f="v">
      <t c="7">
        <n x="898" s="1"/>
        <n x="889" s="1"/>
        <n x="881" s="1"/>
        <n x="880" s="1"/>
        <n x="484"/>
        <n x="553"/>
        <n x="7"/>
      </t>
    </mdx>
    <mdx n="474" f="v">
      <t c="7">
        <n x="898" s="1"/>
        <n x="889" s="1"/>
        <n x="881" s="1"/>
        <n x="880" s="1"/>
        <n x="484"/>
        <n x="553"/>
        <n x="476"/>
      </t>
    </mdx>
    <mdx n="474" f="v">
      <t c="7">
        <n x="898" s="1"/>
        <n x="889" s="1"/>
        <n x="881" s="1"/>
        <n x="880" s="1"/>
        <n x="477"/>
        <n x="818" s="1"/>
        <n x="808"/>
      </t>
    </mdx>
    <mdx n="474" f="v">
      <t c="7">
        <n x="898" s="1"/>
        <n x="889" s="1"/>
        <n x="881" s="1"/>
        <n x="880" s="1"/>
        <n x="477"/>
        <n x="818" s="1"/>
        <n x="805"/>
      </t>
    </mdx>
    <mdx n="474" f="v">
      <t c="7">
        <n x="898" s="1"/>
        <n x="889" s="1"/>
        <n x="881" s="1"/>
        <n x="880" s="1"/>
        <n x="477"/>
        <n x="818" s="1"/>
        <n x="814"/>
      </t>
    </mdx>
    <mdx n="474" f="v">
      <t c="7">
        <n x="898" s="1"/>
        <n x="889" s="1"/>
        <n x="881" s="1"/>
        <n x="880" s="1"/>
        <n x="477"/>
        <n x="818" s="1"/>
        <n x="817"/>
      </t>
    </mdx>
    <mdx n="474" f="v">
      <t c="7">
        <n x="898" s="1"/>
        <n x="889" s="1"/>
        <n x="881" s="1"/>
        <n x="880" s="1"/>
        <n x="477"/>
        <n x="818" s="1"/>
        <n x="810"/>
      </t>
    </mdx>
    <mdx n="474" f="v">
      <t c="7">
        <n x="898" s="1"/>
        <n x="889" s="1"/>
        <n x="881" s="1"/>
        <n x="880" s="1"/>
        <n x="477"/>
        <n x="818" s="1"/>
        <n x="797"/>
      </t>
    </mdx>
    <mdx n="474" f="v">
      <t c="7">
        <n x="898" s="1"/>
        <n x="889" s="1"/>
        <n x="881" s="1"/>
        <n x="880" s="1"/>
        <n x="477"/>
        <n x="818" s="1"/>
        <n x="816"/>
      </t>
    </mdx>
    <mdx n="474" f="v">
      <t c="7">
        <n x="898" s="1"/>
        <n x="889" s="1"/>
        <n x="881" s="1"/>
        <n x="880" s="1"/>
        <n x="477"/>
        <n x="818" s="1"/>
        <n x="804"/>
      </t>
    </mdx>
    <mdx n="474" f="v">
      <t c="7">
        <n x="898" s="1"/>
        <n x="889" s="1"/>
        <n x="881" s="1"/>
        <n x="880" s="1"/>
        <n x="477"/>
        <n x="818" s="1"/>
        <n x="806"/>
      </t>
    </mdx>
    <mdx n="474" f="v">
      <t c="7">
        <n x="898" s="1"/>
        <n x="889" s="1"/>
        <n x="881" s="1"/>
        <n x="880" s="1"/>
        <n x="485"/>
        <n x="757"/>
        <n x="476"/>
      </t>
    </mdx>
    <mdx n="474" f="v">
      <t c="7">
        <n x="898" s="1"/>
        <n x="889" s="1"/>
        <n x="881" s="1"/>
        <n x="880" s="1"/>
        <n x="485"/>
        <n x="757"/>
        <n x="477"/>
      </t>
    </mdx>
    <mdx n="474" f="v">
      <t c="7">
        <n x="898" s="1"/>
        <n x="889" s="1"/>
        <n x="881" s="1"/>
        <n x="880" s="1"/>
        <n x="485"/>
        <n x="757"/>
        <n x="7"/>
      </t>
    </mdx>
    <mdx n="474" f="v">
      <t c="7">
        <n x="898" s="1"/>
        <n x="889" s="1"/>
        <n x="881" s="1"/>
        <n x="880" s="1"/>
        <n x="483"/>
        <n x="745"/>
        <n x="476"/>
      </t>
    </mdx>
    <mdx n="474" f="v">
      <t c="7">
        <n x="898" s="1"/>
        <n x="889" s="1"/>
        <n x="881" s="1"/>
        <n x="880" s="1"/>
        <n x="483"/>
        <n x="745"/>
        <n x="7"/>
      </t>
    </mdx>
    <mdx n="474" f="v">
      <t c="7">
        <n x="898" s="1"/>
        <n x="889" s="1"/>
        <n x="881" s="1"/>
        <n x="880" s="1"/>
        <n x="483"/>
        <n x="745"/>
        <n x="477"/>
      </t>
    </mdx>
    <mdx n="474" f="v">
      <t c="7">
        <n x="898" s="1"/>
        <n x="889" s="1"/>
        <n x="881" s="1"/>
        <n x="880" s="1"/>
        <n x="484"/>
        <n x="847"/>
        <n x="476"/>
      </t>
    </mdx>
    <mdx n="474" f="v">
      <t c="7">
        <n x="898" s="1"/>
        <n x="889" s="1"/>
        <n x="881" s="1"/>
        <n x="880" s="1"/>
        <n x="484"/>
        <n x="847"/>
        <n x="477"/>
      </t>
    </mdx>
    <mdx n="474" f="v">
      <t c="7">
        <n x="898" s="1"/>
        <n x="889" s="1"/>
        <n x="881" s="1"/>
        <n x="880" s="1"/>
        <n x="484"/>
        <n x="847"/>
        <n x="7"/>
      </t>
    </mdx>
    <mdx n="474" f="v">
      <t c="7">
        <n x="898" s="1"/>
        <n x="889" s="1"/>
        <n x="881" s="1"/>
        <n x="880" s="1"/>
        <n x="485"/>
        <n x="667"/>
        <n x="477"/>
      </t>
    </mdx>
    <mdx n="474" f="v">
      <t c="7">
        <n x="898" s="1"/>
        <n x="889" s="1"/>
        <n x="881" s="1"/>
        <n x="880" s="1"/>
        <n x="485"/>
        <n x="667"/>
        <n x="476"/>
      </t>
    </mdx>
    <mdx n="474" f="v">
      <t c="7">
        <n x="898" s="1"/>
        <n x="889" s="1"/>
        <n x="881" s="1"/>
        <n x="880" s="1"/>
        <n x="485"/>
        <n x="667"/>
        <n x="7"/>
      </t>
    </mdx>
    <mdx n="474" f="v">
      <t c="7">
        <n x="898" s="1"/>
        <n x="889" s="1"/>
        <n x="881" s="1"/>
        <n x="880" s="1"/>
        <n x="485"/>
        <n x="793"/>
        <n x="477"/>
      </t>
    </mdx>
    <mdx n="474" f="v">
      <t c="7">
        <n x="898" s="1"/>
        <n x="889" s="1"/>
        <n x="881" s="1"/>
        <n x="880" s="1"/>
        <n x="485"/>
        <n x="793"/>
        <n x="7"/>
      </t>
    </mdx>
    <mdx n="474" f="v">
      <t c="7">
        <n x="898" s="1"/>
        <n x="889" s="1"/>
        <n x="881" s="1"/>
        <n x="880" s="1"/>
        <n x="485"/>
        <n x="793"/>
        <n x="476"/>
      </t>
    </mdx>
    <mdx n="474" f="v">
      <t c="7">
        <n x="898" s="1"/>
        <n x="889" s="1"/>
        <n x="881" s="1"/>
        <n x="880" s="1"/>
        <n x="478"/>
        <n x="566"/>
        <n x="477"/>
      </t>
    </mdx>
    <mdx n="474" f="v">
      <t c="7">
        <n x="898" s="1"/>
        <n x="889" s="1"/>
        <n x="881" s="1"/>
        <n x="880" s="1"/>
        <n x="478"/>
        <n x="566"/>
        <n x="476"/>
      </t>
    </mdx>
    <mdx n="474" f="v">
      <t c="7">
        <n x="898" s="1"/>
        <n x="889" s="1"/>
        <n x="881" s="1"/>
        <n x="880" s="1"/>
        <n x="478"/>
        <n x="566"/>
        <n x="7"/>
      </t>
    </mdx>
    <mdx n="474" f="v">
      <t c="7">
        <n x="898" s="1"/>
        <n x="889" s="1"/>
        <n x="881" s="1"/>
        <n x="880" s="1"/>
        <n x="485"/>
        <n x="648"/>
        <n x="477"/>
      </t>
    </mdx>
    <mdx n="474" f="v">
      <t c="7">
        <n x="898" s="1"/>
        <n x="889" s="1"/>
        <n x="881" s="1"/>
        <n x="880" s="1"/>
        <n x="485"/>
        <n x="648"/>
        <n x="476"/>
      </t>
    </mdx>
    <mdx n="474" f="v">
      <t c="7">
        <n x="898" s="1"/>
        <n x="889" s="1"/>
        <n x="881" s="1"/>
        <n x="880" s="1"/>
        <n x="485"/>
        <n x="648"/>
        <n x="7"/>
      </t>
    </mdx>
    <mdx n="474" f="v">
      <t c="7">
        <n x="898" s="1"/>
        <n x="889" s="1"/>
        <n x="881" s="1"/>
        <n x="880" s="1"/>
        <n x="484"/>
        <n x="830"/>
        <n x="476"/>
      </t>
    </mdx>
    <mdx n="474" f="v">
      <t c="7">
        <n x="898" s="1"/>
        <n x="889" s="1"/>
        <n x="881" s="1"/>
        <n x="880" s="1"/>
        <n x="484"/>
        <n x="830"/>
        <n x="477"/>
      </t>
    </mdx>
    <mdx n="474" f="v">
      <t c="7">
        <n x="898" s="1"/>
        <n x="889" s="1"/>
        <n x="881" s="1"/>
        <n x="880" s="1"/>
        <n x="484"/>
        <n x="509"/>
        <n x="476"/>
      </t>
    </mdx>
    <mdx n="474" f="v">
      <t c="7">
        <n x="898" s="1"/>
        <n x="889" s="1"/>
        <n x="881" s="1"/>
        <n x="880" s="1"/>
        <n x="484"/>
        <n x="509"/>
        <n x="477"/>
      </t>
    </mdx>
    <mdx n="474" f="v">
      <t c="7">
        <n x="898" s="1"/>
        <n x="889" s="1"/>
        <n x="881" s="1"/>
        <n x="880" s="1"/>
        <n x="484"/>
        <n x="509"/>
        <n x="7"/>
      </t>
    </mdx>
    <mdx n="474" f="v">
      <t c="7">
        <n x="898" s="1"/>
        <n x="889" s="1"/>
        <n x="881" s="1"/>
        <n x="880" s="1"/>
        <n x="484"/>
        <n x="606"/>
        <n x="477"/>
      </t>
    </mdx>
    <mdx n="474" f="v">
      <t c="7">
        <n x="898" s="1"/>
        <n x="889" s="1"/>
        <n x="881" s="1"/>
        <n x="880" s="1"/>
        <n x="484"/>
        <n x="606"/>
        <n x="476"/>
      </t>
    </mdx>
    <mdx n="474" f="v">
      <t c="7">
        <n x="898" s="1"/>
        <n x="889" s="1"/>
        <n x="881" s="1"/>
        <n x="880" s="1"/>
        <n x="485"/>
        <n x="679"/>
        <n x="476"/>
      </t>
    </mdx>
    <mdx n="474" f="v">
      <t c="7">
        <n x="898" s="1"/>
        <n x="889" s="1"/>
        <n x="881" s="1"/>
        <n x="880" s="1"/>
        <n x="485"/>
        <n x="679"/>
        <n x="7"/>
      </t>
    </mdx>
    <mdx n="474" f="v">
      <t c="7">
        <n x="898" s="1"/>
        <n x="889" s="1"/>
        <n x="881" s="1"/>
        <n x="880" s="1"/>
        <n x="485"/>
        <n x="679"/>
        <n x="477"/>
      </t>
    </mdx>
    <mdx n="474" f="v">
      <t c="7">
        <n x="898" s="1"/>
        <n x="889" s="1"/>
        <n x="881" s="1"/>
        <n x="880" s="1"/>
        <n x="485"/>
        <n x="740"/>
        <n x="476"/>
      </t>
    </mdx>
    <mdx n="474" f="v">
      <t c="7">
        <n x="898" s="1"/>
        <n x="889" s="1"/>
        <n x="881" s="1"/>
        <n x="880" s="1"/>
        <n x="485"/>
        <n x="740"/>
        <n x="7"/>
      </t>
    </mdx>
    <mdx n="474" f="v">
      <t c="7">
        <n x="898" s="1"/>
        <n x="889" s="1"/>
        <n x="881" s="1"/>
        <n x="880" s="1"/>
        <n x="485"/>
        <n x="700"/>
        <n x="476"/>
      </t>
    </mdx>
    <mdx n="474" f="v">
      <t c="7">
        <n x="898" s="1"/>
        <n x="889" s="1"/>
        <n x="881" s="1"/>
        <n x="880" s="1"/>
        <n x="485"/>
        <n x="700"/>
        <n x="477"/>
      </t>
    </mdx>
    <mdx n="474" f="v">
      <t c="7">
        <n x="898" s="1"/>
        <n x="889" s="1"/>
        <n x="881" s="1"/>
        <n x="880" s="1"/>
        <n x="483"/>
        <n x="784"/>
        <n x="476"/>
      </t>
    </mdx>
    <mdx n="474" f="v">
      <t c="7">
        <n x="898" s="1"/>
        <n x="889" s="1"/>
        <n x="881" s="1"/>
        <n x="880" s="1"/>
        <n x="483"/>
        <n x="784"/>
        <n x="477"/>
      </t>
    </mdx>
    <mdx n="474" f="v">
      <t c="7">
        <n x="898" s="1"/>
        <n x="889" s="1"/>
        <n x="881" s="1"/>
        <n x="880" s="1"/>
        <n x="483"/>
        <n x="784"/>
        <n x="7"/>
      </t>
    </mdx>
    <mdx n="474" f="v">
      <t c="7">
        <n x="898" s="1"/>
        <n x="889" s="1"/>
        <n x="881" s="1"/>
        <n x="880" s="1"/>
        <n x="484"/>
        <n x="850"/>
        <n x="476"/>
      </t>
    </mdx>
    <mdx n="474" f="v">
      <t c="7">
        <n x="898" s="1"/>
        <n x="889" s="1"/>
        <n x="881" s="1"/>
        <n x="880" s="1"/>
        <n x="484"/>
        <n x="849"/>
        <n x="476"/>
      </t>
    </mdx>
    <mdx n="474" f="v">
      <t c="7">
        <n x="898" s="1"/>
        <n x="889" s="1"/>
        <n x="881" s="1"/>
        <n x="880" s="1"/>
        <n x="484"/>
        <n x="849"/>
        <n x="7"/>
      </t>
    </mdx>
    <mdx n="474" f="v">
      <t c="7">
        <n x="898" s="1"/>
        <n x="889" s="1"/>
        <n x="881" s="1"/>
        <n x="880" s="1"/>
        <n x="478"/>
        <n x="491"/>
        <n x="477"/>
      </t>
    </mdx>
    <mdx n="474" f="v">
      <t c="7">
        <n x="898" s="1"/>
        <n x="889" s="1"/>
        <n x="881" s="1"/>
        <n x="880" s="1"/>
        <n x="478"/>
        <n x="491"/>
        <n x="7"/>
      </t>
    </mdx>
    <mdx n="474" f="v">
      <t c="7">
        <n x="898" s="1"/>
        <n x="889" s="1"/>
        <n x="881" s="1"/>
        <n x="880" s="1"/>
        <n x="478"/>
        <n x="491"/>
        <n x="476"/>
      </t>
    </mdx>
    <mdx n="474" f="v">
      <t c="7">
        <n x="898" s="1"/>
        <n x="889" s="1"/>
        <n x="881" s="1"/>
        <n x="880" s="1"/>
        <n x="484"/>
        <n x="872"/>
        <n x="476"/>
      </t>
    </mdx>
    <mdx n="474" f="v">
      <t c="7">
        <n x="898" s="1"/>
        <n x="889" s="1"/>
        <n x="881" s="1"/>
        <n x="880" s="1"/>
        <n x="484"/>
        <n x="872"/>
        <n x="477"/>
      </t>
    </mdx>
    <mdx n="474" f="v">
      <t c="7">
        <n x="898" s="1"/>
        <n x="889" s="1"/>
        <n x="881" s="1"/>
        <n x="880" s="1"/>
        <n x="484"/>
        <n x="872"/>
        <n x="7"/>
      </t>
    </mdx>
    <mdx n="474" f="v">
      <t c="7">
        <n x="898" s="1"/>
        <n x="889" s="1"/>
        <n x="881" s="1"/>
        <n x="880" s="1"/>
        <n x="485"/>
        <n x="666"/>
        <n x="476"/>
      </t>
    </mdx>
    <mdx n="474" f="v">
      <t c="7">
        <n x="898" s="1"/>
        <n x="889" s="1"/>
        <n x="881" s="1"/>
        <n x="880" s="1"/>
        <n x="485"/>
        <n x="666"/>
        <n x="7"/>
      </t>
    </mdx>
    <mdx n="474" f="v">
      <t c="7">
        <n x="898" s="1"/>
        <n x="889" s="1"/>
        <n x="881" s="1"/>
        <n x="880" s="1"/>
        <n x="485"/>
        <n x="666"/>
        <n x="477"/>
      </t>
    </mdx>
    <mdx n="474" f="v">
      <t c="7">
        <n x="898" s="1"/>
        <n x="889" s="1"/>
        <n x="881" s="1"/>
        <n x="880" s="1"/>
        <n x="485"/>
        <n x="639"/>
        <n x="7"/>
      </t>
    </mdx>
    <mdx n="474" f="v">
      <t c="7">
        <n x="898" s="1"/>
        <n x="889" s="1"/>
        <n x="881" s="1"/>
        <n x="880" s="1"/>
        <n x="485"/>
        <n x="639"/>
        <n x="476"/>
      </t>
    </mdx>
    <mdx n="474" f="v">
      <t c="7">
        <n x="898" s="1"/>
        <n x="889" s="1"/>
        <n x="881" s="1"/>
        <n x="880" s="1"/>
        <n x="485"/>
        <n x="639"/>
        <n x="477"/>
      </t>
    </mdx>
    <mdx n="474" f="v">
      <t c="7">
        <n x="898" s="1"/>
        <n x="889" s="1"/>
        <n x="881" s="1"/>
        <n x="880" s="1"/>
        <n x="484"/>
        <n x="586"/>
        <n x="7"/>
      </t>
    </mdx>
    <mdx n="474" f="v">
      <t c="7">
        <n x="898" s="1"/>
        <n x="889" s="1"/>
        <n x="881" s="1"/>
        <n x="880" s="1"/>
        <n x="484"/>
        <n x="586"/>
        <n x="476"/>
      </t>
    </mdx>
    <mdx n="474" f="v">
      <t c="7">
        <n x="898" s="1"/>
        <n x="889" s="1"/>
        <n x="881" s="1"/>
        <n x="880" s="1"/>
        <n x="484"/>
        <n x="522"/>
        <n x="476"/>
      </t>
    </mdx>
    <mdx n="474" f="v">
      <t c="7">
        <n x="898" s="1"/>
        <n x="889" s="1"/>
        <n x="881" s="1"/>
        <n x="880" s="1"/>
        <n x="484"/>
        <n x="522"/>
        <n x="7"/>
      </t>
    </mdx>
    <mdx n="474" f="v">
      <t c="7">
        <n x="898" s="1"/>
        <n x="889" s="1"/>
        <n x="881" s="1"/>
        <n x="880" s="1"/>
        <n x="484"/>
        <n x="522"/>
        <n x="477"/>
      </t>
    </mdx>
    <mdx n="474" f="v">
      <t c="7">
        <n x="898" s="1"/>
        <n x="889" s="1"/>
        <n x="881" s="1"/>
        <n x="880" s="1"/>
        <n x="484"/>
        <n x="520"/>
        <n x="476"/>
      </t>
    </mdx>
    <mdx n="474" f="v">
      <t c="7">
        <n x="898" s="1"/>
        <n x="889" s="1"/>
        <n x="881" s="1"/>
        <n x="880" s="1"/>
        <n x="484"/>
        <n x="520"/>
        <n x="477"/>
      </t>
    </mdx>
    <mdx n="474" f="v">
      <t c="7">
        <n x="898" s="1"/>
        <n x="889" s="1"/>
        <n x="881" s="1"/>
        <n x="880" s="1"/>
        <n x="485"/>
        <n x="690"/>
        <n x="477"/>
      </t>
    </mdx>
    <mdx n="474" f="v">
      <t c="7">
        <n x="898" s="1"/>
        <n x="889" s="1"/>
        <n x="881" s="1"/>
        <n x="880" s="1"/>
        <n x="485"/>
        <n x="690"/>
        <n x="7"/>
      </t>
    </mdx>
    <mdx n="474" f="v">
      <t c="7">
        <n x="898" s="1"/>
        <n x="889" s="1"/>
        <n x="881" s="1"/>
        <n x="880" s="1"/>
        <n x="484"/>
        <n x="520"/>
        <n x="7"/>
      </t>
    </mdx>
    <mdx n="474" f="v">
      <t c="7">
        <n x="898" s="1"/>
        <n x="889" s="1"/>
        <n x="881" s="1"/>
        <n x="880" s="1"/>
        <n x="485"/>
        <n x="878"/>
        <n x="477"/>
      </t>
    </mdx>
    <mdx n="474" f="v">
      <t c="7">
        <n x="898" s="1"/>
        <n x="889" s="1"/>
        <n x="881" s="1"/>
        <n x="880" s="1"/>
        <n x="484"/>
        <n x="622"/>
        <n x="7"/>
      </t>
    </mdx>
    <mdx n="474" f="v">
      <t c="7">
        <n x="898" s="1"/>
        <n x="889" s="1"/>
        <n x="881" s="1"/>
        <n x="880" s="1"/>
        <n x="484"/>
        <n x="855"/>
        <n x="7"/>
      </t>
    </mdx>
    <mdx n="474" f="v">
      <t c="7">
        <n x="898" s="1"/>
        <n x="889" s="1"/>
        <n x="881" s="1"/>
        <n x="880" s="1"/>
        <n x="484"/>
        <n x="825"/>
        <n x="7"/>
      </t>
    </mdx>
    <mdx n="474" f="v">
      <t c="7">
        <n x="898" s="1"/>
        <n x="889" s="1"/>
        <n x="881" s="1"/>
        <n x="880" s="1"/>
        <n x="484"/>
        <n x="502"/>
        <n x="477"/>
      </t>
    </mdx>
    <mdx n="474" f="v">
      <t c="7">
        <n x="898" s="1"/>
        <n x="889" s="1"/>
        <n x="881" s="1"/>
        <n x="880" s="1"/>
        <n x="484"/>
        <n x="581"/>
        <n x="7"/>
      </t>
    </mdx>
    <mdx n="474" f="v">
      <t c="7">
        <n x="898" s="1"/>
        <n x="889" s="1"/>
        <n x="881" s="1"/>
        <n x="880" s="1"/>
        <n x="485"/>
        <n x="781"/>
        <n x="477"/>
      </t>
    </mdx>
    <mdx n="474" f="v">
      <t c="7">
        <n x="898" s="1"/>
        <n x="889" s="1"/>
        <n x="881" s="1"/>
        <n x="880" s="1"/>
        <n x="485"/>
        <n x="657"/>
        <n x="477"/>
      </t>
    </mdx>
    <mdx n="474" f="v">
      <t c="7">
        <n x="898" s="1"/>
        <n x="889" s="1"/>
        <n x="881" s="1"/>
        <n x="880" s="1"/>
        <n x="485"/>
        <n x="665"/>
        <n x="7"/>
      </t>
    </mdx>
    <mdx n="474" f="v">
      <t c="7">
        <n x="898" s="1"/>
        <n x="889" s="1"/>
        <n x="881" s="1"/>
        <n x="880" s="1"/>
        <n x="485"/>
        <n x="751"/>
        <n x="7"/>
      </t>
    </mdx>
    <mdx n="474" f="v">
      <t c="6">
        <n x="898" s="1"/>
        <n x="889" s="1"/>
        <n x="881" s="1"/>
        <n x="880" s="1"/>
        <n x="801"/>
        <n x="7"/>
      </t>
    </mdx>
    <mdx n="474" f="v">
      <t c="7">
        <n x="898" s="1"/>
        <n x="889" s="1"/>
        <n x="881" s="1"/>
        <n x="880" s="1"/>
        <n x="484"/>
        <n x="588"/>
        <n x="477"/>
      </t>
    </mdx>
    <mdx n="474" f="v">
      <t c="7">
        <n x="898" s="1"/>
        <n x="889" s="1"/>
        <n x="881" s="1"/>
        <n x="880" s="1"/>
        <n x="484"/>
        <n x="625"/>
        <n x="476"/>
      </t>
    </mdx>
    <mdx n="474" f="v">
      <t c="7">
        <n x="898" s="1"/>
        <n x="889" s="1"/>
        <n x="881" s="1"/>
        <n x="880" s="1"/>
        <n x="485"/>
        <n x="635"/>
        <n x="7"/>
      </t>
    </mdx>
    <mdx n="474" f="v">
      <t c="7">
        <n x="898" s="1"/>
        <n x="889" s="1"/>
        <n x="881" s="1"/>
        <n x="880" s="1"/>
        <n x="484"/>
        <n x="597"/>
        <n x="477"/>
      </t>
    </mdx>
    <mdx n="474" f="v">
      <t c="7">
        <n x="898" s="1"/>
        <n x="889" s="1"/>
        <n x="881" s="1"/>
        <n x="880" s="1"/>
        <n x="484"/>
        <n x="602"/>
        <n x="477"/>
      </t>
    </mdx>
    <mdx n="474" f="v">
      <t c="7">
        <n x="898" s="1"/>
        <n x="889" s="1"/>
        <n x="881" s="1"/>
        <n x="880" s="1"/>
        <n x="484"/>
        <n x="574"/>
        <n x="477"/>
      </t>
    </mdx>
    <mdx n="474" f="v">
      <t c="7">
        <n x="898" s="1"/>
        <n x="889" s="1"/>
        <n x="881" s="1"/>
        <n x="880" s="1"/>
        <n x="485"/>
        <n x="637"/>
        <n x="7"/>
      </t>
    </mdx>
    <mdx n="474" f="v">
      <t c="7">
        <n x="898" s="1"/>
        <n x="889" s="1"/>
        <n x="881" s="1"/>
        <n x="880" s="1"/>
        <n x="484"/>
        <n x="517"/>
        <n x="7"/>
      </t>
    </mdx>
    <mdx n="474" f="v">
      <t c="7">
        <n x="898" s="1"/>
        <n x="889" s="1"/>
        <n x="881" s="1"/>
        <n x="880" s="1"/>
        <n x="478"/>
        <n x="481"/>
        <n x="476"/>
      </t>
    </mdx>
    <mdx n="474" f="v">
      <t c="7">
        <n x="898" s="1"/>
        <n x="889" s="1"/>
        <n x="881" s="1"/>
        <n x="880" s="1"/>
        <n x="484"/>
        <n x="599"/>
        <n x="7"/>
      </t>
    </mdx>
    <mdx n="474" f="v">
      <t c="7">
        <n x="898" s="1"/>
        <n x="889" s="1"/>
        <n x="881" s="1"/>
        <n x="880" s="1"/>
        <n x="485"/>
        <n x="869"/>
        <n x="7"/>
      </t>
    </mdx>
    <mdx n="474" f="v">
      <t c="7">
        <n x="898" s="1"/>
        <n x="889" s="1"/>
        <n x="881" s="1"/>
        <n x="880" s="1"/>
        <n x="485"/>
        <n x="763"/>
        <n x="477"/>
      </t>
    </mdx>
    <mdx n="474" f="v">
      <t c="7">
        <n x="898" s="1"/>
        <n x="889" s="1"/>
        <n x="881" s="1"/>
        <n x="880" s="1"/>
        <n x="484"/>
        <n x="524"/>
        <n x="477"/>
      </t>
    </mdx>
    <mdx n="474" f="v">
      <t c="7">
        <n x="898" s="1"/>
        <n x="889" s="1"/>
        <n x="881" s="1"/>
        <n x="880" s="1"/>
        <n x="485"/>
        <n x="876"/>
        <n x="7"/>
      </t>
    </mdx>
    <mdx n="474" f="v">
      <t c="7">
        <n x="898" s="1"/>
        <n x="889" s="1"/>
        <n x="881" s="1"/>
        <n x="880" s="1"/>
        <n x="485"/>
        <n x="754"/>
        <n x="7"/>
      </t>
    </mdx>
    <mdx n="474" f="v">
      <t c="7">
        <n x="898" s="1"/>
        <n x="889" s="1"/>
        <n x="881" s="1"/>
        <n x="880" s="1"/>
        <n x="484"/>
        <n x="529"/>
        <n x="7"/>
      </t>
    </mdx>
    <mdx n="474" f="v">
      <t c="7">
        <n x="898" s="1"/>
        <n x="889" s="1"/>
        <n x="881" s="1"/>
        <n x="880" s="1"/>
        <n x="484"/>
        <n x="619"/>
        <n x="7"/>
      </t>
    </mdx>
    <mdx n="474" f="v">
      <t c="7">
        <n x="898" s="1"/>
        <n x="889" s="1"/>
        <n x="881" s="1"/>
        <n x="880" s="1"/>
        <n x="485"/>
        <n x="742"/>
        <n x="7"/>
      </t>
    </mdx>
    <mdx n="474" f="v">
      <t c="7">
        <n x="898" s="1"/>
        <n x="889" s="1"/>
        <n x="881" s="1"/>
        <n x="880" s="1"/>
        <n x="484"/>
        <n x="838"/>
        <n x="7"/>
      </t>
    </mdx>
    <mdx n="474" f="v">
      <t c="7">
        <n x="898" s="1"/>
        <n x="889" s="1"/>
        <n x="881" s="1"/>
        <n x="880" s="1"/>
        <n x="485"/>
        <n x="670"/>
        <n x="7"/>
      </t>
    </mdx>
    <mdx n="474" f="v">
      <t c="7">
        <n x="898" s="1"/>
        <n x="889" s="1"/>
        <n x="881" s="1"/>
        <n x="880" s="1"/>
        <n x="484"/>
        <n x="621"/>
        <n x="7"/>
      </t>
    </mdx>
    <mdx n="474" f="v">
      <t c="7">
        <n x="898" s="1"/>
        <n x="889" s="1"/>
        <n x="881" s="1"/>
        <n x="880" s="1"/>
        <n x="485"/>
        <n x="713"/>
        <n x="7"/>
      </t>
    </mdx>
    <mdx n="474" f="v">
      <t c="7">
        <n x="898" s="1"/>
        <n x="889" s="1"/>
        <n x="881" s="1"/>
        <n x="880" s="1"/>
        <n x="485"/>
        <n x="656"/>
        <n x="477"/>
      </t>
    </mdx>
    <mdx n="474" f="v">
      <t c="7">
        <n x="898" s="1"/>
        <n x="889" s="1"/>
        <n x="881" s="1"/>
        <n x="880" s="1"/>
        <n x="485"/>
        <n x="792"/>
        <n x="477"/>
      </t>
    </mdx>
    <mdx n="474" f="v">
      <t c="7">
        <n x="898" s="1"/>
        <n x="889" s="1"/>
        <n x="881" s="1"/>
        <n x="880" s="1"/>
        <n x="484"/>
        <n x="850"/>
        <n x="477"/>
      </t>
    </mdx>
    <mdx n="474" f="v">
      <t c="7">
        <n x="898" s="1"/>
        <n x="889" s="1"/>
        <n x="881" s="1"/>
        <n x="880" s="1"/>
        <n x="485"/>
        <n x="668"/>
        <n x="477"/>
      </t>
    </mdx>
    <mdx n="474" f="v">
      <t c="7">
        <n x="898" s="1"/>
        <n x="889" s="1"/>
        <n x="881" s="1"/>
        <n x="880" s="1"/>
        <n x="485"/>
        <n x="840"/>
        <n x="477"/>
      </t>
    </mdx>
    <mdx n="474" f="v">
      <t c="7">
        <n x="898" s="1"/>
        <n x="889" s="1"/>
        <n x="881" s="1"/>
        <n x="880" s="1"/>
        <n x="484"/>
        <n x="579"/>
        <n x="7"/>
      </t>
    </mdx>
    <mdx n="474" f="v">
      <t c="7">
        <n x="898" s="1"/>
        <n x="889" s="1"/>
        <n x="881" s="1"/>
        <n x="880" s="1"/>
        <n x="485"/>
        <n x="791"/>
        <n x="7"/>
      </t>
    </mdx>
    <mdx n="474" f="v">
      <t c="7">
        <n x="898" s="1"/>
        <n x="889" s="1"/>
        <n x="881" s="1"/>
        <n x="880" s="1"/>
        <n x="484"/>
        <n x="826"/>
        <n x="476"/>
      </t>
    </mdx>
    <mdx n="474" f="v">
      <t c="7">
        <n x="898" s="1"/>
        <n x="889" s="1"/>
        <n x="881" s="1"/>
        <n x="880" s="1"/>
        <n x="485"/>
        <n x="870"/>
        <n x="477"/>
      </t>
    </mdx>
    <mdx n="474" f="v">
      <t c="7">
        <n x="898" s="1"/>
        <n x="889" s="1"/>
        <n x="881" s="1"/>
        <n x="880" s="1"/>
        <n x="485"/>
        <n x="692"/>
        <n x="477"/>
      </t>
    </mdx>
    <mdx n="474" f="v">
      <t c="7">
        <n x="898" s="1"/>
        <n x="889" s="1"/>
        <n x="881" s="1"/>
        <n x="880" s="1"/>
        <n x="485"/>
        <n x="681"/>
        <n x="7"/>
      </t>
    </mdx>
    <mdx n="474" f="v">
      <t c="7">
        <n x="898" s="1"/>
        <n x="889" s="1"/>
        <n x="881" s="1"/>
        <n x="880" s="1"/>
        <n x="485"/>
        <n x="776"/>
        <n x="477"/>
      </t>
    </mdx>
    <mdx n="474" f="v">
      <t c="7">
        <n x="898" s="1"/>
        <n x="889" s="1"/>
        <n x="881" s="1"/>
        <n x="880" s="1"/>
        <n x="484"/>
        <n x="518"/>
        <n x="477"/>
      </t>
    </mdx>
    <mdx n="474" f="v">
      <t c="7">
        <n x="898" s="1"/>
        <n x="889" s="1"/>
        <n x="881" s="1"/>
        <n x="880" s="1"/>
        <n x="484"/>
        <n x="834"/>
        <n x="7"/>
      </t>
    </mdx>
    <mdx n="474" f="v">
      <t c="7">
        <n x="898" s="1"/>
        <n x="889" s="1"/>
        <n x="881" s="1"/>
        <n x="880" s="1"/>
        <n x="484"/>
        <n x="584"/>
        <n x="477"/>
      </t>
    </mdx>
    <mdx n="474" f="v">
      <t c="7">
        <n x="898" s="1"/>
        <n x="889" s="1"/>
        <n x="881" s="1"/>
        <n x="880" s="1"/>
        <n x="485"/>
        <n x="743"/>
        <n x="7"/>
      </t>
    </mdx>
    <mdx n="474" f="v">
      <t c="7">
        <n x="898" s="1"/>
        <n x="889" s="1"/>
        <n x="881" s="1"/>
        <n x="880" s="1"/>
        <n x="484"/>
        <n x="552"/>
        <n x="477"/>
      </t>
    </mdx>
    <mdx n="474" f="v">
      <t c="7">
        <n x="898" s="1"/>
        <n x="889" s="1"/>
        <n x="881" s="1"/>
        <n x="880" s="1"/>
        <n x="484"/>
        <n x="620"/>
        <n x="477"/>
      </t>
    </mdx>
    <mdx n="474" f="v">
      <t c="7">
        <n x="898" s="1"/>
        <n x="889" s="1"/>
        <n x="881" s="1"/>
        <n x="880" s="1"/>
        <n x="485"/>
        <n x="728"/>
        <n x="7"/>
      </t>
    </mdx>
    <mdx n="474" f="v">
      <t c="7">
        <n x="898" s="1"/>
        <n x="889" s="1"/>
        <n x="881" s="1"/>
        <n x="880" s="1"/>
        <n x="484"/>
        <n x="582"/>
        <n x="7"/>
      </t>
    </mdx>
    <mdx n="474" f="v">
      <t c="7">
        <n x="898" s="1"/>
        <n x="889" s="1"/>
        <n x="881" s="1"/>
        <n x="880" s="1"/>
        <n x="485"/>
        <n x="716"/>
        <n x="7"/>
      </t>
    </mdx>
    <mdx n="474" f="v">
      <t c="7">
        <n x="898" s="1"/>
        <n x="889" s="1"/>
        <n x="881" s="1"/>
        <n x="880" s="1"/>
        <n x="485"/>
        <n x="494"/>
        <n x="7"/>
      </t>
    </mdx>
    <mdx n="474" f="v">
      <t c="7">
        <n x="898" s="1"/>
        <n x="889" s="1"/>
        <n x="881" s="1"/>
        <n x="880" s="1"/>
        <n x="485"/>
        <n x="572"/>
        <n x="7"/>
      </t>
    </mdx>
    <mdx n="474" f="v">
      <t c="7">
        <n x="898" s="1"/>
        <n x="889" s="1"/>
        <n x="881" s="1"/>
        <n x="880" s="1"/>
        <n x="484"/>
        <n x="585"/>
        <n x="7"/>
      </t>
    </mdx>
    <mdx n="474" f="v">
      <t c="7">
        <n x="898" s="1"/>
        <n x="889" s="1"/>
        <n x="881" s="1"/>
        <n x="880" s="1"/>
        <n x="478"/>
        <n x="482"/>
        <n x="7"/>
      </t>
    </mdx>
    <mdx n="474" f="v">
      <t c="7">
        <n x="898" s="1"/>
        <n x="889" s="1"/>
        <n x="881" s="1"/>
        <n x="880" s="1"/>
        <n x="484"/>
        <n x="511"/>
        <n x="7"/>
      </t>
    </mdx>
    <mdx n="474" f="v">
      <t c="7">
        <n x="898" s="1"/>
        <n x="889" s="1"/>
        <n x="881" s="1"/>
        <n x="880" s="1"/>
        <n x="484"/>
        <n x="830"/>
        <n x="7"/>
      </t>
    </mdx>
    <mdx n="474" f="v">
      <t c="7">
        <n x="898" s="1"/>
        <n x="889" s="1"/>
        <n x="881" s="1"/>
        <n x="880" s="1"/>
        <n x="484"/>
        <n x="514"/>
        <n x="7"/>
      </t>
    </mdx>
    <mdx n="474" f="v">
      <t c="7">
        <n x="898" s="1"/>
        <n x="889" s="1"/>
        <n x="881" s="1"/>
        <n x="880" s="1"/>
        <n x="484"/>
        <n x="628"/>
        <n x="7"/>
      </t>
    </mdx>
    <mdx n="474" f="v">
      <t c="7">
        <n x="898" s="1"/>
        <n x="889" s="1"/>
        <n x="881" s="1"/>
        <n x="880" s="1"/>
        <n x="485"/>
        <n x="700"/>
        <n x="7"/>
      </t>
    </mdx>
    <mdx n="474" f="v">
      <t c="7">
        <n x="898" s="1"/>
        <n x="889" s="1"/>
        <n x="881" s="1"/>
        <n x="880" s="1"/>
        <n x="485"/>
        <n x="845"/>
        <n x="7"/>
      </t>
    </mdx>
    <mdx n="474" f="v">
      <t c="7">
        <n x="898" s="1"/>
        <n x="889" s="1"/>
        <n x="881" s="1"/>
        <n x="880" s="1"/>
        <n x="485"/>
        <n x="690"/>
        <n x="476"/>
      </t>
    </mdx>
    <mdx n="474" f="v">
      <t c="7">
        <n x="898" s="1"/>
        <n x="889" s="1"/>
        <n x="881" s="1"/>
        <n x="880" s="1"/>
        <n x="485"/>
        <n x="770"/>
        <n x="477"/>
      </t>
    </mdx>
    <mdx n="474" f="v">
      <t c="7">
        <n x="898" s="1"/>
        <n x="889" s="1"/>
        <n x="881" s="1"/>
        <n x="880" s="1"/>
        <n x="485"/>
        <n x="557"/>
        <n x="7"/>
      </t>
    </mdx>
    <mdx n="474" f="v">
      <t c="7">
        <n x="898" s="1"/>
        <n x="889" s="1"/>
        <n x="881" s="1"/>
        <n x="880" s="1"/>
        <n x="484"/>
        <n x="501"/>
        <n x="7"/>
      </t>
    </mdx>
  </mdxMetadata>
  <valueMetadata count="275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valueMetadata>
</metadata>
</file>

<file path=xl/sharedStrings.xml><?xml version="1.0" encoding="utf-8"?>
<sst xmlns="http://schemas.openxmlformats.org/spreadsheetml/2006/main" count="5684" uniqueCount="1677">
  <si>
    <t>Advice Event Type</t>
  </si>
  <si>
    <t>All</t>
  </si>
  <si>
    <t>(Multiple Items)</t>
  </si>
  <si>
    <t>Financial</t>
  </si>
  <si>
    <t>Member</t>
  </si>
  <si>
    <t>Part 1</t>
  </si>
  <si>
    <t>Unique Client Count</t>
  </si>
  <si>
    <t>Benefits &amp; tax credits</t>
  </si>
  <si>
    <t>Consumer goods &amp; services</t>
  </si>
  <si>
    <t>Debt</t>
  </si>
  <si>
    <t>Employment</t>
  </si>
  <si>
    <t>Housing</t>
  </si>
  <si>
    <t>Immigration &amp; asylum</t>
  </si>
  <si>
    <t>Other</t>
  </si>
  <si>
    <t>Not recorded/not applicable</t>
  </si>
  <si>
    <t>04 Fuel debts</t>
  </si>
  <si>
    <t>AIC Part1</t>
  </si>
  <si>
    <t>AIC Part2</t>
  </si>
  <si>
    <t>Z Other</t>
  </si>
  <si>
    <t>AIC Part3</t>
  </si>
  <si>
    <t>Period</t>
  </si>
  <si>
    <t>Funder</t>
  </si>
  <si>
    <t>Gateway</t>
  </si>
  <si>
    <t>Client Event Type</t>
  </si>
  <si>
    <t>Advice</t>
  </si>
  <si>
    <t>Advice and limited action</t>
  </si>
  <si>
    <t>Advice and referral</t>
  </si>
  <si>
    <t>Generalist casework</t>
  </si>
  <si>
    <t>Information</t>
  </si>
  <si>
    <t>Specialist casework</t>
  </si>
  <si>
    <t>Total</t>
  </si>
  <si>
    <t>Work Level</t>
  </si>
  <si>
    <t>Enquires/Gateway</t>
  </si>
  <si>
    <t>Channel</t>
  </si>
  <si>
    <t>Grand Total</t>
  </si>
  <si>
    <t>E-mail</t>
  </si>
  <si>
    <t>Face to Face</t>
  </si>
  <si>
    <t>Home Visit</t>
  </si>
  <si>
    <t>Social Media</t>
  </si>
  <si>
    <t>Telephone</t>
  </si>
  <si>
    <t>Webchat</t>
  </si>
  <si>
    <t>Number Of Activities</t>
  </si>
  <si>
    <t>Adviceline Phone</t>
  </si>
  <si>
    <t>Email</t>
  </si>
  <si>
    <t>Letter/Mail</t>
  </si>
  <si>
    <t>%</t>
  </si>
  <si>
    <t>Row Labels</t>
  </si>
  <si>
    <t>Casework Preparation</t>
  </si>
  <si>
    <t>Client</t>
  </si>
  <si>
    <t>Third Party</t>
  </si>
  <si>
    <t>Phone call</t>
  </si>
  <si>
    <t xml:space="preserve">Letter </t>
  </si>
  <si>
    <t>Enquiry Contacts By Work type</t>
  </si>
  <si>
    <t>Daysheet</t>
  </si>
  <si>
    <t>Gateway and Daysheet Contacts by channel</t>
  </si>
  <si>
    <t>Gender</t>
  </si>
  <si>
    <t>Female</t>
  </si>
  <si>
    <t>Male</t>
  </si>
  <si>
    <t>Unknown</t>
  </si>
  <si>
    <t>Asian or Asian British - Bangladeshi</t>
  </si>
  <si>
    <t>Asian or Asian British - Chinese</t>
  </si>
  <si>
    <t>Asian or Asian British - Indian</t>
  </si>
  <si>
    <t>Asian or Asian British - Other</t>
  </si>
  <si>
    <t>Asian or Asian British - Pakistani</t>
  </si>
  <si>
    <t>Black or Black British - African</t>
  </si>
  <si>
    <t>Black or Black British - Caribbean</t>
  </si>
  <si>
    <t>Black or Black British - Other</t>
  </si>
  <si>
    <t>Declined to Reply</t>
  </si>
  <si>
    <t>Mixed - Other</t>
  </si>
  <si>
    <t>Mixed - White &amp; Asian</t>
  </si>
  <si>
    <t>Mixed - White &amp; Black African</t>
  </si>
  <si>
    <t>Mixed - White &amp; Black Caribbean</t>
  </si>
  <si>
    <t>Other - Any Other</t>
  </si>
  <si>
    <t>Other - Arab</t>
  </si>
  <si>
    <t>White - British</t>
  </si>
  <si>
    <t>White - English</t>
  </si>
  <si>
    <t>White - Gypsy or Irish Traveller</t>
  </si>
  <si>
    <t>White - Irish</t>
  </si>
  <si>
    <t>White - Northern Irish</t>
  </si>
  <si>
    <t>White - Other</t>
  </si>
  <si>
    <t>White - Scottish</t>
  </si>
  <si>
    <t>White - Welsh</t>
  </si>
  <si>
    <t>Disabled</t>
  </si>
  <si>
    <t>Long-term health condition</t>
  </si>
  <si>
    <t>Not disabled/no health problems</t>
  </si>
  <si>
    <t>Unknown/withheld</t>
  </si>
  <si>
    <t>Cognitive Impairment</t>
  </si>
  <si>
    <t>Deaf</t>
  </si>
  <si>
    <t>Hearing Impairment</t>
  </si>
  <si>
    <t>Learning Difficulty</t>
  </si>
  <si>
    <t>Long-Term Health Condition</t>
  </si>
  <si>
    <t>Mental Health</t>
  </si>
  <si>
    <t>Multiple Impairments</t>
  </si>
  <si>
    <t>Other Disability or Type Not Given</t>
  </si>
  <si>
    <t>Physical Impairment (non-sensory)</t>
  </si>
  <si>
    <t>Visual Impairment</t>
  </si>
  <si>
    <t>Disability or Health Problems</t>
  </si>
  <si>
    <t>Type Of Disability or Condition</t>
  </si>
  <si>
    <t>Unknown\Not Recorded</t>
  </si>
  <si>
    <t>Clients</t>
  </si>
  <si>
    <t>Age Profile</t>
  </si>
  <si>
    <t>try</t>
  </si>
  <si>
    <t>result</t>
  </si>
  <si>
    <t>Ethnic Origin</t>
  </si>
  <si>
    <t>Ehnic Origin</t>
  </si>
  <si>
    <t>Disability</t>
  </si>
  <si>
    <t>Type of Disability</t>
  </si>
  <si>
    <t>Ebefs</t>
  </si>
  <si>
    <t>BEF AIC Creation</t>
  </si>
  <si>
    <t>LA</t>
  </si>
  <si>
    <t>Issues</t>
  </si>
  <si>
    <t>Issues %</t>
  </si>
  <si>
    <t>Constituency</t>
  </si>
  <si>
    <t>CORE</t>
  </si>
  <si>
    <t>National Funder</t>
  </si>
  <si>
    <t>Local Funder</t>
  </si>
  <si>
    <t>Unique Client Count2</t>
  </si>
  <si>
    <t>Asian or Asian British</t>
  </si>
  <si>
    <t>Black or Black British</t>
  </si>
  <si>
    <t>Mixed</t>
  </si>
  <si>
    <t>White</t>
  </si>
  <si>
    <t>Number of Outcomes</t>
  </si>
  <si>
    <t>Monthly Calendar Outcome Date.Financial</t>
  </si>
  <si>
    <t>Monthly Calendar Enquiry Created.Financial</t>
  </si>
  <si>
    <t>Outcome Date</t>
  </si>
  <si>
    <t>Enquiry Date</t>
  </si>
  <si>
    <t>Outcome Issue</t>
  </si>
  <si>
    <t>Type Of Outcome</t>
  </si>
  <si>
    <t>Outcome</t>
  </si>
  <si>
    <t>% Issues</t>
  </si>
  <si>
    <t>Ratio of issues per client</t>
  </si>
  <si>
    <t>Benefits &amp; tax credits Total</t>
  </si>
  <si>
    <t>Consumer goods &amp; services Total</t>
  </si>
  <si>
    <t>Debt Total</t>
  </si>
  <si>
    <t>Housing Total</t>
  </si>
  <si>
    <t>Immigration &amp; asylum Total</t>
  </si>
  <si>
    <t>% of Part 1 Category</t>
  </si>
  <si>
    <t>04 Fuel debts Total</t>
  </si>
  <si>
    <t>% of Part 2</t>
  </si>
  <si>
    <t>Total Contacts by channel</t>
  </si>
  <si>
    <t>Local Authority</t>
  </si>
  <si>
    <t>Local Authority Ward</t>
  </si>
  <si>
    <t>Email/Web</t>
  </si>
  <si>
    <t>CAB</t>
  </si>
  <si>
    <t>Region\Member\Bureau</t>
  </si>
  <si>
    <t>Casework</t>
  </si>
  <si>
    <t>total</t>
  </si>
  <si>
    <t>Debts written off</t>
  </si>
  <si>
    <t>Income gain</t>
  </si>
  <si>
    <t>Re-imbursements, services, loans</t>
  </si>
  <si>
    <t>Repayments rescheduled</t>
  </si>
  <si>
    <t>Column Labels</t>
  </si>
  <si>
    <t>Category</t>
  </si>
  <si>
    <t>Calendar:</t>
  </si>
  <si>
    <t>Funder:</t>
  </si>
  <si>
    <t>Ratio</t>
  </si>
  <si>
    <t>Financial Outcomes By Value and Advice Area</t>
  </si>
  <si>
    <t>Number of Outcomes in period</t>
  </si>
  <si>
    <t>% Outcomes</t>
  </si>
  <si>
    <t>Outcomes and Clients with an Outcome by Issue</t>
  </si>
  <si>
    <t>Outcomes and Clients with an Outcome by type of Outcome and Value</t>
  </si>
  <si>
    <t>Version</t>
  </si>
  <si>
    <t>Instructions</t>
  </si>
  <si>
    <t>Changing parameters</t>
  </si>
  <si>
    <t>Bureau parameter</t>
  </si>
  <si>
    <t>You can select any combination of Government Region, Member, Bureau or Outreach with this filter.</t>
  </si>
  <si>
    <t>The default is Government Region, but it is very easy to search for and select a member or bureau</t>
  </si>
  <si>
    <t xml:space="preserve">To select a member: </t>
  </si>
  <si>
    <t>Click the down arrow on the Region &gt; Member &gt; Bureau &gt; Outreach filter</t>
  </si>
  <si>
    <t>A search window appears, click the bureau selection arrow to select Member or Bureau</t>
  </si>
  <si>
    <t>Type your bureau name in the 'Search Member' search field e.g. 'Birmingham'</t>
  </si>
  <si>
    <t>Your bureau/member will be automatically selected</t>
  </si>
  <si>
    <t>Click OK</t>
  </si>
  <si>
    <t>You can select any Year, Quarter or Month or combination of any</t>
  </si>
  <si>
    <t>Period parameter</t>
  </si>
  <si>
    <t>The default is year</t>
  </si>
  <si>
    <t>To select a particular period</t>
  </si>
  <si>
    <t>Click the down arrow on the Period filter</t>
  </si>
  <si>
    <t>Scroll down until you find the year that you would like to select</t>
  </si>
  <si>
    <t>You can either select the whole year or drill down to individual Quarters and/or Months</t>
  </si>
  <si>
    <t>Once you have ticked the appropriate period(s) click OK</t>
  </si>
  <si>
    <t>Click to return to the summary page</t>
  </si>
  <si>
    <t>Click to confirm parameters and return to the summary page</t>
  </si>
  <si>
    <t>Funder parameter</t>
  </si>
  <si>
    <t>A full breakdown by funder, including Local Funders is given on the Funder tab</t>
  </si>
  <si>
    <t>To select a National Funder</t>
  </si>
  <si>
    <t>Click the down arrow on the Funder filter</t>
  </si>
  <si>
    <t>You can select and combination of National Funders, the report defaults to all.</t>
  </si>
  <si>
    <t>The matching selection will be automatically selected</t>
  </si>
  <si>
    <t>Type in the name of the funder you wish to select e.g. F2F - West Midlands, or you can simply scroll down.</t>
  </si>
  <si>
    <t>Once you have finished your selection click the button to return to the summary page, each filter is applied to the whole report.</t>
  </si>
  <si>
    <t>AIC1</t>
  </si>
  <si>
    <t>AIC2</t>
  </si>
  <si>
    <t>AIC3</t>
  </si>
  <si>
    <t>Enquiry - Gateway</t>
  </si>
  <si>
    <t>Contacts</t>
  </si>
  <si>
    <t>Outcomes</t>
  </si>
  <si>
    <t>Client Profile</t>
  </si>
  <si>
    <t>Description</t>
  </si>
  <si>
    <t>Dashboard summary of key statistics</t>
  </si>
  <si>
    <t>Worklevel and Gateway and Enquiry channel</t>
  </si>
  <si>
    <t>BEFs by AIC part 1 and 2</t>
  </si>
  <si>
    <t>Unique clients and issues by local authority and ward</t>
  </si>
  <si>
    <t>Unique clients and issues by parliamentary constituency</t>
  </si>
  <si>
    <t>Unique clients and issues by National and Local Project Funder</t>
  </si>
  <si>
    <t>This report provides key data for the bureau, funder and time period selected.</t>
  </si>
  <si>
    <t>Tab</t>
  </si>
  <si>
    <t>Use the Parameters tab to select data before moving to other tabs</t>
  </si>
  <si>
    <t>Below is a brief description of the data displayed on each tab, followed by some basic instructions on how to use the report parameters</t>
  </si>
  <si>
    <t>Use this tab to make changes to the selection parameters of the report</t>
  </si>
  <si>
    <t>Unique clients and AICs by AIC Part 1</t>
  </si>
  <si>
    <t>Unique clients and AICs by AIC Part 2</t>
  </si>
  <si>
    <t>Unique clients and AICs by AIC Part 3</t>
  </si>
  <si>
    <t>Number of eBEFs</t>
  </si>
  <si>
    <t>Ratio of eBEFs to contacts</t>
  </si>
  <si>
    <t>Number of client contacts</t>
  </si>
  <si>
    <t>Dashboard</t>
  </si>
  <si>
    <t>Financial outcomes, number of outcomes compared to issues, unique clients with an outcome, please note - there are separate date filters on the outcomes tab. These are independent of the main Parameters page.</t>
  </si>
  <si>
    <t>Back to top</t>
  </si>
  <si>
    <t>Contacts by work type and channel</t>
  </si>
  <si>
    <t>Full enquiry by primary channel</t>
  </si>
  <si>
    <t>Total advice issues by local authority</t>
  </si>
  <si>
    <t>Total advice issues by ward</t>
  </si>
  <si>
    <t>all other</t>
  </si>
  <si>
    <t>Disabled or LTH condition</t>
  </si>
  <si>
    <t>Work Level show the furthest point reached by an enquiry or Gateway</t>
  </si>
  <si>
    <t>In the Work level table the gateway figure is only those gateways that did not progress to an enquiry.</t>
  </si>
  <si>
    <t>Gateway not progressed</t>
  </si>
  <si>
    <t>All gateways by channel</t>
  </si>
  <si>
    <t xml:space="preserve">The full enquiry and gateway tables below count all gateways, enquiries (regardless of furthest point reached) </t>
  </si>
  <si>
    <t>Casework Preparation By Work type</t>
  </si>
  <si>
    <t>Casework Prep</t>
  </si>
  <si>
    <t>Number of Outcome compared to number of Enquiry Issues</t>
  </si>
  <si>
    <t>Number of AICs on full enquiries</t>
  </si>
  <si>
    <t>Enquiry Created date for Outcomes</t>
  </si>
  <si>
    <t>The outcome data uses a different date field for this reason you will need</t>
  </si>
  <si>
    <t>to choose the outcome date below - normally this will be the same as the</t>
  </si>
  <si>
    <t>date above.</t>
  </si>
  <si>
    <t xml:space="preserve">The Enquiry created date for Outcomes allows you to limit the period the </t>
  </si>
  <si>
    <t>enquiry was created on - normally this will be left as "All"</t>
  </si>
  <si>
    <t>Outcomes date parameters</t>
  </si>
  <si>
    <t>These date paramaters only apply to the Outcomes tab and are independent of all other tables and charts in the spreadsheet</t>
  </si>
  <si>
    <t>There are two Outcomes date parameters:</t>
  </si>
  <si>
    <t>This is the date the outcome was achieved or recorded</t>
  </si>
  <si>
    <t>This is the date that the enquiry was created, for which there is also an outcome in the date created.</t>
  </si>
  <si>
    <t>This filter defaults to All</t>
  </si>
  <si>
    <t>• Outcome Date</t>
  </si>
  <si>
    <t>• Enquiry created date</t>
  </si>
  <si>
    <t>The outcome date parameters can be adjusted in the same way as the Period parameters above.</t>
  </si>
  <si>
    <t>Data and technical information</t>
  </si>
  <si>
    <t>The data included in this tool is taken from the Petra Data Warehouse which is updated every night.</t>
  </si>
  <si>
    <t>The data contained in this report is the same as the data contained in the Petra DW reports, accessed via Petra</t>
  </si>
  <si>
    <t>All data is anonymous as with other DW reports</t>
  </si>
  <si>
    <t>09 Council tax arrears</t>
  </si>
  <si>
    <t>09 Council tax arrears Total</t>
  </si>
  <si>
    <t>Signposting</t>
  </si>
  <si>
    <t>Work level Including Daysheet</t>
  </si>
  <si>
    <t>Discrimination</t>
  </si>
  <si>
    <t>02 Income Support</t>
  </si>
  <si>
    <t>Education</t>
  </si>
  <si>
    <t>06 Adult education</t>
  </si>
  <si>
    <t>Education Total</t>
  </si>
  <si>
    <t>Employment Total</t>
  </si>
  <si>
    <t>02 Income Support Total</t>
  </si>
  <si>
    <t>06 Adult education Total</t>
  </si>
  <si>
    <t>Not recorded/not applicable Total</t>
  </si>
  <si>
    <t>Version History</t>
  </si>
  <si>
    <t>Date</t>
  </si>
  <si>
    <t>Notes</t>
  </si>
  <si>
    <t>By</t>
  </si>
  <si>
    <t>DA</t>
  </si>
  <si>
    <t>Amended Daysheet calculation on dashboard</t>
  </si>
  <si>
    <t>Client age, gender, ethnic origin and disability</t>
  </si>
  <si>
    <t>Original version</t>
  </si>
  <si>
    <t>The Unique Client count on this sheet is the number of clients with an AIC recorded in the period. This matches the client figures on the AIC1-3 sheets</t>
  </si>
  <si>
    <t>This is not a breakdown of all clients seen for this figure please see the Client_Profile sheet</t>
  </si>
  <si>
    <t>Total advice issues by constituency</t>
  </si>
  <si>
    <t>Page</t>
  </si>
  <si>
    <t>Table referred to</t>
  </si>
  <si>
    <t>Simple description</t>
  </si>
  <si>
    <t>Technical annotations</t>
  </si>
  <si>
    <t>Advice issue codes</t>
  </si>
  <si>
    <t>This is a count of advice issue codes within the period inclusive of daysheet,gateway and enquiry advice issue codes.</t>
  </si>
  <si>
    <t>Client contacts</t>
  </si>
  <si>
    <t>Adds up the client event types of Email, F2F, Letter and Phone. Combined with the day sheets and gateways</t>
  </si>
  <si>
    <t>Enquiries</t>
  </si>
  <si>
    <t>Count of enquiries and day sheets minus Gateway enquiries where there is a parent gateway.</t>
  </si>
  <si>
    <t>Enquiry Gateway</t>
  </si>
  <si>
    <t>This is a count of all full enquiries, and is split by access method (Primary channel)</t>
  </si>
  <si>
    <t>Count of client event and is just for Client Event Type equal to enquires. This is then split by channel</t>
  </si>
  <si>
    <t>all gateways by channel</t>
  </si>
  <si>
    <t>This is a count of all gateways split by access method (primary channel).</t>
  </si>
  <si>
    <t>Count of client event and is just for Client Event Type equal to Gateways. This is then split by channel</t>
  </si>
  <si>
    <t>Enquiry contact by work type</t>
  </si>
  <si>
    <t>Gateway and contacts by channel</t>
  </si>
  <si>
    <t>Total contact by channel</t>
  </si>
  <si>
    <t>This table is made from adding the other 2 tables on this page together to provide totals for the period.</t>
  </si>
  <si>
    <t>"Gateway and contacts by channel" are added to "Total contact by channel" to produce the third table in the series.</t>
  </si>
  <si>
    <t>Client profile</t>
  </si>
  <si>
    <t>EBEFs</t>
  </si>
  <si>
    <t>This is a count of the advice issue codes at a part 2 level for EBEFS</t>
  </si>
  <si>
    <t>Count of issues (Part 1 &amp; 2) where advice event type equal to BEF AIC Creation.</t>
  </si>
  <si>
    <t>This is a count of Unique clients and advice issue codes at the local authority and ward levels</t>
  </si>
  <si>
    <t>This is a count of advice issue codes and unique clients by constituency</t>
  </si>
  <si>
    <t>This is a count of advice issue codes and unique clients where the work carried out is locally or nationally funded.</t>
  </si>
  <si>
    <t>11 Jobseekers Allowance</t>
  </si>
  <si>
    <t>99 Other</t>
  </si>
  <si>
    <t>11 Dismissal</t>
  </si>
  <si>
    <t>Legal</t>
  </si>
  <si>
    <t>Legal Total</t>
  </si>
  <si>
    <t>Relationships &amp; family</t>
  </si>
  <si>
    <t>Relationships &amp; family Total</t>
  </si>
  <si>
    <t>A Eligibility, entitlement, calc.</t>
  </si>
  <si>
    <t>11 Jobseekers Allowance Total</t>
  </si>
  <si>
    <t>99 Other Total</t>
  </si>
  <si>
    <t>11 Dismissal Total</t>
  </si>
  <si>
    <t>Member &gt; Bureau &gt; Outreach</t>
  </si>
  <si>
    <t/>
  </si>
  <si>
    <t>2011-12</t>
  </si>
  <si>
    <t>2012-13</t>
  </si>
  <si>
    <t>2013-14</t>
  </si>
  <si>
    <t>2014-15</t>
  </si>
  <si>
    <t>Q1</t>
  </si>
  <si>
    <t>Parameter Summary</t>
  </si>
  <si>
    <t>April</t>
  </si>
  <si>
    <t>May</t>
  </si>
  <si>
    <t>June</t>
  </si>
  <si>
    <t>To amend your selection return to the Enter Parameters page</t>
  </si>
  <si>
    <t>Click the [+] or [-] signs below to expand and collapse to see more or less parameters. This page is read-only which means it will reflect changes made on the parameters page.</t>
  </si>
  <si>
    <t>This page displays  a detailed summary of your selection on the Enter Parameters page. View this page if you have selected multiple bureaux or date ranges and funders and you see 'Multiple Items' displayed.</t>
  </si>
  <si>
    <t>Click [+] for tips</t>
  </si>
  <si>
    <t>Filter for your member, bureau and outreach, or any combination</t>
  </si>
  <si>
    <t>&lt;------</t>
  </si>
  <si>
    <t>This filter is set to 'All' by default</t>
  </si>
  <si>
    <t>Select the year, quarter or month or any combination</t>
  </si>
  <si>
    <t>Select National Funder</t>
  </si>
  <si>
    <t>Quick tips for selecting your parameters</t>
  </si>
  <si>
    <t>If you have selected more than one item in each filter then (Multiple Items) is displayed. Go to the Parameter Summary page to view the full details of your selection</t>
  </si>
  <si>
    <t>Outcome Enquiry Date</t>
  </si>
  <si>
    <t>This is a summary of the amount of financial totals. The first two are income gains, then the amount of debt written off and finally the amount of debt rescheduled</t>
  </si>
  <si>
    <t>This is a ratio comparing the number of advice issues recorded to the number of outcomes recorded. This give you the percentage of issues (or problems) where an outcome is recorded</t>
  </si>
  <si>
    <t>This uses a count of the number of counts and a count of the AIC. The percentage calculation is the number of outcomes divided by the number of issues</t>
  </si>
  <si>
    <t>This counts the number of outcomes and number of clients with an outcome by the part 1 issues code</t>
  </si>
  <si>
    <t>Summary of income gain</t>
  </si>
  <si>
    <t>Number of outcomes</t>
  </si>
  <si>
    <t>Outcomes by Issue</t>
  </si>
  <si>
    <t>Outcomes by type and value</t>
  </si>
  <si>
    <t>This report uses the outcome type as the dimension and counts clients, outcomes and sums all annualised values</t>
  </si>
  <si>
    <t>Summing up the AIC's where the event type is one of the following; Day sheet AIC Creation, Enquiry AIC creation and Gateway AIC Creation</t>
  </si>
  <si>
    <t>This is a count of client contact from enquiries using the event types: Email, F2F, Letter and Phone. Plus the number of gateway and day sheet records</t>
  </si>
  <si>
    <t>This is a count of advice issue codes at the part one level, it includes day sheets, gateways and enquiries.</t>
  </si>
  <si>
    <t>Sum of the number of advice events with an advice event type equal to any of the following Day sheet AIC Creation, Enquiry AIC creation and Gateway AIC Creation</t>
  </si>
  <si>
    <t>This is a count of advice issue codes at the part two level, it includes day sheets, gateways and enquiries.</t>
  </si>
  <si>
    <t>Sum of the number of advice events with an advice event type equal to any of the following Day sheet AIC Creation, Enquiry AIC creation and Gateway AIC Creation. Client are unique to the Part 2 level so each client can be counted once for each part 2 that they have, therefore the sum of the Part 2 unique clients will be greater than the Part 1 equivalent</t>
  </si>
  <si>
    <t>Work level including day sheet</t>
  </si>
  <si>
    <t>This is a count of final work level reached. It counts day sheets, enquiries and gateways that did not progress to an enquiry (gateways that went on to become enquiries in their own right are removed to prevent double counting).</t>
  </si>
  <si>
    <t>Count of activities with worklevel for client event type equal to enquires and Day sheets. Then a report on Client event with client event type equal to Gateway and Enquiry by Parent gateway is run, those enquiries with a "Yes" as Parent Gateway are subtracted from the Gateway activities number, this is then added to the data</t>
  </si>
  <si>
    <t>This is a count of enquiries within the period by the work type for access methods listed: Email, F2F, Letter and Phone.</t>
  </si>
  <si>
    <t>Count of activities by work type for the following Client Event types, Email, F2F, Letter and Phone</t>
  </si>
  <si>
    <t>This is a count of Gateways and contacts within the period, the count includes event types Gateways and day sheets.</t>
  </si>
  <si>
    <t>Count of activities by channel  for the following Client Event types, Gateway, Day sheet</t>
  </si>
  <si>
    <t xml:space="preserve">The client profile tables all provide a count of the unique clients by specific access methods (Gateway,Enquiry,Email,F2f,Letter,Phone). For each profile the number of day sheets are then added to unknown. </t>
  </si>
  <si>
    <t>Count of unique clients unique with an client event type equal to any of the following Gateway,Enquiry,Email,F2f,Letter,Phone. A separate report retrieving the number of Day sheet activities on the event cube is run and this is added to the UNKNOWN\NOT Recorded figure in each the tables below.</t>
  </si>
  <si>
    <t>This uses the outcomes and AIC codes to create the cross tab report</t>
  </si>
  <si>
    <t>This report lists every outcome category that exists in Petra and count the outcomes, clients and total value recorded (where applicable). There are likely to be blank rows in this report as an individual bureaux will not have recorded outcomes against all categories</t>
  </si>
  <si>
    <t>This uses the 4 financial categories and cross tabs against the advice areas.  The benefit gain and reimbursement can be added together for total income gained</t>
  </si>
  <si>
    <t>A client may be advised on a benefit issue and debt issue (or any other combination)</t>
  </si>
  <si>
    <t>Clients with an Issue</t>
  </si>
  <si>
    <t>Clients in time periods</t>
  </si>
  <si>
    <t>If you run a report for a specific time period (a month, or quarter) - the number of clients will be all the different people seen in that period.</t>
  </si>
  <si>
    <t xml:space="preserve">However, if you then run a report for both periods (two months, two quarters) - they will only be counted once. </t>
  </si>
  <si>
    <t>The difference between a report for multiple periods and adding up clients from each period report is the number of clients seen in both periods.</t>
  </si>
  <si>
    <t>Worked example:</t>
  </si>
  <si>
    <t xml:space="preserve">The grand total will be less than the sum or each category. The total counts only the unique clients seen overall. </t>
  </si>
  <si>
    <t>As some people are seen (have a contact or new AIC) in more than one period - they will also be counted in a report for the next period.</t>
  </si>
  <si>
    <t>Unique counts of clients are unique for each cell in a report (for each issue and for each time period).</t>
  </si>
  <si>
    <t>The difference between the total and the sum of all the categories is the number of client advised on more than one issue</t>
  </si>
  <si>
    <t>Understanding the data</t>
  </si>
  <si>
    <t>Enter Parameters</t>
  </si>
  <si>
    <t>Unique clients counts - why individual issues and quarter reports do not add up totals</t>
  </si>
  <si>
    <t>As both Ravinder and Sarah are seen in both Q1 and Q2 they are only counted once each in the Q1 to Q2 report.</t>
  </si>
  <si>
    <t>New!</t>
  </si>
  <si>
    <t>JU</t>
  </si>
  <si>
    <t>Added parameter summary, understanding data and tips for filtering</t>
  </si>
  <si>
    <t>Gives a detailed summary of what data you have selected</t>
  </si>
  <si>
    <t>Explains how all figures in this tool, such as the client counts, are calculated</t>
  </si>
  <si>
    <t>Q2</t>
  </si>
  <si>
    <t>July</t>
  </si>
  <si>
    <t>August</t>
  </si>
  <si>
    <t>This is a count of advice issue codes at the part three level, it includes gateways and enquiries.</t>
  </si>
  <si>
    <t>Sum of the number of advice events with an advice event type equal to any of the following Enquiry AIC creation and Gateway AIC Creation. Clients are unique to the Part 3 level so each client can be counted once for each part 3 that they have, therefore the sum of the Part 3 unique clients will be greater than the Part 2 equivalent</t>
  </si>
  <si>
    <t>Report Parameters</t>
  </si>
  <si>
    <t>Select the report parameters from the boxes below. These will affect all the different sheets in the report</t>
  </si>
  <si>
    <t>Outcome date</t>
  </si>
  <si>
    <t>Set the date the outcome was achieved (see notes below)</t>
  </si>
  <si>
    <t>Not Recorded</t>
  </si>
  <si>
    <t>Trans</t>
  </si>
  <si>
    <t>Trans - Female</t>
  </si>
  <si>
    <t>Trans - Male</t>
  </si>
  <si>
    <t>JU/DA</t>
  </si>
  <si>
    <t>DA fixed BEF calculation. JU amended outcomes to reference Advice Area instead of AIC Part 1</t>
  </si>
  <si>
    <t>Added refresh on open</t>
  </si>
  <si>
    <t>2015-16</t>
  </si>
  <si>
    <t>Discrimination Total</t>
  </si>
  <si>
    <t>EE Bailiff enforcement - offers of payment</t>
  </si>
  <si>
    <t>2016-17</t>
  </si>
  <si>
    <t>Impact of selecting specific funders</t>
  </si>
  <si>
    <t>If you have a specific Funder selected, it is possible that the number of Enquiries\Gateways shown may be lower than expected.</t>
  </si>
  <si>
    <t xml:space="preserve">This is due to the way the tool has been setup to show gateways that have progressed to enquiries. Normally when an gateway progresses to an enquiry a flag is </t>
  </si>
  <si>
    <t>set on the enquiry to indicate it has had a gateway, then this gateway is subtracted from the figures to ensure there is no double counting.</t>
  </si>
  <si>
    <t>This then gives us a figure for the number of Enquiries, and the number of Gateways that have not progressed to an enquiry.</t>
  </si>
  <si>
    <t xml:space="preserve">When the funder parameter is selected some gateways will not have the same funder as the enquiry, but if the enquiry has the flag indicating that it has a gateway this </t>
  </si>
  <si>
    <t>will still be subtracted from the total gateway figure.</t>
  </si>
  <si>
    <t xml:space="preserve">This means that if a specific funder is selected, there may not be any gateways for that funder that had progressed to an enquiry, but if the enquiry has the gateway flag, </t>
  </si>
  <si>
    <t>a gateway will be subtracted, leaving negative figures.</t>
  </si>
  <si>
    <t xml:space="preserve">So in some cases this can lead to the Gateways-not progressed field showing a very low or even negative number, therefore this tools works best when specific funders </t>
  </si>
  <si>
    <t>are not selected.</t>
  </si>
  <si>
    <t>As you have selected to filter by Funder please see the following notification.</t>
  </si>
  <si>
    <t>Click to see notification on Funders</t>
  </si>
  <si>
    <t>2008-09</t>
  </si>
  <si>
    <t>07 Computer hardware &amp; software</t>
  </si>
  <si>
    <t>99 Other education issues</t>
  </si>
  <si>
    <t>Tax</t>
  </si>
  <si>
    <t>99 Other Tax Issues</t>
  </si>
  <si>
    <t>Tax Total</t>
  </si>
  <si>
    <t>A Eligibility, entitlement, calculation</t>
  </si>
  <si>
    <t>H Contract terms &amp; conditions</t>
  </si>
  <si>
    <t>07 Computer hardware &amp; software Total</t>
  </si>
  <si>
    <t>99 Other education issues Total</t>
  </si>
  <si>
    <t>E Wrongful Dismissal</t>
  </si>
  <si>
    <t>99 Other Tax Issues Total</t>
  </si>
  <si>
    <t>GA Hardship loans/payments</t>
  </si>
  <si>
    <t>HR Human rights</t>
  </si>
  <si>
    <t>10 Discrimination: Race including nationality</t>
  </si>
  <si>
    <t>C Indirect discrimination</t>
  </si>
  <si>
    <t>10 Discrimination: Race including nationality Total</t>
  </si>
  <si>
    <t>Clients with a new gateway  or enquiry</t>
  </si>
  <si>
    <t>Total clients seen in the period</t>
  </si>
  <si>
    <t>All Clients Seen</t>
  </si>
  <si>
    <t>From Daysheets</t>
  </si>
  <si>
    <t>Totals</t>
  </si>
  <si>
    <t>2007-08</t>
  </si>
  <si>
    <t>Issue and Clients with a new issue</t>
  </si>
  <si>
    <t>Number of Advice Events</t>
  </si>
  <si>
    <t>Day sheet AIC Creation</t>
  </si>
  <si>
    <t>From Gateway or Enquiry</t>
  </si>
  <si>
    <r>
      <t xml:space="preserve">This is a count of the clients with a contact in the period, Plus the day sheets added as a proxy client interaction. 
</t>
    </r>
    <r>
      <rPr>
        <b/>
        <sz val="12"/>
        <color theme="1"/>
        <rFont val="Open Sans"/>
        <family val="2"/>
      </rPr>
      <t>Please note</t>
    </r>
    <r>
      <rPr>
        <sz val="12"/>
        <color theme="1"/>
        <rFont val="Open Sans"/>
        <family val="2"/>
      </rPr>
      <t xml:space="preserve"> if you run a report for a year and clients are seen in more than one quarter the number will be lower than adding separate quarters together. All clients are unique for the period selected. (Scroll down for worked examples)</t>
    </r>
  </si>
  <si>
    <r>
      <t xml:space="preserve">Client count made of all clients with at least 1 contact during period and number of gateways within the period.  The unique client count is calculated by an  event type equal to any of the following Gateway,Enquiry,Email,F2f,Letter,Phone.
</t>
    </r>
    <r>
      <rPr>
        <b/>
        <sz val="12"/>
        <color theme="1"/>
        <rFont val="Open Sans"/>
        <family val="2"/>
      </rPr>
      <t xml:space="preserve">Note: </t>
    </r>
    <r>
      <rPr>
        <sz val="12"/>
        <color theme="1"/>
        <rFont val="Open Sans"/>
        <family val="2"/>
      </rPr>
      <t>This number is different from the number of clients with AICs (and the number on LA and Constituency tabs - also based on AICs) - those reports only count clients with a new AIC in the period. This count is of any client with a contact regardless of whether a new AIC is added.</t>
    </r>
  </si>
  <si>
    <r>
      <t xml:space="preserve">Sum of the number of advice events with an advice event type equal to any of the following Day sheet AIC Creation, Enquiry AIC creation and Gateway AIC Creation.
</t>
    </r>
    <r>
      <rPr>
        <b/>
        <sz val="12"/>
        <color theme="1"/>
        <rFont val="Open Sans"/>
        <family val="2"/>
      </rPr>
      <t>Note</t>
    </r>
    <r>
      <rPr>
        <sz val="12"/>
        <color theme="1"/>
        <rFont val="Open Sans"/>
        <family val="2"/>
      </rPr>
      <t>: As this report shows both the number of issues and clients with those issues, it is based on AIC date added. It is therefore a different number from total clients with a contact in the period. Also, there is a line for not recorded. These will be clients without a valid post code or from issues recorded against the day sheet.</t>
    </r>
  </si>
  <si>
    <r>
      <t xml:space="preserve">Sum of the number of advice events with an advice event type equal to any of the following Day sheet AIC Creation, Enquiry AIC creation and Gateway AIC Creation.
</t>
    </r>
    <r>
      <rPr>
        <b/>
        <sz val="12"/>
        <color theme="1"/>
        <rFont val="Open Sans"/>
        <family val="2"/>
      </rPr>
      <t>Note:</t>
    </r>
    <r>
      <rPr>
        <sz val="12"/>
        <color theme="1"/>
        <rFont val="Open Sans"/>
        <family val="2"/>
      </rPr>
      <t xml:space="preserve"> As this report shows both the number of issues and clients with those issues, it is based on AIC date added. It is therefore a different number from total clients with a contact in the period. Also, there is a line for not recorded. These will be clients without a valid post code or from issues recorded against the day sheet.</t>
    </r>
  </si>
  <si>
    <r>
      <rPr>
        <sz val="14"/>
        <color theme="1"/>
        <rFont val="Open Sans"/>
        <family val="2"/>
      </rPr>
      <t xml:space="preserve">Please note this tool will </t>
    </r>
    <r>
      <rPr>
        <b/>
        <sz val="14"/>
        <color theme="1"/>
        <rFont val="Open Sans"/>
        <family val="2"/>
      </rPr>
      <t>only</t>
    </r>
    <r>
      <rPr>
        <sz val="14"/>
        <color theme="1"/>
        <rFont val="Open Sans"/>
        <family val="2"/>
      </rPr>
      <t xml:space="preserve"> work in </t>
    </r>
    <r>
      <rPr>
        <b/>
        <sz val="14"/>
        <color theme="1"/>
        <rFont val="Open Sans"/>
        <family val="2"/>
      </rPr>
      <t>Excel 2010</t>
    </r>
    <r>
      <rPr>
        <sz val="14"/>
        <color theme="1"/>
        <rFont val="Open Sans"/>
        <family val="2"/>
      </rPr>
      <t xml:space="preserve">. 
</t>
    </r>
    <r>
      <rPr>
        <sz val="11"/>
        <color theme="1"/>
        <rFont val="Open Sans"/>
        <family val="2"/>
      </rPr>
      <t>We are planning to create a reduced functionality version that will be compatible with Excel 2003 and 2007. Please check Cablink or Petra for more information.</t>
    </r>
    <r>
      <rPr>
        <b/>
        <sz val="14"/>
        <color theme="1"/>
        <rFont val="Open Sans"/>
        <family val="2"/>
      </rPr>
      <t xml:space="preserve">
</t>
    </r>
  </si>
  <si>
    <r>
      <t xml:space="preserve">There are 3 filters that can be changed. Once you have made your selection </t>
    </r>
    <r>
      <rPr>
        <sz val="12"/>
        <color rgb="FFFF0000"/>
        <rFont val="Open Sans"/>
        <family val="2"/>
      </rPr>
      <t>there may be a delay of about 10-20</t>
    </r>
    <r>
      <rPr>
        <sz val="12"/>
        <color theme="1"/>
        <rFont val="Open Sans"/>
        <family val="2"/>
      </rPr>
      <t xml:space="preserve"> seconds while the data is fetched. Please be patient until the hour glass has disappeared</t>
    </r>
  </si>
  <si>
    <r>
      <rPr>
        <b/>
        <sz val="12"/>
        <color theme="1"/>
        <rFont val="Open Sans"/>
        <family val="2"/>
      </rPr>
      <t>Outcomes - please note:</t>
    </r>
    <r>
      <rPr>
        <sz val="12"/>
        <color theme="1"/>
        <rFont val="Open Sans"/>
        <family val="2"/>
      </rPr>
      <t xml:space="preserve"> The outcomes tab and corresponding chart on the Dashboard have independent date filters to the rest of this tool. Please see the instructions on filtering Outcome parameters below.
Please ensure that you have made the correct date selections before copying any outcomes tables and/or charts for inclusion in reports to your funders.</t>
    </r>
  </si>
  <si>
    <r>
      <rPr>
        <b/>
        <sz val="16"/>
        <color rgb="FF004B88"/>
        <rFont val="Open Sans"/>
        <family val="2"/>
      </rPr>
      <t>1.</t>
    </r>
    <r>
      <rPr>
        <sz val="16"/>
        <color rgb="FF004B88"/>
        <rFont val="Open Sans"/>
        <family val="2"/>
      </rPr>
      <t xml:space="preserve"> Select these filters first</t>
    </r>
  </si>
  <si>
    <r>
      <rPr>
        <b/>
        <sz val="16"/>
        <color rgb="FF004B88"/>
        <rFont val="Open Sans"/>
        <family val="2"/>
      </rPr>
      <t>2.</t>
    </r>
    <r>
      <rPr>
        <sz val="16"/>
        <color rgb="FF004B88"/>
        <rFont val="Open Sans"/>
        <family val="2"/>
      </rPr>
      <t xml:space="preserve"> Then select the Outcome Date</t>
    </r>
  </si>
  <si>
    <r>
      <rPr>
        <b/>
        <sz val="16"/>
        <color rgb="FF004B88"/>
        <rFont val="Open Sans"/>
        <family val="2"/>
      </rPr>
      <t xml:space="preserve">3. </t>
    </r>
    <r>
      <rPr>
        <sz val="16"/>
        <color rgb="FF004B88"/>
        <rFont val="Open Sans"/>
        <family val="2"/>
      </rPr>
      <t>Then click to see your data</t>
    </r>
  </si>
  <si>
    <t xml:space="preserve"> </t>
  </si>
  <si>
    <t>Daysheet records (proxy for a client)</t>
  </si>
  <si>
    <t>Name</t>
  </si>
  <si>
    <t>Version 2.6</t>
  </si>
  <si>
    <t>Time Period</t>
  </si>
  <si>
    <t>Gateway (inc information)</t>
  </si>
  <si>
    <t>14 Incapacity Benefit</t>
  </si>
  <si>
    <t>05 Higher Education</t>
  </si>
  <si>
    <t>14 Incapacity Benefit Total</t>
  </si>
  <si>
    <t>R Complaints &amp; redress</t>
  </si>
  <si>
    <t>Y Complaints including external review</t>
  </si>
  <si>
    <t>05 Higher Education Total</t>
  </si>
  <si>
    <t>September</t>
  </si>
  <si>
    <t>Q3</t>
  </si>
  <si>
    <t>October</t>
  </si>
  <si>
    <t>2010-11</t>
  </si>
  <si>
    <t>Clients helped with ongoing enquiries</t>
  </si>
  <si>
    <t>Version 2.7</t>
  </si>
  <si>
    <t>05 Social Fund Loans-Budgeting</t>
  </si>
  <si>
    <t>21 Personal independence payment</t>
  </si>
  <si>
    <t>99 Other benefits issues</t>
  </si>
  <si>
    <t>02 Mortgage &amp; secured loan arrears</t>
  </si>
  <si>
    <t>06 Rent arrears - LAs or ALMOs</t>
  </si>
  <si>
    <t>12 Bank &amp; building society overdrafts</t>
  </si>
  <si>
    <t>31 Other telecoms debt (landline, broadband, bundle, TV)</t>
  </si>
  <si>
    <t>49 Debt Relief Order</t>
  </si>
  <si>
    <t>Other Total</t>
  </si>
  <si>
    <t>05 Social Fund Loans-Budgeting Total</t>
  </si>
  <si>
    <t>AA Eligibility - mobility component</t>
  </si>
  <si>
    <t>21 Personal independence payment Total</t>
  </si>
  <si>
    <t>A General benefit entitlement</t>
  </si>
  <si>
    <t>99 Other benefits issues Total</t>
  </si>
  <si>
    <t>D Possession claim for arrears</t>
  </si>
  <si>
    <t>02 Mortgage &amp; secured loan arrears Total</t>
  </si>
  <si>
    <t>06 Rent arrears - LAs or ALMOs Total</t>
  </si>
  <si>
    <t>A Liability for debt</t>
  </si>
  <si>
    <t>B Dealing with debt repayments</t>
  </si>
  <si>
    <t>FA Enforcement - deductions from earnings</t>
  </si>
  <si>
    <t>C Creditor debt collection practices, inc harassment</t>
  </si>
  <si>
    <t>M Overdraft charges</t>
  </si>
  <si>
    <t>12 Bank &amp; building society overdrafts Total</t>
  </si>
  <si>
    <t>J Complaints and redress</t>
  </si>
  <si>
    <t>31 Other telecoms debt (landline, broadband, bundle, TV) Total</t>
  </si>
  <si>
    <t>B Application</t>
  </si>
  <si>
    <t>49 Debt Relief Order Total</t>
  </si>
  <si>
    <t>C Unpaid legal bills</t>
  </si>
  <si>
    <t>Leeds</t>
  </si>
  <si>
    <t>Swindon</t>
  </si>
  <si>
    <t>Central</t>
  </si>
  <si>
    <t>Leeds Central</t>
  </si>
  <si>
    <t>South Swindon</t>
  </si>
  <si>
    <t>Local</t>
  </si>
  <si>
    <t>November</t>
  </si>
  <si>
    <t>December</t>
  </si>
  <si>
    <t>Q4</t>
  </si>
  <si>
    <t>January</t>
  </si>
  <si>
    <t>February</t>
  </si>
  <si>
    <t>March</t>
  </si>
  <si>
    <t>2001-02</t>
  </si>
  <si>
    <t>2017-18</t>
  </si>
  <si>
    <t>York (member)</t>
  </si>
  <si>
    <t>03 Pension Credit</t>
  </si>
  <si>
    <t>07 Housing Benefit</t>
  </si>
  <si>
    <t>08 Child Benefit</t>
  </si>
  <si>
    <t>10 Working &amp; Child Tax Credits</t>
  </si>
  <si>
    <t>12 National Insurance</t>
  </si>
  <si>
    <t>13 State Retirement Pension</t>
  </si>
  <si>
    <t>15 Disability Living Allowance</t>
  </si>
  <si>
    <t>17 Attendance Allowance</t>
  </si>
  <si>
    <t>18 Carers Allowance</t>
  </si>
  <si>
    <t>19 Employment Support Allowance</t>
  </si>
  <si>
    <t>20 Universal credit</t>
  </si>
  <si>
    <t>22 Localised social welfare</t>
  </si>
  <si>
    <t>23 Council tax reduction</t>
  </si>
  <si>
    <t>24 Benefit cap</t>
  </si>
  <si>
    <t>26 Complaints</t>
  </si>
  <si>
    <t>27 Passported benefits</t>
  </si>
  <si>
    <t>02 Private sales &amp; internet auctions</t>
  </si>
  <si>
    <t>03 Building repairs &amp; improvements</t>
  </si>
  <si>
    <t>04 Double glazing &amp; associated products</t>
  </si>
  <si>
    <t>05 Furnishings &amp; floor coverings</t>
  </si>
  <si>
    <t>06 Electrical appliances &amp; repairs</t>
  </si>
  <si>
    <t>09 Personal Development Courses (incl IT)</t>
  </si>
  <si>
    <t>10 Disability aids &amp; adaptations</t>
  </si>
  <si>
    <t>12 Second hand vehicles</t>
  </si>
  <si>
    <t>13 Vehicle repairs/servicing</t>
  </si>
  <si>
    <t>14 Food &amp; Drink</t>
  </si>
  <si>
    <t>15 Health gym &amp; sports club memberships</t>
  </si>
  <si>
    <t>17 Fraud and scams</t>
  </si>
  <si>
    <t>18 Energy company obligation (ECO)</t>
  </si>
  <si>
    <t>22 Energy efficiency measures (non-ECO)</t>
  </si>
  <si>
    <t>23 Heating systems installation and servicing</t>
  </si>
  <si>
    <t>24 Culture and entertainment (theatre, events, festivals, concerts, cinema)</t>
  </si>
  <si>
    <t>25 Digital goods and services (apps, e-books, downloads, streaming, cloud storage)</t>
  </si>
  <si>
    <t>99 Other goods &amp; services</t>
  </si>
  <si>
    <t>03 Hire purchase arrears</t>
  </si>
  <si>
    <t>07 Rent arrears -  housing associations</t>
  </si>
  <si>
    <t>08 Rent arrears - private landlords</t>
  </si>
  <si>
    <t>10 Mag. Cts. - fines &amp; comp.ord. arrears</t>
  </si>
  <si>
    <t>11 Maintenance &amp; child maintenance arrears</t>
  </si>
  <si>
    <t>13 Credit, store &amp; charge card debts</t>
  </si>
  <si>
    <t>14 Unsecured personal loan debts</t>
  </si>
  <si>
    <t>15 Catalogue &amp; mail order debts</t>
  </si>
  <si>
    <t>16 Water supply &amp; sewerage debts</t>
  </si>
  <si>
    <t>17 Unpaid parking penalty &amp; cong. chgs.</t>
  </si>
  <si>
    <t>18 Overpayments of WTC &amp; CTC</t>
  </si>
  <si>
    <t>19 Overpayments of IS/JSA/ESA</t>
  </si>
  <si>
    <t>20 Overpts. Housing &amp; Council Tax Bens.</t>
  </si>
  <si>
    <t>21 Social Fund debts</t>
  </si>
  <si>
    <t>22 Payday loan debts</t>
  </si>
  <si>
    <t>24 Debts to loan sharks/illegal lenders</t>
  </si>
  <si>
    <t>25 Arrears of income tax, VAT or NI contributions</t>
  </si>
  <si>
    <t>26 Overpayment of universal credit</t>
  </si>
  <si>
    <t>27 Overpayments of other benefits</t>
  </si>
  <si>
    <t>28 Guarantor loan debts</t>
  </si>
  <si>
    <t>30 Mobile phone debt</t>
  </si>
  <si>
    <t>32 Debts to friends and family</t>
  </si>
  <si>
    <t>40 3rd party debt collection excl. bailiffs</t>
  </si>
  <si>
    <t>48 Individual Voluntary Arrangement</t>
  </si>
  <si>
    <t>50 Bankruptcy</t>
  </si>
  <si>
    <t>01 Discrimination: Age</t>
  </si>
  <si>
    <t>03 Discrimination: Disability excluding Mental Health</t>
  </si>
  <si>
    <t>04 Discrimination: Disability Mental health</t>
  </si>
  <si>
    <t>09 Discrimination: Pregnancy &amp; maternity</t>
  </si>
  <si>
    <t>12 Discrimination: Sex/gender</t>
  </si>
  <si>
    <t>13 Discrimination: Sexual orientation</t>
  </si>
  <si>
    <t>30 Domestic abuse: against woman by current/ex male partner</t>
  </si>
  <si>
    <t>99 Domestic abuse: other</t>
  </si>
  <si>
    <t>02 Early years provision</t>
  </si>
  <si>
    <t>03 Schools, non-advanced education</t>
  </si>
  <si>
    <t>04 Further Education/6th form colleges</t>
  </si>
  <si>
    <t>03 Self Employment/Business</t>
  </si>
  <si>
    <t>04 Applying for jobs</t>
  </si>
  <si>
    <t>05 Terms &amp; Conditions of Employment</t>
  </si>
  <si>
    <t>07 Pay &amp; Entitlements</t>
  </si>
  <si>
    <t>08  Parental &amp; Carers rights</t>
  </si>
  <si>
    <t>09 Dispute resolution</t>
  </si>
  <si>
    <t>10 Resignation</t>
  </si>
  <si>
    <t>12 Redundancy</t>
  </si>
  <si>
    <t>13 Employment tribunals &amp; appeals</t>
  </si>
  <si>
    <t>14 Access to jobs</t>
  </si>
  <si>
    <t>Financial services &amp; capability</t>
  </si>
  <si>
    <t>02 Bank/Building &amp; P/O Accounts</t>
  </si>
  <si>
    <t>03 Credit/store/charge cards</t>
  </si>
  <si>
    <t>04 Mortgages &amp; secured loans</t>
  </si>
  <si>
    <t>05 Loans - unsecured</t>
  </si>
  <si>
    <t>10 Payment protection insurance</t>
  </si>
  <si>
    <t>11 Holiday/travel insurance</t>
  </si>
  <si>
    <t>12 Vehicle insurance</t>
  </si>
  <si>
    <t>13 Buildings &amp; house contents insurance</t>
  </si>
  <si>
    <t>14 Life Insurance</t>
  </si>
  <si>
    <t>17 Credit Reference Agencies</t>
  </si>
  <si>
    <t>18 Personal Pensions</t>
  </si>
  <si>
    <t>19 Savings and investments</t>
  </si>
  <si>
    <t>20 Financial capability</t>
  </si>
  <si>
    <t>22 Independent Financial Adviser</t>
  </si>
  <si>
    <t>30 Pension Wise</t>
  </si>
  <si>
    <t>99 Other credit, fin. &amp; insurance issues</t>
  </si>
  <si>
    <t>Financial services &amp; capability Total</t>
  </si>
  <si>
    <t>Health &amp; community care</t>
  </si>
  <si>
    <t>03 Hospital Services (non-MH)</t>
  </si>
  <si>
    <t>04 Hospital services - Mental Health</t>
  </si>
  <si>
    <t>05 General Medical Practice</t>
  </si>
  <si>
    <t>06 Residential Care</t>
  </si>
  <si>
    <t>07 Community Care (non-MH)</t>
  </si>
  <si>
    <t>08 Community Care - Mental Health</t>
  </si>
  <si>
    <t>09 Dentists</t>
  </si>
  <si>
    <t>10 NHS costs/charges</t>
  </si>
  <si>
    <t>80 Health Watch - General</t>
  </si>
  <si>
    <t>81 Health Watch - Hospital Service</t>
  </si>
  <si>
    <t>82 Health Watch - Social Care Service</t>
  </si>
  <si>
    <t>83 Health Watch - Other Service</t>
  </si>
  <si>
    <t>84 Health Watch - Childrens Services</t>
  </si>
  <si>
    <t>99 Other health &amp; community care issues</t>
  </si>
  <si>
    <t>Health &amp; community care Total</t>
  </si>
  <si>
    <t>02 Actual homelessness</t>
  </si>
  <si>
    <t>03 Threatened homelessness</t>
  </si>
  <si>
    <t>04 LA homelessness service</t>
  </si>
  <si>
    <t>05 Access to &amp; provision of accomm.</t>
  </si>
  <si>
    <t>06 Local Authority housing</t>
  </si>
  <si>
    <t>07 Housing association property</t>
  </si>
  <si>
    <t>08 Private sector rented property</t>
  </si>
  <si>
    <t>09 Owner occupier property</t>
  </si>
  <si>
    <t>10 Environmental &amp; neighbour issues</t>
  </si>
  <si>
    <t>99 Other housing issues</t>
  </si>
  <si>
    <t>02 Asylum seekers</t>
  </si>
  <si>
    <t>04 Family, dependents &amp; partners</t>
  </si>
  <si>
    <t>05 Visitors</t>
  </si>
  <si>
    <t>06 Workers</t>
  </si>
  <si>
    <t>07 Students</t>
  </si>
  <si>
    <t>08 Nationality/citizenship</t>
  </si>
  <si>
    <t>09 Failed asylum seekers</t>
  </si>
  <si>
    <t>99 Other issues</t>
  </si>
  <si>
    <t>02 Magistrates Court proceedings</t>
  </si>
  <si>
    <t>03 County &amp; High Court proceedings</t>
  </si>
  <si>
    <t>05 Legal aid</t>
  </si>
  <si>
    <t>06 Solicitors/barristers</t>
  </si>
  <si>
    <t>07 Police</t>
  </si>
  <si>
    <t>10 Capacity to act</t>
  </si>
  <si>
    <t>11 Personal-related court proceedings</t>
  </si>
  <si>
    <t>12 Criminal justice</t>
  </si>
  <si>
    <t>07 Charitable support</t>
  </si>
  <si>
    <t>02 Marriage, cohabitation, civil partnership</t>
  </si>
  <si>
    <t>05 Social Services &amp; support</t>
  </si>
  <si>
    <t>06 Divorce, separation, dissolution</t>
  </si>
  <si>
    <t>07 Children</t>
  </si>
  <si>
    <t>08 Child maintenance: resident parent &amp; family</t>
  </si>
  <si>
    <t>09 Child maintenance: non-res. parent &amp; family</t>
  </si>
  <si>
    <t>10 Death &amp; Bereavement</t>
  </si>
  <si>
    <t>11 Certificates &amp; proofs of identity</t>
  </si>
  <si>
    <t>02 Income Tax</t>
  </si>
  <si>
    <t>03 Council Tax</t>
  </si>
  <si>
    <t>Travel &amp; transport</t>
  </si>
  <si>
    <t>02 Public transport</t>
  </si>
  <si>
    <t>03 Driving</t>
  </si>
  <si>
    <t>06 Package holidays</t>
  </si>
  <si>
    <t>09 Parking on private land</t>
  </si>
  <si>
    <t>10 Parking charges on public land/on-street parking</t>
  </si>
  <si>
    <t>99 Other travel, transport &amp; holiday</t>
  </si>
  <si>
    <t>Travel &amp; transport Total</t>
  </si>
  <si>
    <t>Utilities &amp; communications</t>
  </si>
  <si>
    <t>02 Fuel (gas, electricity, oil, coal etc.)</t>
  </si>
  <si>
    <t>03 Water &amp; sewerage</t>
  </si>
  <si>
    <t>04 Telephone landline</t>
  </si>
  <si>
    <t>05 Mobile phones</t>
  </si>
  <si>
    <t>06 TV including cable, digital &amp; satellite</t>
  </si>
  <si>
    <t>07 Internet &amp; broadband</t>
  </si>
  <si>
    <t>08 Unwanted communications</t>
  </si>
  <si>
    <t>99 Other communications &amp; utility issues</t>
  </si>
  <si>
    <t>Utilities &amp; communications Total</t>
  </si>
  <si>
    <t>B Poor administration</t>
  </si>
  <si>
    <t>D Changes of circumstances</t>
  </si>
  <si>
    <t>F Backdating</t>
  </si>
  <si>
    <t>G Housing costs (home owners)</t>
  </si>
  <si>
    <t>L Alleged fraud, error and disputes (not appeals)</t>
  </si>
  <si>
    <t>X Premium</t>
  </si>
  <si>
    <t>Y Making and managing a claim</t>
  </si>
  <si>
    <t>DB Challenging a decision (not appeals)</t>
  </si>
  <si>
    <t>S Co-habitation</t>
  </si>
  <si>
    <t>03 Pension Credit Total</t>
  </si>
  <si>
    <t>P Payment and repayment</t>
  </si>
  <si>
    <t>Y Claiming process</t>
  </si>
  <si>
    <t>E Appeals</t>
  </si>
  <si>
    <t>G Discretionary payments</t>
  </si>
  <si>
    <t>M social rented sector restrictions (under-occupation)</t>
  </si>
  <si>
    <t>PC LHA rent restrictions</t>
  </si>
  <si>
    <t>T Non-dependent deductions</t>
  </si>
  <si>
    <t>07 Housing Benefit Total</t>
  </si>
  <si>
    <t>08 Child Benefit Total</t>
  </si>
  <si>
    <t>A Eligib, entitl &amp; calc - both CTC and WTC or CTC only</t>
  </si>
  <si>
    <t>AA Eligib., entitl., calc. - WTC only</t>
  </si>
  <si>
    <t>AC Eligib,entitl,calc. Childcare element - WTC</t>
  </si>
  <si>
    <t>AD Eligib,entitl,calc. Disab. el. - CTC or WTC</t>
  </si>
  <si>
    <t>H Renewals and finalisation</t>
  </si>
  <si>
    <t>K Change of circumstances</t>
  </si>
  <si>
    <t>10 Working &amp; Child Tax Credits Total</t>
  </si>
  <si>
    <t>D Change of circumstances</t>
  </si>
  <si>
    <t>DA Civil penalties</t>
  </si>
  <si>
    <t>G Sanctions and hardship loans/payments</t>
  </si>
  <si>
    <t>H Housing costs (home owners)</t>
  </si>
  <si>
    <t>M Work focussed interviews</t>
  </si>
  <si>
    <t>A Obtaining an NI number</t>
  </si>
  <si>
    <t>D Contributions</t>
  </si>
  <si>
    <t>E Credits</t>
  </si>
  <si>
    <t>12 National Insurance Total</t>
  </si>
  <si>
    <t>13 State Retirement Pension Total</t>
  </si>
  <si>
    <t>A Eligibility - care adult</t>
  </si>
  <si>
    <t>AA Eligibility - care child</t>
  </si>
  <si>
    <t>AC Eligibility - mobility child</t>
  </si>
  <si>
    <t>H Renewals &amp; reviews</t>
  </si>
  <si>
    <t>15 Disability Living Allowance Total</t>
  </si>
  <si>
    <t>A Eligibility</t>
  </si>
  <si>
    <t>17 Attendance Allowance Total</t>
  </si>
  <si>
    <t>18 Carers Allowance Total</t>
  </si>
  <si>
    <t>AA 12 month limit to contribution-based ESA</t>
  </si>
  <si>
    <t>DC No money whilst waiting for reconsideration</t>
  </si>
  <si>
    <t>G Housing costs</t>
  </si>
  <si>
    <t>GG Complaints</t>
  </si>
  <si>
    <t>H Transition from incapacity benefit</t>
  </si>
  <si>
    <t>M Work-focusd interviews</t>
  </si>
  <si>
    <t>MA The Work Programme</t>
  </si>
  <si>
    <t>P Additional evidence (medical or other)</t>
  </si>
  <si>
    <t>Q Work capability assessment: face to face</t>
  </si>
  <si>
    <t>R Work capability assessment: paper based</t>
  </si>
  <si>
    <t>T Direct deductions</t>
  </si>
  <si>
    <t>U Incorrect group allocation</t>
  </si>
  <si>
    <t>V Permitted work</t>
  </si>
  <si>
    <t>19 Employment Support Allowance Total</t>
  </si>
  <si>
    <t>AB Eligibility for child care costs</t>
  </si>
  <si>
    <t>AC Eligibility to disability elements</t>
  </si>
  <si>
    <t>HA Rental - discretionary housing payments</t>
  </si>
  <si>
    <t>HC Rental element - social rented sector restrictions (under occupation)</t>
  </si>
  <si>
    <t>HD Rental element - LHA restrictions</t>
  </si>
  <si>
    <t>HE Rental element - non-dependent deductions</t>
  </si>
  <si>
    <t>K Sanctions and hardship loans/payments</t>
  </si>
  <si>
    <t>P APA - frequency</t>
  </si>
  <si>
    <t>20 Universal credit Total</t>
  </si>
  <si>
    <t>A Eligibility - daily living</t>
  </si>
  <si>
    <t>AB Eligibility - DLA reassessment</t>
  </si>
  <si>
    <t>M Motability</t>
  </si>
  <si>
    <t>Q Additional evidence (medical or other)</t>
  </si>
  <si>
    <t>U Face to face assessment</t>
  </si>
  <si>
    <t>A Eligibility - crisis</t>
  </si>
  <si>
    <t>AA Eligibility - help with furniture</t>
  </si>
  <si>
    <t>E Appeals and reviews</t>
  </si>
  <si>
    <t>22 Localised social welfare Total</t>
  </si>
  <si>
    <t>A Entitlement working age</t>
  </si>
  <si>
    <t>AA Entitlement pension age</t>
  </si>
  <si>
    <t>E Challenging a decision</t>
  </si>
  <si>
    <t>23 Council tax reduction Total</t>
  </si>
  <si>
    <t>A Calculation - eligibility</t>
  </si>
  <si>
    <t>24 Benefit cap Total</t>
  </si>
  <si>
    <t>DW DWP</t>
  </si>
  <si>
    <t>26 Complaints Total</t>
  </si>
  <si>
    <t>FA Free prescriptions</t>
  </si>
  <si>
    <t>FB Free dental care</t>
  </si>
  <si>
    <t>FC Free optical care</t>
  </si>
  <si>
    <t>FD Free school meals</t>
  </si>
  <si>
    <t>27 Passported benefits Total</t>
  </si>
  <si>
    <t>B Maternity Allowance</t>
  </si>
  <si>
    <t>C Bereavement benefits</t>
  </si>
  <si>
    <t>D Habitual residence and right to reside</t>
  </si>
  <si>
    <t>E Industrial injuries benefit</t>
  </si>
  <si>
    <t>H War Pensions</t>
  </si>
  <si>
    <t>J Social Fund funeral payments</t>
  </si>
  <si>
    <t>K Sure Start maternity grants</t>
  </si>
  <si>
    <t>L Appointees</t>
  </si>
  <si>
    <t>M Short term benefit advance</t>
  </si>
  <si>
    <t>N EU migrants access to benefits</t>
  </si>
  <si>
    <t>Q Non EU-migrants access to benefits</t>
  </si>
  <si>
    <t>R Guardian's Allowance</t>
  </si>
  <si>
    <t>U Fee charging benefits advice</t>
  </si>
  <si>
    <t>C Payment</t>
  </si>
  <si>
    <t>E Delay/non-supply</t>
  </si>
  <si>
    <t>F Faulty, dangerous &amp; unsafe goods</t>
  </si>
  <si>
    <t>02 Private sales &amp; internet auctions Total</t>
  </si>
  <si>
    <t>B Unfair practices by trader, including selling</t>
  </si>
  <si>
    <t>C Costs and deposits</t>
  </si>
  <si>
    <t>D Cancellation &amp; withdrawal</t>
  </si>
  <si>
    <t>F Faulty, dangerous &amp; unsafe services</t>
  </si>
  <si>
    <t>K Guarantees &amp; warranties</t>
  </si>
  <si>
    <t>03 Building repairs &amp; improvements Total</t>
  </si>
  <si>
    <t>04 Double glazing &amp; associated products Total</t>
  </si>
  <si>
    <t>05 Furnishings &amp; floor coverings Total</t>
  </si>
  <si>
    <t>06 Electrical appliances &amp; repairs Total</t>
  </si>
  <si>
    <t>F Quality of courses</t>
  </si>
  <si>
    <t>09 Personal Development Courses (incl IT) Total</t>
  </si>
  <si>
    <t>10 Disability aids &amp; adaptations Total</t>
  </si>
  <si>
    <t>F Faulty, dangerous &amp; unsafe vehicles</t>
  </si>
  <si>
    <t>L Logbook and MOT certificates</t>
  </si>
  <si>
    <t>12 Second hand vehicles Total</t>
  </si>
  <si>
    <t>E Delays in delivery of service</t>
  </si>
  <si>
    <t>13 Vehicle repairs/servicing Total</t>
  </si>
  <si>
    <t>14 Food &amp; Drink Total</t>
  </si>
  <si>
    <t>15 Health gym &amp; sports club memberships Total</t>
  </si>
  <si>
    <t>A Identity fraud</t>
  </si>
  <si>
    <t>B Phishing and other banking scams</t>
  </si>
  <si>
    <t>G Investment scams and pyramid schemes</t>
  </si>
  <si>
    <t>H Internet scams (inc auctions)</t>
  </si>
  <si>
    <t>Q Up-front fee scams</t>
  </si>
  <si>
    <t>S Reporting to Trading Standards/Action Fraud</t>
  </si>
  <si>
    <t>17 Fraud and scams Total</t>
  </si>
  <si>
    <t>C Finance</t>
  </si>
  <si>
    <t>D Complaints and redress</t>
  </si>
  <si>
    <t>E Marketing and sellilng</t>
  </si>
  <si>
    <t>18 Energy company obligation (ECO) Total</t>
  </si>
  <si>
    <t>E Assessments and costs</t>
  </si>
  <si>
    <t>GC - other energy efficiency measure - heating system</t>
  </si>
  <si>
    <t>R Complaints and redress</t>
  </si>
  <si>
    <t>22 Energy efficiency measures (non-ECO) Total</t>
  </si>
  <si>
    <t>F Faulty, dangerous &amp; unsafe goods/installation</t>
  </si>
  <si>
    <t>G problems with servicing contracts</t>
  </si>
  <si>
    <t>23 Heating systems installation and servicing Total</t>
  </si>
  <si>
    <t>C Costs and payment methods</t>
  </si>
  <si>
    <t>24 Culture and entertainment (theatre, events, festivals, concerts, cinema) Total</t>
  </si>
  <si>
    <t>25 Digital goods and services (apps, e-books, downloads, streaming, cloud storage) Total</t>
  </si>
  <si>
    <t>A Vets &amp; Pets</t>
  </si>
  <si>
    <t>B Estate Agents / Letting Agents</t>
  </si>
  <si>
    <t>F Other household goods &amp; services</t>
  </si>
  <si>
    <t>P Priority services and discount/loyalty schemes</t>
  </si>
  <si>
    <t>S Betting &amp; gambling</t>
  </si>
  <si>
    <t>99 Other goods &amp; services Total</t>
  </si>
  <si>
    <t>E Eviction for arrears</t>
  </si>
  <si>
    <t>F Shortfall after sale</t>
  </si>
  <si>
    <t>E Repossession of goods</t>
  </si>
  <si>
    <t>M Default charges</t>
  </si>
  <si>
    <t>T Termination</t>
  </si>
  <si>
    <t>03 Hire purchase arrears Total</t>
  </si>
  <si>
    <t>D Disconnection of supply</t>
  </si>
  <si>
    <t>DA self disconnection - prepayment meter</t>
  </si>
  <si>
    <t>E Court claim &amp; enforcement</t>
  </si>
  <si>
    <t>PA Pre-payment meter fitted to pay off arrears</t>
  </si>
  <si>
    <t>07 Rent arrears -  housing associations Total</t>
  </si>
  <si>
    <t>08 Rent arrears - private landlords Total</t>
  </si>
  <si>
    <t>C Liability order summons/hearing</t>
  </si>
  <si>
    <t>EA Right of LA to enforce debt by bailiff/enforcement officer</t>
  </si>
  <si>
    <t>EB Bailiff enforcement - fees and charges</t>
  </si>
  <si>
    <t>ED Bailiff enforcement - vulnerable debtors</t>
  </si>
  <si>
    <t>EF Bailiff enforcement - complaints and redress</t>
  </si>
  <si>
    <t>EG Bailiff enforcement - taking control of goods</t>
  </si>
  <si>
    <t>EH Bailiff enforcement - rights of entry</t>
  </si>
  <si>
    <t>EZ Bailiff enforcement - other</t>
  </si>
  <si>
    <t>K Direct deductions from benefits</t>
  </si>
  <si>
    <t>F Other methods of enforcement</t>
  </si>
  <si>
    <t>K Direct deductions from benefit</t>
  </si>
  <si>
    <t>10 Mag. Cts. - fines &amp; comp.ord. arrears Total</t>
  </si>
  <si>
    <t>D Court claim/liability order summons</t>
  </si>
  <si>
    <t>FB Other methods of enforcement</t>
  </si>
  <si>
    <t>11 Maintenance &amp; child maintenance arrears Total</t>
  </si>
  <si>
    <t>L First right of appropriation</t>
  </si>
  <si>
    <t>D Court claim for debt</t>
  </si>
  <si>
    <t>E Enforcement by bailiffs</t>
  </si>
  <si>
    <t>13 Credit, store &amp; charge card debts Total</t>
  </si>
  <si>
    <t>FA Enforcement - charging order &amp; order for sale</t>
  </si>
  <si>
    <t>14 Unsecured personal loan debts Total</t>
  </si>
  <si>
    <t>15 Catalogue &amp; mail order debts Total</t>
  </si>
  <si>
    <t>E Enforcement by bailiffs and high court enforcement officers</t>
  </si>
  <si>
    <t>16 Water supply &amp; sewerage debts Total</t>
  </si>
  <si>
    <t>17 Unpaid parking penalty &amp; cong. chgs. Total</t>
  </si>
  <si>
    <t>A Recoverability of overpayment.</t>
  </si>
  <si>
    <t>C Methods of recovery</t>
  </si>
  <si>
    <t>18 Overpayments of WTC &amp; CTC Total</t>
  </si>
  <si>
    <t>19 Overpayments of IS/JSA/ESA Total</t>
  </si>
  <si>
    <t>20 Overpts. Housing &amp; Council Tax Bens. Total</t>
  </si>
  <si>
    <t>21 Social Fund debts Total</t>
  </si>
  <si>
    <t>22 Payday loan debts Total</t>
  </si>
  <si>
    <t>24 Debts to loan sharks/illegal lenders Total</t>
  </si>
  <si>
    <t>E Enforcement by bailiffs/enforcement officer</t>
  </si>
  <si>
    <t>M Penalties for late payment</t>
  </si>
  <si>
    <t>25 Arrears of income tax, VAT or NI contributions Total</t>
  </si>
  <si>
    <t>26 Overpayment of universal credit Total</t>
  </si>
  <si>
    <t>A Recoverability of overpayment</t>
  </si>
  <si>
    <t>27 Overpayments of other benefits Total</t>
  </si>
  <si>
    <t>AB Liability for debt - guarantor</t>
  </si>
  <si>
    <t>BB Dealing with debt repayments - guarantor</t>
  </si>
  <si>
    <t>28 Guarantor loan debts Total</t>
  </si>
  <si>
    <t>30 Mobile phone debt Total</t>
  </si>
  <si>
    <t>32 Debts to friends and family Total</t>
  </si>
  <si>
    <t>D Court action for debt</t>
  </si>
  <si>
    <t>40 3rd party debt collection excl. bailiffs Total</t>
  </si>
  <si>
    <t>A Implications</t>
  </si>
  <si>
    <t>B Process</t>
  </si>
  <si>
    <t>C Fees and charges</t>
  </si>
  <si>
    <t>D Role of Insolvency Practitioners</t>
  </si>
  <si>
    <t>48 Individual Voluntary Arrangement Total</t>
  </si>
  <si>
    <t>C Eligibility</t>
  </si>
  <si>
    <t>D Process &amp; delay</t>
  </si>
  <si>
    <t>E Fees</t>
  </si>
  <si>
    <t>G Debt Relief Restriction Order</t>
  </si>
  <si>
    <t>J Debts not cleared by DRO</t>
  </si>
  <si>
    <t>B Form Filling</t>
  </si>
  <si>
    <t>H Statutory demands</t>
  </si>
  <si>
    <t>J Debts not cleared by bankruptcy</t>
  </si>
  <si>
    <t>50 Bankruptcy Total</t>
  </si>
  <si>
    <t>L Debts re. self-employment</t>
  </si>
  <si>
    <t>M Former tenancy arrears</t>
  </si>
  <si>
    <t>QA TV licence arrears</t>
  </si>
  <si>
    <t>U MA financial statement advice on self-help</t>
  </si>
  <si>
    <t>V Student loans</t>
  </si>
  <si>
    <t>W Service charge &amp; ground rent arrears</t>
  </si>
  <si>
    <t>A Direct discrimination</t>
  </si>
  <si>
    <t>B Harassment</t>
  </si>
  <si>
    <t>01 Discrimination: Age Total</t>
  </si>
  <si>
    <t>E Reasonable adjustments</t>
  </si>
  <si>
    <t>F Discrimination arising from disability</t>
  </si>
  <si>
    <t>03 Discrimination: Disability excluding Mental Health Total</t>
  </si>
  <si>
    <t>G Public sector equality duty</t>
  </si>
  <si>
    <t>04 Discrimination: Disability Mental health Total</t>
  </si>
  <si>
    <t>09 Discrimination: Pregnancy &amp; maternity Total</t>
  </si>
  <si>
    <t>12 Discrimination: Sex/gender Total</t>
  </si>
  <si>
    <t>13 Discrimination: Sexual orientation Total</t>
  </si>
  <si>
    <t>A Physical</t>
  </si>
  <si>
    <t>B Emotional, psychological</t>
  </si>
  <si>
    <t>30 Domestic abuse: against woman by current/ex male partner Total</t>
  </si>
  <si>
    <t>99 Domestic abuse: other Total</t>
  </si>
  <si>
    <t>A Costs &amp; grants available</t>
  </si>
  <si>
    <t>02 Early years provision Total</t>
  </si>
  <si>
    <t>B Availability of places/admissions &amp; appeals</t>
  </si>
  <si>
    <t>H Exclusion/provision for excl. children</t>
  </si>
  <si>
    <t>J Transport to school</t>
  </si>
  <si>
    <t>K Uniform (including suitability &amp; grants)</t>
  </si>
  <si>
    <t>03 Schools, non-advanced education Total</t>
  </si>
  <si>
    <t>A Costs &amp; grants (including EMA)</t>
  </si>
  <si>
    <t>04 Further Education/6th form colleges Total</t>
  </si>
  <si>
    <t>D Grants &amp; loans</t>
  </si>
  <si>
    <t>A Costs</t>
  </si>
  <si>
    <t>A Business start-up</t>
  </si>
  <si>
    <t>B Employment status</t>
  </si>
  <si>
    <t>03 Self Employment/Business Total</t>
  </si>
  <si>
    <t>A References</t>
  </si>
  <si>
    <t>B Criminal record issues</t>
  </si>
  <si>
    <t>C Employment agencies</t>
  </si>
  <si>
    <t>04 Applying for jobs Total</t>
  </si>
  <si>
    <t>A Contract query</t>
  </si>
  <si>
    <t>B Working hours &amp; breaks</t>
  </si>
  <si>
    <t>C Part time worker discrimination</t>
  </si>
  <si>
    <t>D Agency worker</t>
  </si>
  <si>
    <t>F Flexible Working</t>
  </si>
  <si>
    <t>J Transfer of undertakings</t>
  </si>
  <si>
    <t>L Zero hours contracts</t>
  </si>
  <si>
    <t>P Penalty clauses</t>
  </si>
  <si>
    <t>Q Right to written statement of Ts and Cs</t>
  </si>
  <si>
    <t>S Employment Status</t>
  </si>
  <si>
    <t>05 Terms &amp; Conditions of Employment Total</t>
  </si>
  <si>
    <t>A National Minimum Wage</t>
  </si>
  <si>
    <t>B National Living Wage</t>
  </si>
  <si>
    <t>C Wages+payslips</t>
  </si>
  <si>
    <t>E Sick Leave</t>
  </si>
  <si>
    <t>F Holidays</t>
  </si>
  <si>
    <t>G Occupational pensions</t>
  </si>
  <si>
    <t>J Unlawful deductions</t>
  </si>
  <si>
    <t>L Sick pay (SSP)</t>
  </si>
  <si>
    <t>M Sick pay (CSP)</t>
  </si>
  <si>
    <t>N Non payment of Tax and NI</t>
  </si>
  <si>
    <t>07 Pay &amp; Entitlements Total</t>
  </si>
  <si>
    <t>B Maternity leave</t>
  </si>
  <si>
    <t>C Other maternity rights</t>
  </si>
  <si>
    <t>D Paternity leave &amp; pay</t>
  </si>
  <si>
    <t>F Flexible working</t>
  </si>
  <si>
    <t>G Parental leave</t>
  </si>
  <si>
    <t>H SMP</t>
  </si>
  <si>
    <t>K Shared parental leave and pay</t>
  </si>
  <si>
    <t>08  Parental &amp; Carers rights Total</t>
  </si>
  <si>
    <t>A Grievance procedures</t>
  </si>
  <si>
    <t>B Disciplinary procedures</t>
  </si>
  <si>
    <t>09 Dispute resolution Total</t>
  </si>
  <si>
    <t>A Notice &amp; final pay</t>
  </si>
  <si>
    <t>B Contract commitments</t>
  </si>
  <si>
    <t>C  P45</t>
  </si>
  <si>
    <t>10 Resignation Total</t>
  </si>
  <si>
    <t>A Notice &amp; pay in lieu of notice</t>
  </si>
  <si>
    <t>B Rights including access to written reasons</t>
  </si>
  <si>
    <t>C Unfair dismissal</t>
  </si>
  <si>
    <t>D Constructive Dismissal</t>
  </si>
  <si>
    <t>F Time limits</t>
  </si>
  <si>
    <t>A Employer redundancy pay</t>
  </si>
  <si>
    <t>B Selection for redundancy</t>
  </si>
  <si>
    <t>D Notice</t>
  </si>
  <si>
    <t>E Redundancy payment from NIF</t>
  </si>
  <si>
    <t>12 Redundancy Total</t>
  </si>
  <si>
    <t>B Pre-tribunal settlement (including acas early conciliation)</t>
  </si>
  <si>
    <t>D Procedure</t>
  </si>
  <si>
    <t>E Fees and fee remissions</t>
  </si>
  <si>
    <t>G Early conciliation</t>
  </si>
  <si>
    <t>H Tribunal case management</t>
  </si>
  <si>
    <t>X Recovery of tribunal awards</t>
  </si>
  <si>
    <t>13 Employment tribunals &amp; appeals Total</t>
  </si>
  <si>
    <t>C Training and skills</t>
  </si>
  <si>
    <t>D Lack of suitable jobs</t>
  </si>
  <si>
    <t>14 Access to jobs Total</t>
  </si>
  <si>
    <t>AP Apprenticeships</t>
  </si>
  <si>
    <t>B Harassment &amp; bullying</t>
  </si>
  <si>
    <t>C Trade union issues or industrial action</t>
  </si>
  <si>
    <t>HE Health and safety</t>
  </si>
  <si>
    <t>K Insolvent employer (inc NIF)</t>
  </si>
  <si>
    <t>L Whistleblowing</t>
  </si>
  <si>
    <t>E Opening bank account or POCA</t>
  </si>
  <si>
    <t>G Cash, debit cards &amp; PINS</t>
  </si>
  <si>
    <t>J Interest &amp; other charges</t>
  </si>
  <si>
    <t>L Direct debits &amp; standing orders</t>
  </si>
  <si>
    <t>02 Bank/Building &amp; P/O Accounts Total</t>
  </si>
  <si>
    <t>L Equal liability (s75 CCA)</t>
  </si>
  <si>
    <t>03 Credit/store/charge cards Total</t>
  </si>
  <si>
    <t>M Equity release</t>
  </si>
  <si>
    <t>N Advice on options</t>
  </si>
  <si>
    <t>04 Mortgages &amp; secured loans Total</t>
  </si>
  <si>
    <t>B Selling &amp; lending</t>
  </si>
  <si>
    <t>05 Loans - unsecured Total</t>
  </si>
  <si>
    <t>B Selling methods including advertising</t>
  </si>
  <si>
    <t>J Refusal of claim</t>
  </si>
  <si>
    <t>10 Payment protection insurance Total</t>
  </si>
  <si>
    <t>11 Holiday/travel insurance Total</t>
  </si>
  <si>
    <t>12 Vehicle insurance Total</t>
  </si>
  <si>
    <t>13 Buildings &amp; house contents insurance Total</t>
  </si>
  <si>
    <t>14 Life Insurance Total</t>
  </si>
  <si>
    <t>A Obtaining credit reference file</t>
  </si>
  <si>
    <t>B Checking information on file</t>
  </si>
  <si>
    <t>C Correcting information on file</t>
  </si>
  <si>
    <t>17 Credit Reference Agencies Total</t>
  </si>
  <si>
    <t>B Selling practices</t>
  </si>
  <si>
    <t>J Suitability</t>
  </si>
  <si>
    <t>K Options for pensions pot</t>
  </si>
  <si>
    <t>L Tax implications of choices</t>
  </si>
  <si>
    <t>R Complaints and Redress</t>
  </si>
  <si>
    <t>18 Personal Pensions Total</t>
  </si>
  <si>
    <t>19 Savings and investments Total</t>
  </si>
  <si>
    <t>A Banking</t>
  </si>
  <si>
    <t>B Budgeting and managing money</t>
  </si>
  <si>
    <t>D Dealing with and understanding bills</t>
  </si>
  <si>
    <t>F Getting the best deals: energy</t>
  </si>
  <si>
    <t>G Getting the best deals: water</t>
  </si>
  <si>
    <t>H Getting the best deals: phones, TV, internet &amp; other</t>
  </si>
  <si>
    <t>K Insurance and protection</t>
  </si>
  <si>
    <t>L Pensions and annuities</t>
  </si>
  <si>
    <t>O Switching bank accounts</t>
  </si>
  <si>
    <t>S Priority debts</t>
  </si>
  <si>
    <t>T Non-priority debts</t>
  </si>
  <si>
    <t>W Reducing expenditure/maximising income</t>
  </si>
  <si>
    <t>20 Financial capability Total</t>
  </si>
  <si>
    <t>A Quality of advice</t>
  </si>
  <si>
    <t>22 Independent Financial Adviser Total</t>
  </si>
  <si>
    <t>A Pension Wise</t>
  </si>
  <si>
    <t>D Unsolicited calls or suspected scams</t>
  </si>
  <si>
    <t>30 Pension Wise Total</t>
  </si>
  <si>
    <t>J Credit union services</t>
  </si>
  <si>
    <t>V Other types of insurance</t>
  </si>
  <si>
    <t>99 Other credit, fin. &amp; insurance issues Total</t>
  </si>
  <si>
    <t>A Waiting lists and appointments</t>
  </si>
  <si>
    <t>B Quality of diagnosis/care/treatment</t>
  </si>
  <si>
    <t>D Communication/information to patients</t>
  </si>
  <si>
    <t>F Complaints</t>
  </si>
  <si>
    <t>S Discharge &amp; aftercare</t>
  </si>
  <si>
    <t>03 Hospital Services (non-MH) Total</t>
  </si>
  <si>
    <t>N Admission under section</t>
  </si>
  <si>
    <t>04 Hospital services - Mental Health Total</t>
  </si>
  <si>
    <t>A Registration with GPs</t>
  </si>
  <si>
    <t>H Personal records</t>
  </si>
  <si>
    <t>K GP charges</t>
  </si>
  <si>
    <t>M Issues with medication</t>
  </si>
  <si>
    <t>P Prescription from onsite dispensing chemist</t>
  </si>
  <si>
    <t>05 General Medical Practice Total</t>
  </si>
  <si>
    <t>C Charges</t>
  </si>
  <si>
    <t>N NHS Provision</t>
  </si>
  <si>
    <t>U Self-funding issues</t>
  </si>
  <si>
    <t>06 Residential Care Total</t>
  </si>
  <si>
    <t>A Eligibility criteria and assessment of need</t>
  </si>
  <si>
    <t>G Liaison with other agencies</t>
  </si>
  <si>
    <t>K Charges &amp; payments</t>
  </si>
  <si>
    <t>R Challenging community care decisions</t>
  </si>
  <si>
    <t>07 Community Care (non-MH) Total</t>
  </si>
  <si>
    <t>B Quality of care</t>
  </si>
  <si>
    <t>C CMHT Support Services</t>
  </si>
  <si>
    <t>P Personal care budget</t>
  </si>
  <si>
    <t>Y Young persons (18-24) provision</t>
  </si>
  <si>
    <t>08 Community Care - Mental Health Total</t>
  </si>
  <si>
    <t>A Access to NHS dentistry</t>
  </si>
  <si>
    <t>N NHS Charges</t>
  </si>
  <si>
    <t>09 Dentists Total</t>
  </si>
  <si>
    <t>A NHS Low Income Scheme</t>
  </si>
  <si>
    <t>B NHS Prescription charges</t>
  </si>
  <si>
    <t>D NHS Dental charges</t>
  </si>
  <si>
    <t>E NHS travel to hospital scheme</t>
  </si>
  <si>
    <t>G Healthy Start</t>
  </si>
  <si>
    <t>R NHS Refunds</t>
  </si>
  <si>
    <t>W Form filling &amp; checking</t>
  </si>
  <si>
    <t>10 NHS costs/charges Total</t>
  </si>
  <si>
    <t>AT Doctors</t>
  </si>
  <si>
    <t>80 Health Watch - General Total</t>
  </si>
  <si>
    <t>81 Health Watch - Hospital Service Total</t>
  </si>
  <si>
    <t>C Care at Home</t>
  </si>
  <si>
    <t>D Care Assessments</t>
  </si>
  <si>
    <t>F Day Care (Social Care Services)</t>
  </si>
  <si>
    <t>N Assessment</t>
  </si>
  <si>
    <t>O Children's Services</t>
  </si>
  <si>
    <t>82 Health Watch - Social Care Service Total</t>
  </si>
  <si>
    <t>C Community Nursing</t>
  </si>
  <si>
    <t>83 Health Watch - Other Service Total</t>
  </si>
  <si>
    <t>A Child and Adult Mental Health Services (Other Services)</t>
  </si>
  <si>
    <t>84 Health Watch - Childrens Services Total</t>
  </si>
  <si>
    <t>E Counselling services</t>
  </si>
  <si>
    <t>F Rehabilitation and addiction support services</t>
  </si>
  <si>
    <t>99 Other health &amp; community care issues Total</t>
  </si>
  <si>
    <t>A Relatives/friends unable/unwilling to house</t>
  </si>
  <si>
    <t>B Relationship breakdown (excluding divorce)</t>
  </si>
  <si>
    <t>D Harassment/illegal eviction</t>
  </si>
  <si>
    <t>F LA possession action</t>
  </si>
  <si>
    <t>H Private landlord possession action</t>
  </si>
  <si>
    <t>M LA won't re-house permanently</t>
  </si>
  <si>
    <t>N Anti-social behaviour</t>
  </si>
  <si>
    <t>02 Actual homelessness Total</t>
  </si>
  <si>
    <t>C Domestic violence</t>
  </si>
  <si>
    <t>E Mortgage/secured loan possession</t>
  </si>
  <si>
    <t>G Housing association possession action</t>
  </si>
  <si>
    <t>03 Threatened homelessness Total</t>
  </si>
  <si>
    <t>A Processes, procedures and assessments</t>
  </si>
  <si>
    <t>B Homelessness assessments</t>
  </si>
  <si>
    <t>C Homelessness provision</t>
  </si>
  <si>
    <t>E Reviews, appeals and complaints</t>
  </si>
  <si>
    <t>F Housing options/prevention</t>
  </si>
  <si>
    <t>04 LA homelessness service Total</t>
  </si>
  <si>
    <t>A Emergency accommodation</t>
  </si>
  <si>
    <t>B Council/HA allocations/transfers/exchanges</t>
  </si>
  <si>
    <t>CA Finding and securing private rented sector accommodation</t>
  </si>
  <si>
    <t>CB Deposit schemes</t>
  </si>
  <si>
    <t>CC Refusal due to housing benefit</t>
  </si>
  <si>
    <t>E Right to buy</t>
  </si>
  <si>
    <t>G Shared ownership</t>
  </si>
  <si>
    <t>H Sheltered &amp; supported housing</t>
  </si>
  <si>
    <t>05 Access to &amp; provision of accomm. Total</t>
  </si>
  <si>
    <t>A Rents &amp; other charges</t>
  </si>
  <si>
    <t>B Repairs/Maintenance</t>
  </si>
  <si>
    <t>C Quality of service</t>
  </si>
  <si>
    <t>D Suitability of accommodation</t>
  </si>
  <si>
    <t>E Security of tenure</t>
  </si>
  <si>
    <t>F Succession rights</t>
  </si>
  <si>
    <t>J Housing stock transfer</t>
  </si>
  <si>
    <t>P Possession action (not for arrears)</t>
  </si>
  <si>
    <t>S Right to buy</t>
  </si>
  <si>
    <t>06 Local Authority housing Total</t>
  </si>
  <si>
    <t>Q Adaptations for disabled people</t>
  </si>
  <si>
    <t>07 Housing association property Total</t>
  </si>
  <si>
    <t>AA Rents</t>
  </si>
  <si>
    <t>F Problems with letting agencies</t>
  </si>
  <si>
    <t>HA Cost of deposits / rent in advance</t>
  </si>
  <si>
    <t>HB  Tenancy deposit protection</t>
  </si>
  <si>
    <t>K Harassment by landlord</t>
  </si>
  <si>
    <t>KA Illegal eviction by landlord</t>
  </si>
  <si>
    <t>P Possession action (not arrears)</t>
  </si>
  <si>
    <t>R Disrepair Evictions</t>
  </si>
  <si>
    <t>08 Private sector rented property Total</t>
  </si>
  <si>
    <t>A Service charges/ground rent (lease holders)</t>
  </si>
  <si>
    <t>G Renting out room/property</t>
  </si>
  <si>
    <t>J improvement grants</t>
  </si>
  <si>
    <t>P Sale &amp; rent back schemes</t>
  </si>
  <si>
    <t>09 Owner occupier property Total</t>
  </si>
  <si>
    <t>A Neighbour issues</t>
  </si>
  <si>
    <t>D Environmental issues</t>
  </si>
  <si>
    <t>E Boundary disputes</t>
  </si>
  <si>
    <t>10 Environmental &amp; neighbour issues Total</t>
  </si>
  <si>
    <t>A Rights of non-householders</t>
  </si>
  <si>
    <t>B Enquiries from landlords</t>
  </si>
  <si>
    <t>E Other landlord issues</t>
  </si>
  <si>
    <t>F Tied accommodation</t>
  </si>
  <si>
    <t>H Travellers</t>
  </si>
  <si>
    <t>J Squatters</t>
  </si>
  <si>
    <t>L Mobile homes (not Travellers)</t>
  </si>
  <si>
    <t>M Prisoners/ex-prisoners housing issues</t>
  </si>
  <si>
    <t>99 Other housing issues Total</t>
  </si>
  <si>
    <t>A Process of applying for/claiming</t>
  </si>
  <si>
    <t>B Poor administration, delays &amp; errors</t>
  </si>
  <si>
    <t>C Support</t>
  </si>
  <si>
    <t>F Challenging asylum decisions</t>
  </si>
  <si>
    <t>02 Asylum seekers Total</t>
  </si>
  <si>
    <t>A Applying for entry clearance</t>
  </si>
  <si>
    <t>C Rights in the UK</t>
  </si>
  <si>
    <t>F Challenging decisions</t>
  </si>
  <si>
    <t>J Staying longer/changing status</t>
  </si>
  <si>
    <t>K Travel documents</t>
  </si>
  <si>
    <t>N No recourse to public funds</t>
  </si>
  <si>
    <t>04 Family, dependents &amp; partners Total</t>
  </si>
  <si>
    <t>D Staying longer/changing status</t>
  </si>
  <si>
    <t>05 Visitors Total</t>
  </si>
  <si>
    <t>06 Workers Total</t>
  </si>
  <si>
    <t>07 Students Total</t>
  </si>
  <si>
    <t>A Qualifying &amp; applying</t>
  </si>
  <si>
    <t>C Costs</t>
  </si>
  <si>
    <t>D Knowledge of life in the UK test</t>
  </si>
  <si>
    <t>R Registration and naturalisation</t>
  </si>
  <si>
    <t>08 Nationality/citizenship Total</t>
  </si>
  <si>
    <t>A Section 4 support</t>
  </si>
  <si>
    <t>D Destitute/homeless</t>
  </si>
  <si>
    <t>09 Failed asylum seekers Total</t>
  </si>
  <si>
    <t>C Travel documents</t>
  </si>
  <si>
    <t>D No Recourse to public funds</t>
  </si>
  <si>
    <t>99 Other issues Total</t>
  </si>
  <si>
    <t>B Court processes and administration</t>
  </si>
  <si>
    <t>E Decisions, sentencing and appeals</t>
  </si>
  <si>
    <t>G Fines and compensation orders</t>
  </si>
  <si>
    <t>02 Magistrates Court proceedings Total</t>
  </si>
  <si>
    <t>C Costs &amp; Fees (including remission of fees)</t>
  </si>
  <si>
    <t>D form filling and checking</t>
  </si>
  <si>
    <t>E Decisions and appeals</t>
  </si>
  <si>
    <t>G Small Claims processes</t>
  </si>
  <si>
    <t>H Advice to client on representing self in court</t>
  </si>
  <si>
    <t>03 County &amp; High Court proceedings Total</t>
  </si>
  <si>
    <t>A Eligibility and scope</t>
  </si>
  <si>
    <t>C finding a legal aid lawyer</t>
  </si>
  <si>
    <t>05 Legal aid Total</t>
  </si>
  <si>
    <t>D Complaints &amp; redress</t>
  </si>
  <si>
    <t>06 Solicitors/barristers Total</t>
  </si>
  <si>
    <t>B Behaviour of police</t>
  </si>
  <si>
    <t>07 Police Total</t>
  </si>
  <si>
    <t>A Power of attorney</t>
  </si>
  <si>
    <t>B Public guardian and court of protection</t>
  </si>
  <si>
    <t>10 Capacity to act Total</t>
  </si>
  <si>
    <t>A Injunctions</t>
  </si>
  <si>
    <t>B Divorce, ancillary relief, dissolution</t>
  </si>
  <si>
    <t>D Contact</t>
  </si>
  <si>
    <t>11 Personal-related court proceedings Total</t>
  </si>
  <si>
    <t>A Reporting a crime</t>
  </si>
  <si>
    <t>B Arrest and criminal charges</t>
  </si>
  <si>
    <t>D Cautions and fixed penalties</t>
  </si>
  <si>
    <t>F Crimes against the person</t>
  </si>
  <si>
    <t>J Court procedure, sentencing and appeals</t>
  </si>
  <si>
    <t>L Compensation for victims</t>
  </si>
  <si>
    <t>M Support for victims</t>
  </si>
  <si>
    <t>P Prisoners</t>
  </si>
  <si>
    <t>Q Probation</t>
  </si>
  <si>
    <t>12 Criminal justice Total</t>
  </si>
  <si>
    <t>H Change of name</t>
  </si>
  <si>
    <t>K Access to information</t>
  </si>
  <si>
    <t>L Data Protection</t>
  </si>
  <si>
    <t>R Personal injuries compensation</t>
  </si>
  <si>
    <t>A Applications for charitable support</t>
  </si>
  <si>
    <t>B Receipt of charitable support</t>
  </si>
  <si>
    <t>E Food Banks</t>
  </si>
  <si>
    <t>F Support in kind (clothes, furniture, etc)</t>
  </si>
  <si>
    <t>07 Charitable support Total</t>
  </si>
  <si>
    <t>D Local Authority service complaints</t>
  </si>
  <si>
    <t>E Commercial properties</t>
  </si>
  <si>
    <t>H Elections &amp; Electoral Roll</t>
  </si>
  <si>
    <t>L Animals</t>
  </si>
  <si>
    <t>G Marriage</t>
  </si>
  <si>
    <t>H Civil partnerships</t>
  </si>
  <si>
    <t>J Cohabitation</t>
  </si>
  <si>
    <t>02 Marriage, cohabitation, civil partnership Total</t>
  </si>
  <si>
    <t>C Local authority/social services</t>
  </si>
  <si>
    <t>E Complaints</t>
  </si>
  <si>
    <t>05 Social Services &amp; support Total</t>
  </si>
  <si>
    <t>A Financial liabilities &amp; settlements</t>
  </si>
  <si>
    <t>B Maintenance issues (non-child support)</t>
  </si>
  <si>
    <t>C Housing issues</t>
  </si>
  <si>
    <t>D Mediation</t>
  </si>
  <si>
    <t>E Sep./div.: foreign marriages/other cultures</t>
  </si>
  <si>
    <t>F General advice - divorce, sep., dissolution</t>
  </si>
  <si>
    <t>06 Divorce, separation, dissolution Total</t>
  </si>
  <si>
    <t>A Child minding &amp; childcare</t>
  </si>
  <si>
    <t>B Residence issues</t>
  </si>
  <si>
    <t>C Contact with parents &amp; other relatives</t>
  </si>
  <si>
    <t>K Child protection (including LA care)</t>
  </si>
  <si>
    <t>L Adoption</t>
  </si>
  <si>
    <t>N Abuse</t>
  </si>
  <si>
    <t>R  Unmarried father rights &amp; responsibilities</t>
  </si>
  <si>
    <t>07 Children Total</t>
  </si>
  <si>
    <t>B Calculation</t>
  </si>
  <si>
    <t>H Complaints (including external review)</t>
  </si>
  <si>
    <t>J Eligibility</t>
  </si>
  <si>
    <t>K Payments, including collection by CSA/CMS</t>
  </si>
  <si>
    <t>M Disputes and appeals</t>
  </si>
  <si>
    <t>08 Child maintenance: resident parent &amp; family Total</t>
  </si>
  <si>
    <t>09 Child maintenance: non-res. parent &amp; family Total</t>
  </si>
  <si>
    <t>A Execution of wills, including probate, forms and procedures</t>
  </si>
  <si>
    <t>C Making a will</t>
  </si>
  <si>
    <t>D Intestacy</t>
  </si>
  <si>
    <t>E Will writing services</t>
  </si>
  <si>
    <t>10 Death &amp; Bereavement Total</t>
  </si>
  <si>
    <t>A Birth certificates</t>
  </si>
  <si>
    <t>11 Certificates &amp; proofs of identity Total</t>
  </si>
  <si>
    <t>A Poor administration</t>
  </si>
  <si>
    <t>B Income tax coding &amp; allowances</t>
  </si>
  <si>
    <t>C Income tax rebates</t>
  </si>
  <si>
    <t>E Self assessment &amp; tax returns</t>
  </si>
  <si>
    <t>F Queries re. taxable income</t>
  </si>
  <si>
    <t>G Complaints including external review</t>
  </si>
  <si>
    <t>02 Income Tax Total</t>
  </si>
  <si>
    <t>B Banding/calculation</t>
  </si>
  <si>
    <t>D Discounts and exempt dwellings</t>
  </si>
  <si>
    <t>P Payment methods</t>
  </si>
  <si>
    <t>03 Council Tax Total</t>
  </si>
  <si>
    <t>A Inheritance tax</t>
  </si>
  <si>
    <t>V Vehicle excise duty</t>
  </si>
  <si>
    <t>J Concessions</t>
  </si>
  <si>
    <t>02 Public transport Total</t>
  </si>
  <si>
    <t>C Driving licences</t>
  </si>
  <si>
    <t>E Driving offences</t>
  </si>
  <si>
    <t>G Road tax</t>
  </si>
  <si>
    <t>03 Driving Total</t>
  </si>
  <si>
    <t>D Cancellation</t>
  </si>
  <si>
    <t>06 Package holidays Total</t>
  </si>
  <si>
    <t>A Terms and conditions including signage</t>
  </si>
  <si>
    <t>B Liability for payment</t>
  </si>
  <si>
    <t>D Enforcement of parking company claims</t>
  </si>
  <si>
    <t>R Complaints and redress (inc appeals to POPLA and IAS)</t>
  </si>
  <si>
    <t>09 Parking on private land Total</t>
  </si>
  <si>
    <t>B Enforcement methods &amp; techniques</t>
  </si>
  <si>
    <t>J Blue badge, charge exemptions</t>
  </si>
  <si>
    <t>10 Parking charges on public land/on-street parking Total</t>
  </si>
  <si>
    <t>A Hotels/other holiday accommodation</t>
  </si>
  <si>
    <t>D Air travel</t>
  </si>
  <si>
    <t>99 Other travel, transport &amp; holiday Total</t>
  </si>
  <si>
    <t>B Selling methods and switching supplier</t>
  </si>
  <si>
    <t>C Billing/meter reading</t>
  </si>
  <si>
    <t>D Methods of payment</t>
  </si>
  <si>
    <t>E Cancellation &amp; withdrawal</t>
  </si>
  <si>
    <t>G Issues with supply</t>
  </si>
  <si>
    <t>K Customer service</t>
  </si>
  <si>
    <t>L Price or tariff - gas or elec</t>
  </si>
  <si>
    <t>N Green Deal payments</t>
  </si>
  <si>
    <t>O Warm Home discount</t>
  </si>
  <si>
    <t>P Priority Services Register</t>
  </si>
  <si>
    <t>SA Smart meter - installation</t>
  </si>
  <si>
    <t>SZ Smart meter - other</t>
  </si>
  <si>
    <t>02 Fuel (gas, electricity, oil, coal etc.) Total</t>
  </si>
  <si>
    <t>B Water metering</t>
  </si>
  <si>
    <t>C Payment &amp; Billing</t>
  </si>
  <si>
    <t>E Watersure and social tariffs</t>
  </si>
  <si>
    <t>G Supply, including quality</t>
  </si>
  <si>
    <t>03 Water &amp; sewerage Total</t>
  </si>
  <si>
    <t>C Costs/billing/payment</t>
  </si>
  <si>
    <t>04 Telephone landline Total</t>
  </si>
  <si>
    <t>G Problems with handsets</t>
  </si>
  <si>
    <t>05 Mobile phones Total</t>
  </si>
  <si>
    <t>L TV Licensing issues (not debt or fines)</t>
  </si>
  <si>
    <t>06 TV including cable, digital &amp; satellite Total</t>
  </si>
  <si>
    <t>07 Internet &amp; broadband Total</t>
  </si>
  <si>
    <t>A Unsolicited telephone marketing call</t>
  </si>
  <si>
    <t>08 Unwanted communications Total</t>
  </si>
  <si>
    <t>D Postal and mail services</t>
  </si>
  <si>
    <t>99 Other communications &amp; utility issues Total</t>
  </si>
  <si>
    <t>Banbury</t>
  </si>
  <si>
    <t>Barnsley Central</t>
  </si>
  <si>
    <t>Beverley and Holderness</t>
  </si>
  <si>
    <t>Brigg and Goole</t>
  </si>
  <si>
    <t>Coventry North West</t>
  </si>
  <si>
    <t>Darlington</t>
  </si>
  <si>
    <t>Don Valley</t>
  </si>
  <si>
    <t>East Yorkshire</t>
  </si>
  <si>
    <t>Elmet and Rothwell</t>
  </si>
  <si>
    <t>Gateshead</t>
  </si>
  <si>
    <t>Haltemprice and Howden</t>
  </si>
  <si>
    <t>Harrogate and Knaresborough</t>
  </si>
  <si>
    <t>Hastings and Rye</t>
  </si>
  <si>
    <t>Kingston upon Hull East</t>
  </si>
  <si>
    <t>Kingston upon Hull North</t>
  </si>
  <si>
    <t>Kingston upon Hull West and Hessle</t>
  </si>
  <si>
    <t>Leeds North East</t>
  </si>
  <si>
    <t>Leeds North West</t>
  </si>
  <si>
    <t>Lincoln</t>
  </si>
  <si>
    <t>Manchester Central</t>
  </si>
  <si>
    <t>Middlesbrough South and East Cleveland</t>
  </si>
  <si>
    <t>Newark</t>
  </si>
  <si>
    <t>Normanton, Pontefract and Castleford</t>
  </si>
  <si>
    <t>North Durham</t>
  </si>
  <si>
    <t>North East Derbyshire</t>
  </si>
  <si>
    <t>North Tyneside</t>
  </si>
  <si>
    <t>Oldham West and Royton</t>
  </si>
  <si>
    <t>Pendle</t>
  </si>
  <si>
    <t>Plymouth, Moor View</t>
  </si>
  <si>
    <t>Pontypridd</t>
  </si>
  <si>
    <t>Richmond (Yorks)</t>
  </si>
  <si>
    <t>Richmond Park</t>
  </si>
  <si>
    <t>Rochdale</t>
  </si>
  <si>
    <t>Scarborough and Whitby</t>
  </si>
  <si>
    <t>Selby and Ainsty</t>
  </si>
  <si>
    <t>Sheffield, Heeley</t>
  </si>
  <si>
    <t>Shipley</t>
  </si>
  <si>
    <t>Skipton and Ripon</t>
  </si>
  <si>
    <t>St Austell and Newquay</t>
  </si>
  <si>
    <t>Stockton North</t>
  </si>
  <si>
    <t>Stroud</t>
  </si>
  <si>
    <t>Sutton and Cheam</t>
  </si>
  <si>
    <t>Swansea East</t>
  </si>
  <si>
    <t>Tatton</t>
  </si>
  <si>
    <t>Thirsk and Malton</t>
  </si>
  <si>
    <t>Tynemouth</t>
  </si>
  <si>
    <t>York Central</t>
  </si>
  <si>
    <t>York Outer</t>
  </si>
  <si>
    <t>Energy Best Deal Extra</t>
  </si>
  <si>
    <t>MAS DAP - North East</t>
  </si>
  <si>
    <t>MAS DAP - Yorks &amp; Humber</t>
  </si>
  <si>
    <t>Pension Wise</t>
  </si>
  <si>
    <t>Scarborough - Comic Relief</t>
  </si>
  <si>
    <t>York - JRF</t>
  </si>
  <si>
    <t>York - Mind</t>
  </si>
  <si>
    <t>York - Scottish Power</t>
  </si>
  <si>
    <t>York Community Foundation</t>
  </si>
  <si>
    <t>York GP Surgeries</t>
  </si>
  <si>
    <t>York Haxby</t>
  </si>
  <si>
    <t>York Housing Debt Project</t>
  </si>
  <si>
    <t>York Huntington</t>
  </si>
  <si>
    <t>York Tang Hall</t>
  </si>
  <si>
    <t>York Travellers</t>
  </si>
  <si>
    <t>York Wards</t>
  </si>
  <si>
    <t>York Wiggington</t>
  </si>
  <si>
    <t>Barnsley</t>
  </si>
  <si>
    <t>Bassetlaw</t>
  </si>
  <si>
    <t>Bradford</t>
  </si>
  <si>
    <t>Cherwell</t>
  </si>
  <si>
    <t>Cheshire West and Chester</t>
  </si>
  <si>
    <t>Cornwall</t>
  </si>
  <si>
    <t>County Durham</t>
  </si>
  <si>
    <t>Coventry</t>
  </si>
  <si>
    <t>Craven</t>
  </si>
  <si>
    <t>Doncaster</t>
  </si>
  <si>
    <t>East Riding of Yorkshire</t>
  </si>
  <si>
    <t>Hambleton</t>
  </si>
  <si>
    <t>Harrogate</t>
  </si>
  <si>
    <t>Hastings</t>
  </si>
  <si>
    <t>Kingston upon Hull, City of</t>
  </si>
  <si>
    <t>Manchester</t>
  </si>
  <si>
    <t>Middlesbrough</t>
  </si>
  <si>
    <t>Oldham</t>
  </si>
  <si>
    <t>Plymouth</t>
  </si>
  <si>
    <t>Rhondda Cynon Taf</t>
  </si>
  <si>
    <t>Richmond upon Thames</t>
  </si>
  <si>
    <t>Richmondshire</t>
  </si>
  <si>
    <t>Ryedale</t>
  </si>
  <si>
    <t>Scarborough</t>
  </si>
  <si>
    <t>Selby</t>
  </si>
  <si>
    <t>Sheffield</t>
  </si>
  <si>
    <t>Stockton-on-Tees</t>
  </si>
  <si>
    <t>Sutton</t>
  </si>
  <si>
    <t>Swansea</t>
  </si>
  <si>
    <t>Wakefield</t>
  </si>
  <si>
    <t>York</t>
  </si>
  <si>
    <t>Royston</t>
  </si>
  <si>
    <t>Tuxford and Trent</t>
  </si>
  <si>
    <t>Baildon</t>
  </si>
  <si>
    <t>Fringford and Heyfords</t>
  </si>
  <si>
    <t>Shakerley</t>
  </si>
  <si>
    <t>St Blazey</t>
  </si>
  <si>
    <t>Pelton</t>
  </si>
  <si>
    <t>Sherbourne</t>
  </si>
  <si>
    <t>Barden Fell</t>
  </si>
  <si>
    <t>Cowling</t>
  </si>
  <si>
    <t>Glusburn</t>
  </si>
  <si>
    <t>Grassington</t>
  </si>
  <si>
    <t>Hellifield and Long Preston</t>
  </si>
  <si>
    <t>Penyghent</t>
  </si>
  <si>
    <t>Skipton East</t>
  </si>
  <si>
    <t>Skipton North</t>
  </si>
  <si>
    <t>Skipton South</t>
  </si>
  <si>
    <t>Skipton West</t>
  </si>
  <si>
    <t>Sutton-in-Craven</t>
  </si>
  <si>
    <t>Upper Wharfedale</t>
  </si>
  <si>
    <t>West Craven</t>
  </si>
  <si>
    <t>Bank Top &amp; Lascelles</t>
  </si>
  <si>
    <t>Edlington &amp; Warmsworth</t>
  </si>
  <si>
    <t>Beverley Rural</t>
  </si>
  <si>
    <t>Bridlington Central and Old Town</t>
  </si>
  <si>
    <t>Bridlington North</t>
  </si>
  <si>
    <t>Bridlington South</t>
  </si>
  <si>
    <t>Cottingham North</t>
  </si>
  <si>
    <t>Dale</t>
  </si>
  <si>
    <t>Driffield and Rural</t>
  </si>
  <si>
    <t>East Wolds and Coastal</t>
  </si>
  <si>
    <t>Goole North</t>
  </si>
  <si>
    <t>Goole South</t>
  </si>
  <si>
    <t>Hessle</t>
  </si>
  <si>
    <t>Howden</t>
  </si>
  <si>
    <t>Howdenshire</t>
  </si>
  <si>
    <t>Mid Holderness</t>
  </si>
  <si>
    <t>Minster and Woodmansey</t>
  </si>
  <si>
    <t>North Holderness</t>
  </si>
  <si>
    <t>Pocklington Provincial</t>
  </si>
  <si>
    <t>Snaith, Airmyn, Rawcliffe and Marshland</t>
  </si>
  <si>
    <t>South East Holderness</t>
  </si>
  <si>
    <t>South West Holderness</t>
  </si>
  <si>
    <t>Tranby</t>
  </si>
  <si>
    <t>Willerby and Kirk Ella</t>
  </si>
  <si>
    <t>Wolds Weighton</t>
  </si>
  <si>
    <t>Saltwell</t>
  </si>
  <si>
    <t>Appleton Wiske &amp; Smeatons</t>
  </si>
  <si>
    <t>Bagby &amp; Thorntons</t>
  </si>
  <si>
    <t>Bedale</t>
  </si>
  <si>
    <t>Easingwold</t>
  </si>
  <si>
    <t>Great Ayton</t>
  </si>
  <si>
    <t>Huby</t>
  </si>
  <si>
    <t>Morton-on-Swale</t>
  </si>
  <si>
    <t>Northallerton North &amp; Brompton</t>
  </si>
  <si>
    <t>Northallerton South</t>
  </si>
  <si>
    <t>Osmotherley &amp; Swainby</t>
  </si>
  <si>
    <t>Raskelf &amp; White Horse</t>
  </si>
  <si>
    <t>Romanby</t>
  </si>
  <si>
    <t>Sowerby &amp; Topcliffe</t>
  </si>
  <si>
    <t>Stokesley</t>
  </si>
  <si>
    <t>Tanfield</t>
  </si>
  <si>
    <t>Thirsk</t>
  </si>
  <si>
    <t>Bilton</t>
  </si>
  <si>
    <t>Bishop Monkton</t>
  </si>
  <si>
    <t>Boroughbridge</t>
  </si>
  <si>
    <t>Granby</t>
  </si>
  <si>
    <t>High Harrogate</t>
  </si>
  <si>
    <t>Hookstone</t>
  </si>
  <si>
    <t>Kirkby Malzeard</t>
  </si>
  <si>
    <t>Knaresborough East</t>
  </si>
  <si>
    <t>Knaresborough King James</t>
  </si>
  <si>
    <t>Knaresborough Scriven Park</t>
  </si>
  <si>
    <t>Low Harrogate</t>
  </si>
  <si>
    <t>Marston Moor</t>
  </si>
  <si>
    <t>Mashamshire</t>
  </si>
  <si>
    <t>New Park</t>
  </si>
  <si>
    <t>Newby</t>
  </si>
  <si>
    <t>Nidd Valley</t>
  </si>
  <si>
    <t>Ouseburn</t>
  </si>
  <si>
    <t>Pateley Bridge</t>
  </si>
  <si>
    <t>Ribston</t>
  </si>
  <si>
    <t>Ripon Minster</t>
  </si>
  <si>
    <t>Ripon Moorside</t>
  </si>
  <si>
    <t>Ripon Spa</t>
  </si>
  <si>
    <t>Rossett</t>
  </si>
  <si>
    <t>Saltergate</t>
  </si>
  <si>
    <t>Starbeck</t>
  </si>
  <si>
    <t>Stray</t>
  </si>
  <si>
    <t>Wathvale</t>
  </si>
  <si>
    <t>Gensing</t>
  </si>
  <si>
    <t>Avenue</t>
  </si>
  <si>
    <t>Boothferry</t>
  </si>
  <si>
    <t>Bransholme East</t>
  </si>
  <si>
    <t>Bransholme West</t>
  </si>
  <si>
    <t>Bricknell</t>
  </si>
  <si>
    <t>Derringham</t>
  </si>
  <si>
    <t>Drypool</t>
  </si>
  <si>
    <t>Holderness</t>
  </si>
  <si>
    <t>Ings</t>
  </si>
  <si>
    <t>Kings Park</t>
  </si>
  <si>
    <t>Longhill</t>
  </si>
  <si>
    <t>Marfleet</t>
  </si>
  <si>
    <t>Myton</t>
  </si>
  <si>
    <t>Newington</t>
  </si>
  <si>
    <t>Newland</t>
  </si>
  <si>
    <t>Orchard Park and Greenwood</t>
  </si>
  <si>
    <t>Pickering</t>
  </si>
  <si>
    <t>Southcoates East</t>
  </si>
  <si>
    <t>Southcoates West</t>
  </si>
  <si>
    <t>St Andrew's</t>
  </si>
  <si>
    <t>University</t>
  </si>
  <si>
    <t>Adel and Wharfedale</t>
  </si>
  <si>
    <t>Burmantofts and Richmond Hill</t>
  </si>
  <si>
    <t>Moortown</t>
  </si>
  <si>
    <t>Wetherby</t>
  </si>
  <si>
    <t>Abbey</t>
  </si>
  <si>
    <t>Ardwick</t>
  </si>
  <si>
    <t>Ladgate</t>
  </si>
  <si>
    <t>Gosforth Valley</t>
  </si>
  <si>
    <t>Chirton</t>
  </si>
  <si>
    <t>Wallsend</t>
  </si>
  <si>
    <t>Medlock Vale</t>
  </si>
  <si>
    <t>Earby</t>
  </si>
  <si>
    <t>St Budeaux</t>
  </si>
  <si>
    <t>Church Village</t>
  </si>
  <si>
    <t>Kew</t>
  </si>
  <si>
    <t>Brompton-on-Swale and Scorton</t>
  </si>
  <si>
    <t>Catterick</t>
  </si>
  <si>
    <t>Colburn</t>
  </si>
  <si>
    <t>Gilling West</t>
  </si>
  <si>
    <t>Hawes and High Abbotside</t>
  </si>
  <si>
    <t>Hipswell</t>
  </si>
  <si>
    <t>Hornby Castle</t>
  </si>
  <si>
    <t>Lower Wensleydale</t>
  </si>
  <si>
    <t>Middleham</t>
  </si>
  <si>
    <t>Penhill</t>
  </si>
  <si>
    <t>Reeth and Arkengarthdale</t>
  </si>
  <si>
    <t>Richmond Central</t>
  </si>
  <si>
    <t>Richmond East</t>
  </si>
  <si>
    <t>Richmond West</t>
  </si>
  <si>
    <t>Scotton</t>
  </si>
  <si>
    <t>Milkstone and Deeplish</t>
  </si>
  <si>
    <t>Ampleforth</t>
  </si>
  <si>
    <t>Cropton</t>
  </si>
  <si>
    <t>Derwent</t>
  </si>
  <si>
    <t>Helmsley</t>
  </si>
  <si>
    <t>Hovingham</t>
  </si>
  <si>
    <t>Kirkbymoorside</t>
  </si>
  <si>
    <t>Malton</t>
  </si>
  <si>
    <t>Norton East</t>
  </si>
  <si>
    <t>Norton West</t>
  </si>
  <si>
    <t>Pickering East</t>
  </si>
  <si>
    <t>Pickering West</t>
  </si>
  <si>
    <t>Ryedale South West</t>
  </si>
  <si>
    <t>Sherburn</t>
  </si>
  <si>
    <t>Sheriff Hutton</t>
  </si>
  <si>
    <t>Thornton Dale</t>
  </si>
  <si>
    <t>Castle</t>
  </si>
  <si>
    <t>Cayton</t>
  </si>
  <si>
    <t>Derwent Valley</t>
  </si>
  <si>
    <t>Eastfield</t>
  </si>
  <si>
    <t>Esk Valley</t>
  </si>
  <si>
    <t>Falsgrave Park</t>
  </si>
  <si>
    <t>Filey</t>
  </si>
  <si>
    <t>Hertford</t>
  </si>
  <si>
    <t>Lindhead</t>
  </si>
  <si>
    <t>Mayfield</t>
  </si>
  <si>
    <t>Mulgrave</t>
  </si>
  <si>
    <t>North Bay</t>
  </si>
  <si>
    <t>Northstead</t>
  </si>
  <si>
    <t>Ramshill</t>
  </si>
  <si>
    <t>Scalby, Hackness and Staintondale</t>
  </si>
  <si>
    <t>Seamer</t>
  </si>
  <si>
    <t>Stepney</t>
  </si>
  <si>
    <t>Streonshalh</t>
  </si>
  <si>
    <t>Weaponness</t>
  </si>
  <si>
    <t>Whitby West Cliff</t>
  </si>
  <si>
    <t>Woodlands</t>
  </si>
  <si>
    <t>Appleton Roebuck &amp; Church Fenton</t>
  </si>
  <si>
    <t>Barlby Village</t>
  </si>
  <si>
    <t>Brayton</t>
  </si>
  <si>
    <t>Byram &amp; Brotherton</t>
  </si>
  <si>
    <t>Camblesforth &amp; Carlton</t>
  </si>
  <si>
    <t>Cawood &amp; Wistow</t>
  </si>
  <si>
    <t>Eggborough</t>
  </si>
  <si>
    <t>Escrick</t>
  </si>
  <si>
    <t>Monk Fryston</t>
  </si>
  <si>
    <t>Riccall</t>
  </si>
  <si>
    <t>Selby East</t>
  </si>
  <si>
    <t>Selby West</t>
  </si>
  <si>
    <t>Sherburn in Elmet</t>
  </si>
  <si>
    <t>South Milford</t>
  </si>
  <si>
    <t>Tadcaster</t>
  </si>
  <si>
    <t>Thorpe Willoughby</t>
  </si>
  <si>
    <t>Park and Arbourthorne</t>
  </si>
  <si>
    <t>Stroud Valley</t>
  </si>
  <si>
    <t>Sutton Central</t>
  </si>
  <si>
    <t>St. Thomas</t>
  </si>
  <si>
    <t>Walcot and Park North</t>
  </si>
  <si>
    <t>Airedale and Ferry Fryston</t>
  </si>
  <si>
    <t>Castleford Central and Glasshoughton</t>
  </si>
  <si>
    <t>Normanton</t>
  </si>
  <si>
    <t>Acomb</t>
  </si>
  <si>
    <t>Bishopthorpe</t>
  </si>
  <si>
    <t>Clifton</t>
  </si>
  <si>
    <t>Copmanthorpe</t>
  </si>
  <si>
    <t>Dringhouses &amp; Woodthorpe</t>
  </si>
  <si>
    <t>Fishergate</t>
  </si>
  <si>
    <t>Fulford &amp; Heslington</t>
  </si>
  <si>
    <t>Guildhall</t>
  </si>
  <si>
    <t>Haxby &amp; Wigginton</t>
  </si>
  <si>
    <t>Heworth</t>
  </si>
  <si>
    <t>Heworth Without</t>
  </si>
  <si>
    <t>Holgate</t>
  </si>
  <si>
    <t>Hull Road</t>
  </si>
  <si>
    <t>Huntington &amp; New Earswick</t>
  </si>
  <si>
    <t>Huntington &amp;amp; New Earswick</t>
  </si>
  <si>
    <t>Micklegate</t>
  </si>
  <si>
    <t>Osbaldwick &amp; Derwent</t>
  </si>
  <si>
    <t>Rawcliffe &amp; Clifton Without</t>
  </si>
  <si>
    <t>Rural West York</t>
  </si>
  <si>
    <t>Strensall</t>
  </si>
  <si>
    <t>Westfield</t>
  </si>
  <si>
    <t>Wheldrake</t>
  </si>
  <si>
    <t>York &amp; District Citizens Advice Bureau</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</si>
</sst>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quot;£&quot;#,##0"/>
    <numFmt numFmtId="166" formatCode="#,##0.0"/>
    <numFmt numFmtId="167" formatCode="0.0"/>
  </numFmts>
  <fonts count="53">
    <font>
      <sz val="12"/>
      <color theme="1"/>
      <name val="Arial"/>
      <family val="2"/>
    </font>
    <font>
      <sz val="12"/>
      <color theme="1"/>
      <name val="Calibri"/>
      <family val="2"/>
      <scheme val="minor"/>
    </font>
    <font>
      <sz val="12"/>
      <color theme="0"/>
      <name val="Calibri"/>
      <family val="2"/>
      <scheme val="minor"/>
    </font>
    <font>
      <u/>
      <sz val="12"/>
      <color theme="10"/>
      <name val="Arial"/>
      <family val="2"/>
    </font>
    <font>
      <b/>
      <sz val="12"/>
      <color theme="1"/>
      <name val="Arial"/>
      <family val="2"/>
    </font>
    <font>
      <sz val="16"/>
      <color theme="1"/>
      <name val="Calibri"/>
      <family val="2"/>
      <scheme val="minor"/>
    </font>
    <font>
      <sz val="10"/>
      <name val="Calibri"/>
      <family val="2"/>
      <scheme val="minor"/>
    </font>
    <font>
      <sz val="12"/>
      <color rgb="FF000000"/>
      <name val="Open Sans"/>
      <family val="2"/>
    </font>
    <font>
      <b/>
      <sz val="12"/>
      <color rgb="FF000000"/>
      <name val="Open Sans"/>
      <family val="2"/>
    </font>
    <font>
      <sz val="12"/>
      <color theme="1"/>
      <name val="Open Sans"/>
      <family val="2"/>
    </font>
    <font>
      <b/>
      <sz val="12"/>
      <color theme="0"/>
      <name val="Open Sans"/>
      <family val="2"/>
    </font>
    <font>
      <b/>
      <sz val="12"/>
      <color theme="1"/>
      <name val="Open Sans"/>
      <family val="2"/>
    </font>
    <font>
      <sz val="36"/>
      <color theme="0"/>
      <name val="Open Sans"/>
      <family val="2"/>
    </font>
    <font>
      <sz val="12"/>
      <color theme="0"/>
      <name val="Open Sans"/>
      <family val="2"/>
    </font>
    <font>
      <sz val="11"/>
      <name val="Open Sans"/>
      <family val="2"/>
    </font>
    <font>
      <sz val="10"/>
      <name val="Open Sans"/>
      <family val="2"/>
    </font>
    <font>
      <sz val="16"/>
      <color theme="1"/>
      <name val="Open Sans"/>
      <family val="2"/>
    </font>
    <font>
      <b/>
      <sz val="12"/>
      <name val="Open Sans"/>
      <family val="2"/>
    </font>
    <font>
      <sz val="28"/>
      <color theme="3" tint="-0.249977111117893"/>
      <name val="Open Sans"/>
      <family val="2"/>
    </font>
    <font>
      <b/>
      <sz val="12"/>
      <color theme="4"/>
      <name val="Open Sans"/>
      <family val="2"/>
    </font>
    <font>
      <sz val="28"/>
      <color theme="0"/>
      <name val="Open Sans"/>
      <family val="2"/>
    </font>
    <font>
      <b/>
      <sz val="14"/>
      <color theme="1"/>
      <name val="Open Sans"/>
      <family val="2"/>
    </font>
    <font>
      <sz val="14"/>
      <color theme="1"/>
      <name val="Open Sans"/>
      <family val="2"/>
    </font>
    <font>
      <sz val="11"/>
      <color theme="1"/>
      <name val="Open Sans"/>
      <family val="2"/>
    </font>
    <font>
      <b/>
      <sz val="12"/>
      <color rgb="FFFF0000"/>
      <name val="Open Sans"/>
      <family val="2"/>
    </font>
    <font>
      <u/>
      <sz val="12"/>
      <color theme="10"/>
      <name val="Open Sans"/>
      <family val="2"/>
    </font>
    <font>
      <sz val="12"/>
      <color rgb="FFFF0000"/>
      <name val="Open Sans"/>
      <family val="2"/>
    </font>
    <font>
      <b/>
      <sz val="14"/>
      <color theme="0"/>
      <name val="Open Sans"/>
      <family val="2"/>
    </font>
    <font>
      <sz val="12"/>
      <color rgb="FF004B88"/>
      <name val="Open Sans"/>
      <family val="2"/>
    </font>
    <font>
      <b/>
      <sz val="12"/>
      <color rgb="FF004B88"/>
      <name val="Open Sans"/>
      <family val="2"/>
    </font>
    <font>
      <b/>
      <sz val="36"/>
      <color rgb="FF004B88"/>
      <name val="Open Sans"/>
      <family val="2"/>
    </font>
    <font>
      <sz val="10"/>
      <color rgb="FF004B88"/>
      <name val="Open Sans"/>
      <family val="2"/>
    </font>
    <font>
      <b/>
      <sz val="16"/>
      <color theme="1"/>
      <name val="Open Sans"/>
      <family val="2"/>
    </font>
    <font>
      <sz val="9"/>
      <color theme="1"/>
      <name val="Open Sans"/>
      <family val="2"/>
    </font>
    <font>
      <sz val="16"/>
      <color rgb="FF004B88"/>
      <name val="Open Sans"/>
      <family val="2"/>
    </font>
    <font>
      <b/>
      <sz val="16"/>
      <color rgb="FF004B88"/>
      <name val="Open Sans"/>
      <family val="2"/>
    </font>
    <font>
      <b/>
      <sz val="18"/>
      <color rgb="FFFF0000"/>
      <name val="Open Sans"/>
      <family val="2"/>
    </font>
    <font>
      <b/>
      <sz val="18"/>
      <color theme="0"/>
      <name val="Open Sans"/>
      <family val="2"/>
    </font>
    <font>
      <b/>
      <sz val="18"/>
      <color theme="1"/>
      <name val="Open Sans"/>
      <family val="2"/>
    </font>
    <font>
      <b/>
      <u/>
      <sz val="18"/>
      <color theme="0"/>
      <name val="Open Sans"/>
      <family val="2"/>
    </font>
    <font>
      <b/>
      <sz val="28"/>
      <color rgb="FF376092"/>
      <name val="Open Sans"/>
      <family val="2"/>
    </font>
    <font>
      <b/>
      <sz val="28"/>
      <color rgb="FF004B88"/>
      <name val="Open Sans"/>
      <family val="2"/>
    </font>
    <font>
      <b/>
      <sz val="22"/>
      <color rgb="FF376092"/>
      <name val="Open Sans"/>
      <family val="2"/>
    </font>
    <font>
      <sz val="12"/>
      <color theme="1"/>
      <name val="Open Sans"/>
    </font>
    <font>
      <sz val="16"/>
      <color theme="1"/>
      <name val="Open Sans"/>
    </font>
    <font>
      <b/>
      <sz val="12"/>
      <color theme="1"/>
      <name val="Open Sans"/>
    </font>
    <font>
      <b/>
      <sz val="14"/>
      <name val="Open Sans"/>
    </font>
    <font>
      <sz val="14"/>
      <name val="Open Sans"/>
    </font>
    <font>
      <sz val="14"/>
      <color theme="1"/>
      <name val="Open Sans"/>
    </font>
    <font>
      <b/>
      <sz val="14"/>
      <color theme="1"/>
      <name val="Open Sans"/>
    </font>
    <font>
      <sz val="12"/>
      <color theme="0"/>
      <name val="Open Sans"/>
    </font>
    <font>
      <b/>
      <sz val="12"/>
      <color theme="0"/>
      <name val="Open Sans"/>
    </font>
    <font>
      <sz val="12"/>
      <name val="Open Sans"/>
    </font>
  </fonts>
  <fills count="12">
    <fill>
      <patternFill patternType="none"/>
    </fill>
    <fill>
      <patternFill patternType="gray125"/>
    </fill>
    <fill>
      <patternFill patternType="solid">
        <fgColor theme="4" tint="-0.249977111117893"/>
        <bgColor indexed="64"/>
      </patternFill>
    </fill>
    <fill>
      <patternFill patternType="solid">
        <fgColor rgb="FFFBF09F"/>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bgColor indexed="64"/>
      </patternFill>
    </fill>
    <fill>
      <patternFill patternType="solid">
        <fgColor theme="0"/>
        <bgColor indexed="64"/>
      </patternFill>
    </fill>
    <fill>
      <patternFill patternType="solid">
        <fgColor rgb="FF004B88"/>
        <bgColor indexed="64"/>
      </patternFill>
    </fill>
    <fill>
      <patternFill patternType="solid">
        <fgColor rgb="FFFCBB69"/>
        <bgColor indexed="64"/>
      </patternFill>
    </fill>
  </fills>
  <borders count="60">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top style="medium">
        <color indexed="64"/>
      </top>
      <bottom style="thin">
        <color theme="0" tint="-0.14996795556505021"/>
      </bottom>
      <diagonal/>
    </border>
    <border>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medium">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top style="thin">
        <color theme="0" tint="-0.14996795556505021"/>
      </top>
      <bottom style="medium">
        <color indexed="64"/>
      </bottom>
      <diagonal/>
    </border>
    <border>
      <left/>
      <right style="thin">
        <color theme="0" tint="-0.14996795556505021"/>
      </right>
      <top style="thin">
        <color theme="0" tint="-0.14996795556505021"/>
      </top>
      <bottom style="medium">
        <color indexed="64"/>
      </bottom>
      <diagonal/>
    </border>
    <border>
      <left style="thin">
        <color theme="0" tint="-0.14996795556505021"/>
      </left>
      <right style="medium">
        <color indexed="64"/>
      </right>
      <top style="thin">
        <color theme="0" tint="-0.14996795556505021"/>
      </top>
      <bottom style="medium">
        <color indexed="64"/>
      </bottom>
      <diagonal/>
    </border>
    <border>
      <left style="medium">
        <color indexed="64"/>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medium">
        <color indexed="64"/>
      </right>
      <top/>
      <bottom style="thin">
        <color theme="0" tint="-0.14996795556505021"/>
      </bottom>
      <diagonal/>
    </border>
    <border>
      <left/>
      <right/>
      <top style="thin">
        <color indexed="64"/>
      </top>
      <bottom/>
      <diagonal/>
    </border>
    <border>
      <left style="medium">
        <color indexed="64"/>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style="medium">
        <color indexed="64"/>
      </right>
      <top style="thin">
        <color theme="0" tint="-0.14996795556505021"/>
      </top>
      <bottom/>
      <diagonal/>
    </border>
    <border>
      <left style="medium">
        <color indexed="64"/>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top style="medium">
        <color indexed="64"/>
      </top>
      <bottom/>
      <diagonal/>
    </border>
    <border>
      <left/>
      <right style="thin">
        <color theme="0" tint="-0.14996795556505021"/>
      </right>
      <top style="medium">
        <color indexed="64"/>
      </top>
      <bottom/>
      <diagonal/>
    </border>
    <border>
      <left style="thin">
        <color theme="0" tint="-0.14996795556505021"/>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style="thin">
        <color theme="0" tint="-0.499984740745262"/>
      </left>
      <right style="thin">
        <color theme="0" tint="-0.499984740745262"/>
      </right>
      <top/>
      <bottom style="thin">
        <color theme="0" tint="-0.499984740745262"/>
      </bottom>
      <diagonal/>
    </border>
  </borders>
  <cellStyleXfs count="2">
    <xf numFmtId="0" fontId="0" fillId="0" borderId="0"/>
    <xf numFmtId="0" fontId="3" fillId="0" borderId="0" applyNumberFormat="0" applyFill="0" applyBorder="0" applyAlignment="0" applyProtection="0"/>
  </cellStyleXfs>
  <cellXfs count="293">
    <xf numFmtId="0" fontId="0" fillId="0" borderId="0" xfId="0"/>
    <xf numFmtId="0" fontId="0" fillId="0" borderId="0" xfId="0" applyAlignment="1">
      <alignment wrapText="1"/>
    </xf>
    <xf numFmtId="0" fontId="0" fillId="0" borderId="0" xfId="0" pivotButton="1"/>
    <xf numFmtId="0" fontId="1" fillId="0" borderId="0" xfId="0" applyFont="1"/>
    <xf numFmtId="0" fontId="0" fillId="0" borderId="0" xfId="0" applyNumberFormat="1"/>
    <xf numFmtId="0" fontId="0" fillId="5" borderId="0" xfId="0" applyFill="1"/>
    <xf numFmtId="0" fontId="4" fillId="0" borderId="0" xfId="0" applyFont="1"/>
    <xf numFmtId="167" fontId="0" fillId="0" borderId="0" xfId="0" applyNumberFormat="1"/>
    <xf numFmtId="16" fontId="0" fillId="0" borderId="0" xfId="0" applyNumberFormat="1"/>
    <xf numFmtId="167" fontId="4" fillId="0" borderId="0" xfId="0" applyNumberFormat="1" applyFont="1"/>
    <xf numFmtId="167" fontId="0" fillId="0" borderId="0" xfId="0" applyNumberFormat="1" applyFont="1"/>
    <xf numFmtId="16" fontId="0" fillId="0" borderId="0" xfId="0" applyNumberFormat="1" applyFont="1"/>
    <xf numFmtId="0" fontId="0" fillId="0" borderId="0" xfId="0" applyFont="1"/>
    <xf numFmtId="167" fontId="4" fillId="5" borderId="0" xfId="0" applyNumberFormat="1" applyFont="1" applyFill="1"/>
    <xf numFmtId="0" fontId="4" fillId="5" borderId="0" xfId="0" applyFont="1" applyFill="1"/>
    <xf numFmtId="0" fontId="0" fillId="5" borderId="0" xfId="0" applyFill="1" applyAlignment="1">
      <alignment wrapText="1"/>
    </xf>
    <xf numFmtId="0" fontId="5" fillId="0" borderId="0" xfId="0" applyFont="1"/>
    <xf numFmtId="0" fontId="2" fillId="8" borderId="0" xfId="0" applyFont="1" applyFill="1"/>
    <xf numFmtId="0" fontId="6" fillId="0" borderId="0" xfId="0" applyFont="1" applyFill="1" applyBorder="1"/>
    <xf numFmtId="0" fontId="1" fillId="5" borderId="0" xfId="0" applyFont="1" applyFill="1" applyAlignment="1">
      <alignment vertical="top" wrapText="1"/>
    </xf>
    <xf numFmtId="0" fontId="7" fillId="0" borderId="8" xfId="0" applyFont="1" applyBorder="1" applyAlignment="1">
      <alignment vertical="center" wrapText="1"/>
    </xf>
    <xf numFmtId="3" fontId="7" fillId="0" borderId="8" xfId="0" applyNumberFormat="1" applyFont="1" applyBorder="1" applyAlignment="1">
      <alignment horizontal="right" vertical="center" wrapText="1"/>
    </xf>
    <xf numFmtId="9" fontId="7" fillId="0" borderId="8" xfId="0" applyNumberFormat="1" applyFont="1" applyBorder="1" applyAlignment="1">
      <alignment horizontal="center" vertical="center" wrapText="1"/>
    </xf>
    <xf numFmtId="0" fontId="9" fillId="0" borderId="0" xfId="0" applyFont="1"/>
    <xf numFmtId="0" fontId="2" fillId="10" borderId="0" xfId="0" applyFont="1" applyFill="1"/>
    <xf numFmtId="0" fontId="13" fillId="10" borderId="0" xfId="0" applyFont="1" applyFill="1"/>
    <xf numFmtId="0" fontId="14" fillId="0" borderId="0" xfId="0" applyFont="1" applyFill="1" applyBorder="1"/>
    <xf numFmtId="0" fontId="15" fillId="0" borderId="0" xfId="0" applyFont="1" applyFill="1" applyBorder="1"/>
    <xf numFmtId="0" fontId="16" fillId="0" borderId="0" xfId="0" applyFont="1"/>
    <xf numFmtId="0" fontId="9" fillId="0" borderId="0" xfId="0" applyFont="1" applyAlignment="1">
      <alignment horizontal="left"/>
    </xf>
    <xf numFmtId="0" fontId="9" fillId="0" borderId="0" xfId="0" applyFont="1" applyAlignment="1">
      <alignment horizontal="left" indent="1"/>
    </xf>
    <xf numFmtId="0" fontId="18" fillId="6" borderId="16" xfId="0" applyFont="1" applyFill="1" applyBorder="1"/>
    <xf numFmtId="0" fontId="18" fillId="6" borderId="17" xfId="0" applyFont="1" applyFill="1" applyBorder="1"/>
    <xf numFmtId="0" fontId="18" fillId="6" borderId="17" xfId="0" applyFont="1" applyFill="1" applyBorder="1" applyAlignment="1">
      <alignment wrapText="1"/>
    </xf>
    <xf numFmtId="0" fontId="18" fillId="6" borderId="18" xfId="0" applyFont="1" applyFill="1" applyBorder="1" applyAlignment="1">
      <alignment wrapText="1"/>
    </xf>
    <xf numFmtId="0" fontId="9" fillId="0" borderId="19" xfId="0" applyFont="1" applyBorder="1" applyAlignment="1">
      <alignment horizontal="left" vertical="top"/>
    </xf>
    <xf numFmtId="0" fontId="9" fillId="0" borderId="20" xfId="0" applyFont="1" applyBorder="1" applyAlignment="1">
      <alignment horizontal="left" vertical="top"/>
    </xf>
    <xf numFmtId="0" fontId="9" fillId="0" borderId="21" xfId="0" applyFont="1" applyBorder="1" applyAlignment="1">
      <alignment horizontal="left" vertical="top" wrapText="1"/>
    </xf>
    <xf numFmtId="0" fontId="9" fillId="0" borderId="22" xfId="0" applyFont="1" applyBorder="1" applyAlignment="1">
      <alignment horizontal="left" vertical="top" wrapText="1"/>
    </xf>
    <xf numFmtId="0" fontId="9" fillId="0" borderId="23" xfId="0" applyFont="1" applyBorder="1" applyAlignment="1">
      <alignment horizontal="left" vertical="top" wrapText="1"/>
    </xf>
    <xf numFmtId="0" fontId="9" fillId="0" borderId="24" xfId="0" applyFont="1" applyBorder="1" applyAlignment="1">
      <alignment horizontal="left" vertical="top"/>
    </xf>
    <xf numFmtId="0" fontId="9" fillId="0" borderId="25" xfId="0" applyFont="1" applyBorder="1" applyAlignment="1">
      <alignment horizontal="left" vertical="top"/>
    </xf>
    <xf numFmtId="0" fontId="9" fillId="0" borderId="26" xfId="0" applyFont="1" applyBorder="1" applyAlignment="1">
      <alignment horizontal="left" vertical="top" wrapText="1"/>
    </xf>
    <xf numFmtId="0" fontId="9" fillId="0" borderId="27" xfId="0" applyFont="1" applyBorder="1" applyAlignment="1">
      <alignment horizontal="left" vertical="top" wrapText="1"/>
    </xf>
    <xf numFmtId="0" fontId="9" fillId="0" borderId="28" xfId="0" applyFont="1" applyBorder="1" applyAlignment="1">
      <alignment horizontal="left" vertical="top" wrapText="1"/>
    </xf>
    <xf numFmtId="0" fontId="9" fillId="0" borderId="29" xfId="0" applyFont="1" applyBorder="1" applyAlignment="1">
      <alignment horizontal="left" vertical="top"/>
    </xf>
    <xf numFmtId="0" fontId="9" fillId="0" borderId="30" xfId="0" applyFont="1" applyBorder="1" applyAlignment="1">
      <alignment horizontal="left" vertical="top"/>
    </xf>
    <xf numFmtId="0" fontId="9" fillId="0" borderId="31" xfId="0" applyFont="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lignment horizontal="left" vertical="top" wrapText="1"/>
    </xf>
    <xf numFmtId="0" fontId="9" fillId="0" borderId="34" xfId="0" applyFont="1" applyBorder="1" applyAlignment="1">
      <alignment horizontal="left" vertical="top"/>
    </xf>
    <xf numFmtId="0" fontId="9" fillId="0" borderId="35" xfId="0" applyFont="1" applyBorder="1" applyAlignment="1">
      <alignment horizontal="left" vertical="top"/>
    </xf>
    <xf numFmtId="0" fontId="9" fillId="0" borderId="36" xfId="0" applyFont="1" applyBorder="1" applyAlignment="1">
      <alignment horizontal="left" vertical="top" wrapText="1"/>
    </xf>
    <xf numFmtId="0" fontId="9" fillId="0" borderId="37" xfId="0" applyFont="1" applyBorder="1" applyAlignment="1">
      <alignment horizontal="left" vertical="top" wrapText="1"/>
    </xf>
    <xf numFmtId="0" fontId="9" fillId="0" borderId="38" xfId="0" applyFont="1" applyBorder="1" applyAlignment="1">
      <alignment horizontal="left" vertical="top" wrapText="1"/>
    </xf>
    <xf numFmtId="0" fontId="9" fillId="0" borderId="40" xfId="0" applyFont="1" applyBorder="1" applyAlignment="1">
      <alignment horizontal="left" vertical="top"/>
    </xf>
    <xf numFmtId="0" fontId="9" fillId="0" borderId="41" xfId="0" applyFont="1" applyBorder="1" applyAlignment="1">
      <alignment horizontal="left" vertical="top"/>
    </xf>
    <xf numFmtId="0" fontId="9" fillId="0" borderId="42" xfId="0" applyFont="1" applyBorder="1" applyAlignment="1">
      <alignment horizontal="left" vertical="top" wrapText="1"/>
    </xf>
    <xf numFmtId="0" fontId="9" fillId="0" borderId="43" xfId="0" applyFont="1" applyBorder="1" applyAlignment="1">
      <alignment horizontal="left" vertical="top" wrapText="1"/>
    </xf>
    <xf numFmtId="0" fontId="9" fillId="0" borderId="44" xfId="0" applyFont="1" applyBorder="1" applyAlignment="1">
      <alignment horizontal="left" vertical="top" wrapText="1"/>
    </xf>
    <xf numFmtId="0" fontId="9" fillId="0" borderId="45" xfId="0" applyFont="1" applyBorder="1" applyAlignment="1">
      <alignment horizontal="left" vertical="top"/>
    </xf>
    <xf numFmtId="0" fontId="9" fillId="0" borderId="46" xfId="0" applyFont="1" applyBorder="1" applyAlignment="1">
      <alignment horizontal="left" vertical="top"/>
    </xf>
    <xf numFmtId="0" fontId="9" fillId="0" borderId="47" xfId="0" applyFont="1" applyBorder="1" applyAlignment="1">
      <alignment horizontal="left" vertical="top" wrapText="1"/>
    </xf>
    <xf numFmtId="0" fontId="9" fillId="0" borderId="48" xfId="0" applyFont="1" applyBorder="1" applyAlignment="1">
      <alignment horizontal="left" vertical="top" wrapText="1"/>
    </xf>
    <xf numFmtId="0" fontId="9" fillId="0" borderId="49" xfId="0" applyFont="1" applyBorder="1" applyAlignment="1">
      <alignment horizontal="left" vertical="top" wrapText="1"/>
    </xf>
    <xf numFmtId="0" fontId="9" fillId="5" borderId="0" xfId="0" applyFont="1" applyFill="1"/>
    <xf numFmtId="0" fontId="9" fillId="5" borderId="0" xfId="0" applyFont="1" applyFill="1" applyAlignment="1">
      <alignment wrapText="1"/>
    </xf>
    <xf numFmtId="0" fontId="9" fillId="0" borderId="50" xfId="0" applyFont="1" applyBorder="1"/>
    <xf numFmtId="0" fontId="9" fillId="0" borderId="51" xfId="0" applyFont="1" applyBorder="1"/>
    <xf numFmtId="0" fontId="9" fillId="0" borderId="52" xfId="0" applyFont="1" applyBorder="1" applyAlignment="1">
      <alignment wrapText="1"/>
    </xf>
    <xf numFmtId="0" fontId="9" fillId="0" borderId="53" xfId="0" applyFont="1" applyBorder="1"/>
    <xf numFmtId="0" fontId="9" fillId="0" borderId="0" xfId="0" applyFont="1" applyBorder="1"/>
    <xf numFmtId="0" fontId="9" fillId="0" borderId="54" xfId="0" applyFont="1" applyBorder="1" applyAlignment="1">
      <alignment wrapText="1"/>
    </xf>
    <xf numFmtId="0" fontId="11" fillId="0" borderId="53" xfId="0" applyFont="1" applyBorder="1"/>
    <xf numFmtId="0" fontId="19" fillId="0" borderId="53" xfId="0" applyFont="1" applyBorder="1"/>
    <xf numFmtId="0" fontId="19" fillId="0" borderId="0" xfId="0" applyFont="1" applyBorder="1"/>
    <xf numFmtId="0" fontId="9" fillId="0" borderId="55" xfId="0" applyFont="1" applyBorder="1"/>
    <xf numFmtId="0" fontId="9" fillId="0" borderId="56" xfId="0" applyFont="1" applyBorder="1"/>
    <xf numFmtId="0" fontId="9" fillId="0" borderId="57" xfId="0" applyFont="1" applyBorder="1" applyAlignment="1">
      <alignment wrapText="1"/>
    </xf>
    <xf numFmtId="0" fontId="9" fillId="0" borderId="53" xfId="0" applyFont="1" applyBorder="1" applyAlignment="1"/>
    <xf numFmtId="0" fontId="9" fillId="0" borderId="53" xfId="0" applyFont="1" applyFill="1" applyBorder="1"/>
    <xf numFmtId="0" fontId="9" fillId="5" borderId="55" xfId="0" applyFont="1" applyFill="1" applyBorder="1"/>
    <xf numFmtId="0" fontId="9" fillId="5" borderId="56" xfId="0" applyFont="1" applyFill="1" applyBorder="1"/>
    <xf numFmtId="0" fontId="9" fillId="5" borderId="57" xfId="0" applyFont="1" applyFill="1" applyBorder="1"/>
    <xf numFmtId="0" fontId="20" fillId="10" borderId="16" xfId="0" applyFont="1" applyFill="1" applyBorder="1"/>
    <xf numFmtId="0" fontId="20" fillId="10" borderId="17" xfId="0" applyFont="1" applyFill="1" applyBorder="1"/>
    <xf numFmtId="0" fontId="20" fillId="10" borderId="17" xfId="0" applyFont="1" applyFill="1" applyBorder="1" applyAlignment="1">
      <alignment wrapText="1"/>
    </xf>
    <xf numFmtId="0" fontId="20" fillId="10" borderId="18" xfId="0" applyFont="1" applyFill="1" applyBorder="1" applyAlignment="1">
      <alignment wrapText="1"/>
    </xf>
    <xf numFmtId="0" fontId="9" fillId="11" borderId="13" xfId="0" applyFont="1" applyFill="1" applyBorder="1"/>
    <xf numFmtId="0" fontId="9" fillId="11" borderId="14" xfId="0" applyFont="1" applyFill="1" applyBorder="1"/>
    <xf numFmtId="0" fontId="9" fillId="11" borderId="15" xfId="0" applyFont="1" applyFill="1" applyBorder="1"/>
    <xf numFmtId="0" fontId="9" fillId="0" borderId="0" xfId="0" applyFont="1" applyFill="1"/>
    <xf numFmtId="0" fontId="21" fillId="0" borderId="0" xfId="0" applyFont="1" applyFill="1"/>
    <xf numFmtId="0" fontId="11" fillId="0" borderId="12" xfId="0" applyFont="1" applyBorder="1"/>
    <xf numFmtId="0" fontId="9" fillId="0" borderId="12" xfId="0" applyFont="1" applyBorder="1"/>
    <xf numFmtId="0" fontId="9" fillId="0" borderId="12" xfId="0" applyFont="1" applyFill="1" applyBorder="1"/>
    <xf numFmtId="0" fontId="24" fillId="0" borderId="0" xfId="0" applyFont="1" applyAlignment="1">
      <alignment horizontal="center"/>
    </xf>
    <xf numFmtId="0" fontId="25" fillId="0" borderId="58" xfId="1" applyFont="1" applyBorder="1"/>
    <xf numFmtId="0" fontId="9" fillId="0" borderId="58" xfId="0" applyFont="1" applyBorder="1"/>
    <xf numFmtId="0" fontId="9" fillId="0" borderId="58" xfId="0" applyFont="1" applyFill="1" applyBorder="1"/>
    <xf numFmtId="0" fontId="25" fillId="0" borderId="9" xfId="1" applyFont="1" applyBorder="1"/>
    <xf numFmtId="0" fontId="9" fillId="0" borderId="9" xfId="0" applyFont="1" applyBorder="1"/>
    <xf numFmtId="0" fontId="9" fillId="0" borderId="9" xfId="0" applyFont="1" applyFill="1" applyBorder="1"/>
    <xf numFmtId="0" fontId="9" fillId="0" borderId="0" xfId="0" applyFont="1" applyFill="1" applyBorder="1"/>
    <xf numFmtId="0" fontId="25" fillId="0" borderId="10" xfId="1" applyFont="1" applyBorder="1"/>
    <xf numFmtId="0" fontId="9" fillId="0" borderId="10" xfId="0" applyFont="1" applyBorder="1"/>
    <xf numFmtId="0" fontId="9" fillId="0" borderId="10" xfId="0" applyFont="1" applyFill="1" applyBorder="1"/>
    <xf numFmtId="0" fontId="25" fillId="0" borderId="11" xfId="1" applyFont="1" applyBorder="1"/>
    <xf numFmtId="0" fontId="9" fillId="0" borderId="11" xfId="0" applyFont="1" applyBorder="1"/>
    <xf numFmtId="0" fontId="11" fillId="0" borderId="0" xfId="0" applyFont="1"/>
    <xf numFmtId="0" fontId="11" fillId="5" borderId="0" xfId="0" applyFont="1" applyFill="1"/>
    <xf numFmtId="0" fontId="25" fillId="0" borderId="0" xfId="1" applyFont="1"/>
    <xf numFmtId="0" fontId="10" fillId="10" borderId="0" xfId="0" applyFont="1" applyFill="1"/>
    <xf numFmtId="0" fontId="27" fillId="10" borderId="0" xfId="0" applyFont="1" applyFill="1"/>
    <xf numFmtId="0" fontId="28" fillId="9" borderId="0" xfId="0" applyFont="1" applyFill="1" applyBorder="1"/>
    <xf numFmtId="167" fontId="29" fillId="9" borderId="0" xfId="0" applyNumberFormat="1" applyFont="1" applyFill="1" applyBorder="1" applyAlignment="1">
      <alignment horizontal="left"/>
    </xf>
    <xf numFmtId="0" fontId="30" fillId="9" borderId="0" xfId="0" applyFont="1" applyFill="1" applyBorder="1" applyAlignment="1">
      <alignment horizontal="left" vertical="center"/>
    </xf>
    <xf numFmtId="0" fontId="31" fillId="9" borderId="0" xfId="0" applyFont="1" applyFill="1" applyBorder="1" applyAlignment="1">
      <alignment horizontal="center" vertical="top"/>
    </xf>
    <xf numFmtId="0" fontId="11" fillId="0" borderId="0" xfId="0" applyFont="1" applyBorder="1"/>
    <xf numFmtId="0" fontId="9" fillId="0" borderId="0" xfId="0" pivotButton="1" applyFont="1" applyBorder="1" applyAlignment="1"/>
    <xf numFmtId="0" fontId="9" fillId="0" borderId="0" xfId="0" applyFont="1" applyAlignment="1"/>
    <xf numFmtId="0" fontId="9" fillId="0" borderId="6" xfId="0" applyFont="1" applyBorder="1"/>
    <xf numFmtId="0" fontId="11" fillId="0" borderId="12" xfId="0" applyFont="1" applyBorder="1" applyAlignment="1"/>
    <xf numFmtId="0" fontId="33" fillId="0" borderId="0" xfId="0" applyFont="1" applyBorder="1" applyAlignment="1">
      <alignment horizontal="left"/>
    </xf>
    <xf numFmtId="0" fontId="34" fillId="0" borderId="0" xfId="0" applyFont="1" applyBorder="1"/>
    <xf numFmtId="0" fontId="28" fillId="0" borderId="0" xfId="0" applyFont="1" applyBorder="1"/>
    <xf numFmtId="0" fontId="32" fillId="0" borderId="0" xfId="0" applyFont="1"/>
    <xf numFmtId="0" fontId="9" fillId="0" borderId="0" xfId="0" pivotButton="1" applyFont="1"/>
    <xf numFmtId="0" fontId="22" fillId="0" borderId="0" xfId="0" pivotButton="1" applyFont="1" applyBorder="1"/>
    <xf numFmtId="0" fontId="22" fillId="0" borderId="0" xfId="0" applyFont="1" applyBorder="1"/>
    <xf numFmtId="0" fontId="9" fillId="0" borderId="0" xfId="0" applyFont="1" applyAlignment="1">
      <alignment horizontal="center"/>
    </xf>
    <xf numFmtId="0" fontId="9" fillId="9" borderId="2" xfId="0" applyFont="1" applyFill="1" applyBorder="1"/>
    <xf numFmtId="0" fontId="9" fillId="9" borderId="3" xfId="0" applyFont="1" applyFill="1" applyBorder="1"/>
    <xf numFmtId="0" fontId="9" fillId="9" borderId="0" xfId="0" applyFont="1" applyFill="1" applyBorder="1"/>
    <xf numFmtId="0" fontId="9" fillId="9" borderId="5" xfId="0" applyFont="1" applyFill="1" applyBorder="1"/>
    <xf numFmtId="0" fontId="36" fillId="9" borderId="0" xfId="0" applyFont="1" applyFill="1" applyBorder="1"/>
    <xf numFmtId="0" fontId="21" fillId="9" borderId="0" xfId="0" applyFont="1" applyFill="1" applyBorder="1" applyAlignment="1">
      <alignment horizontal="left" vertical="center"/>
    </xf>
    <xf numFmtId="3" fontId="10" fillId="9" borderId="0" xfId="0" applyNumberFormat="1" applyFont="1" applyFill="1" applyBorder="1"/>
    <xf numFmtId="0" fontId="9" fillId="9" borderId="6" xfId="0" applyFont="1" applyFill="1" applyBorder="1"/>
    <xf numFmtId="0" fontId="9" fillId="9" borderId="7" xfId="0" applyFont="1" applyFill="1" applyBorder="1"/>
    <xf numFmtId="0" fontId="13" fillId="2" borderId="1" xfId="0" applyFont="1" applyFill="1" applyBorder="1"/>
    <xf numFmtId="3" fontId="9" fillId="0" borderId="0" xfId="0" applyNumberFormat="1" applyFont="1"/>
    <xf numFmtId="9" fontId="9" fillId="0" borderId="0" xfId="0" applyNumberFormat="1" applyFont="1"/>
    <xf numFmtId="0" fontId="10" fillId="2" borderId="1" xfId="0" applyFont="1" applyFill="1" applyBorder="1"/>
    <xf numFmtId="0" fontId="10" fillId="2" borderId="1" xfId="0" applyFont="1" applyFill="1" applyBorder="1" applyAlignment="1">
      <alignment horizontal="center"/>
    </xf>
    <xf numFmtId="3" fontId="9" fillId="0" borderId="0" xfId="0" applyNumberFormat="1" applyFont="1" applyAlignment="1">
      <alignment horizontal="center"/>
    </xf>
    <xf numFmtId="0" fontId="9" fillId="0" borderId="1" xfId="0" applyFont="1" applyBorder="1" applyAlignment="1">
      <alignment horizontal="left"/>
    </xf>
    <xf numFmtId="3" fontId="9" fillId="0" borderId="1" xfId="0" applyNumberFormat="1" applyFont="1" applyBorder="1" applyAlignment="1">
      <alignment horizontal="right"/>
    </xf>
    <xf numFmtId="9" fontId="11" fillId="0" borderId="1" xfId="0" applyNumberFormat="1" applyFont="1" applyBorder="1" applyAlignment="1">
      <alignment horizontal="right"/>
    </xf>
    <xf numFmtId="3" fontId="11" fillId="0" borderId="0" xfId="0" applyNumberFormat="1" applyFont="1"/>
    <xf numFmtId="9" fontId="11" fillId="0" borderId="0" xfId="0" applyNumberFormat="1" applyFont="1"/>
    <xf numFmtId="0" fontId="9" fillId="0" borderId="0" xfId="0" applyNumberFormat="1" applyFont="1"/>
    <xf numFmtId="0" fontId="9" fillId="0" borderId="8" xfId="0" applyFont="1" applyBorder="1"/>
    <xf numFmtId="0" fontId="9" fillId="0" borderId="8" xfId="0" applyFont="1" applyBorder="1" applyAlignment="1">
      <alignment horizontal="left"/>
    </xf>
    <xf numFmtId="0" fontId="9" fillId="0" borderId="4" xfId="0" applyFont="1" applyBorder="1"/>
    <xf numFmtId="0" fontId="10" fillId="9" borderId="1" xfId="0" applyFont="1" applyFill="1" applyBorder="1" applyAlignment="1">
      <alignment horizontal="center" wrapText="1"/>
    </xf>
    <xf numFmtId="0" fontId="9" fillId="0" borderId="0" xfId="0" applyFont="1" applyBorder="1" applyAlignment="1">
      <alignment wrapText="1"/>
    </xf>
    <xf numFmtId="0" fontId="9" fillId="0" borderId="0" xfId="0" applyFont="1" applyAlignment="1">
      <alignment wrapText="1"/>
    </xf>
    <xf numFmtId="9" fontId="9" fillId="0" borderId="1" xfId="0" applyNumberFormat="1" applyFont="1" applyBorder="1" applyAlignment="1">
      <alignment horizontal="right"/>
    </xf>
    <xf numFmtId="166" fontId="9" fillId="0" borderId="1" xfId="0" applyNumberFormat="1" applyFont="1" applyBorder="1" applyAlignment="1">
      <alignment horizontal="right"/>
    </xf>
    <xf numFmtId="0" fontId="10" fillId="10" borderId="1" xfId="0" applyFont="1" applyFill="1" applyBorder="1" applyAlignment="1">
      <alignment horizontal="center" wrapText="1"/>
    </xf>
    <xf numFmtId="0" fontId="10" fillId="10" borderId="1" xfId="0" applyFont="1" applyFill="1" applyBorder="1" applyAlignment="1">
      <alignment horizontal="left" wrapText="1"/>
    </xf>
    <xf numFmtId="0" fontId="11" fillId="11" borderId="1" xfId="0" applyFont="1" applyFill="1" applyBorder="1" applyAlignment="1">
      <alignment horizontal="left"/>
    </xf>
    <xf numFmtId="3" fontId="11" fillId="11" borderId="1" xfId="0" applyNumberFormat="1" applyFont="1" applyFill="1" applyBorder="1" applyAlignment="1">
      <alignment horizontal="right"/>
    </xf>
    <xf numFmtId="9" fontId="11" fillId="11" borderId="1" xfId="0" applyNumberFormat="1" applyFont="1" applyFill="1" applyBorder="1" applyAlignment="1">
      <alignment horizontal="right"/>
    </xf>
    <xf numFmtId="166" fontId="11" fillId="11" borderId="1" xfId="0" applyNumberFormat="1" applyFont="1" applyFill="1" applyBorder="1" applyAlignment="1">
      <alignment horizontal="right"/>
    </xf>
    <xf numFmtId="164" fontId="9" fillId="0" borderId="0" xfId="0" applyNumberFormat="1" applyFont="1" applyAlignment="1">
      <alignment horizontal="center"/>
    </xf>
    <xf numFmtId="3" fontId="9" fillId="9" borderId="0" xfId="0" applyNumberFormat="1" applyFont="1" applyFill="1" applyBorder="1" applyAlignment="1">
      <alignment horizontal="center"/>
    </xf>
    <xf numFmtId="164" fontId="9" fillId="9" borderId="0" xfId="0" applyNumberFormat="1" applyFont="1" applyFill="1" applyBorder="1" applyAlignment="1">
      <alignment horizontal="center"/>
    </xf>
    <xf numFmtId="164" fontId="9" fillId="0" borderId="0" xfId="0" applyNumberFormat="1" applyFont="1"/>
    <xf numFmtId="164" fontId="9" fillId="9" borderId="0" xfId="0" applyNumberFormat="1" applyFont="1" applyFill="1" applyBorder="1"/>
    <xf numFmtId="0" fontId="13" fillId="10" borderId="1" xfId="0" applyFont="1" applyFill="1" applyBorder="1"/>
    <xf numFmtId="0" fontId="10" fillId="10" borderId="1" xfId="0" applyFont="1" applyFill="1" applyBorder="1"/>
    <xf numFmtId="0" fontId="11" fillId="0" borderId="8" xfId="0" applyFont="1" applyBorder="1"/>
    <xf numFmtId="0" fontId="9" fillId="0" borderId="5" xfId="0" applyFont="1" applyBorder="1"/>
    <xf numFmtId="0" fontId="11" fillId="0" borderId="8" xfId="0" applyFont="1" applyBorder="1" applyAlignment="1">
      <alignment horizontal="center"/>
    </xf>
    <xf numFmtId="3" fontId="9" fillId="0" borderId="8" xfId="0" applyNumberFormat="1" applyFont="1" applyBorder="1" applyAlignment="1">
      <alignment horizontal="center"/>
    </xf>
    <xf numFmtId="0" fontId="11" fillId="0" borderId="8" xfId="0" applyFont="1" applyBorder="1" applyAlignment="1">
      <alignment horizontal="left"/>
    </xf>
    <xf numFmtId="3" fontId="11" fillId="0" borderId="8" xfId="0" applyNumberFormat="1" applyFont="1" applyBorder="1" applyAlignment="1">
      <alignment horizontal="center"/>
    </xf>
    <xf numFmtId="0" fontId="11" fillId="3" borderId="1" xfId="0" applyFont="1" applyFill="1" applyBorder="1"/>
    <xf numFmtId="3" fontId="9" fillId="0" borderId="0" xfId="0" applyNumberFormat="1" applyFont="1" applyBorder="1"/>
    <xf numFmtId="0" fontId="9" fillId="7" borderId="0" xfId="0" applyFont="1" applyFill="1"/>
    <xf numFmtId="0" fontId="10" fillId="10" borderId="1" xfId="0" applyFont="1" applyFill="1" applyBorder="1" applyAlignment="1">
      <alignment horizontal="center"/>
    </xf>
    <xf numFmtId="0" fontId="11" fillId="11" borderId="1" xfId="0" applyFont="1" applyFill="1" applyBorder="1"/>
    <xf numFmtId="3" fontId="11" fillId="11" borderId="1" xfId="0" applyNumberFormat="1" applyFont="1" applyFill="1" applyBorder="1"/>
    <xf numFmtId="0" fontId="40" fillId="0" borderId="0" xfId="0" applyFont="1" applyBorder="1"/>
    <xf numFmtId="0" fontId="9" fillId="0" borderId="0" xfId="0" applyFont="1" applyAlignment="1">
      <alignment horizontal="left" wrapText="1"/>
    </xf>
    <xf numFmtId="3" fontId="11" fillId="0" borderId="1" xfId="0" applyNumberFormat="1" applyFont="1" applyBorder="1" applyAlignment="1">
      <alignment horizontal="right"/>
    </xf>
    <xf numFmtId="0" fontId="17" fillId="11" borderId="1" xfId="0" applyFont="1" applyFill="1" applyBorder="1"/>
    <xf numFmtId="0" fontId="17" fillId="11" borderId="1" xfId="0" applyFont="1" applyFill="1" applyBorder="1" applyAlignment="1">
      <alignment horizontal="center" wrapText="1"/>
    </xf>
    <xf numFmtId="0" fontId="9" fillId="4" borderId="8" xfId="0" applyFont="1" applyFill="1" applyBorder="1"/>
    <xf numFmtId="3" fontId="9" fillId="4" borderId="8" xfId="0" applyNumberFormat="1" applyFont="1" applyFill="1" applyBorder="1" applyAlignment="1">
      <alignment horizontal="center"/>
    </xf>
    <xf numFmtId="0" fontId="26" fillId="4" borderId="8" xfId="0" applyFont="1" applyFill="1" applyBorder="1"/>
    <xf numFmtId="3" fontId="26" fillId="4" borderId="8" xfId="0" applyNumberFormat="1" applyFont="1" applyFill="1" applyBorder="1" applyAlignment="1">
      <alignment horizontal="center"/>
    </xf>
    <xf numFmtId="0" fontId="9" fillId="0" borderId="0" xfId="0" applyFont="1" applyBorder="1" applyAlignment="1">
      <alignment horizontal="left"/>
    </xf>
    <xf numFmtId="9" fontId="9" fillId="0" borderId="0" xfId="0" applyNumberFormat="1" applyFont="1" applyAlignment="1">
      <alignment horizontal="center"/>
    </xf>
    <xf numFmtId="0" fontId="9" fillId="0" borderId="0" xfId="0" applyFont="1" applyFill="1" applyBorder="1" applyAlignment="1">
      <alignment horizontal="left"/>
    </xf>
    <xf numFmtId="0" fontId="9" fillId="4" borderId="8" xfId="0" applyFont="1" applyFill="1" applyBorder="1" applyAlignment="1">
      <alignment horizontal="left"/>
    </xf>
    <xf numFmtId="0" fontId="26" fillId="4" borderId="8" xfId="0" applyFont="1" applyFill="1" applyBorder="1" applyAlignment="1">
      <alignment horizontal="left"/>
    </xf>
    <xf numFmtId="0" fontId="9" fillId="7" borderId="0" xfId="0" applyFont="1" applyFill="1" applyAlignment="1">
      <alignment horizontal="left"/>
    </xf>
    <xf numFmtId="0" fontId="41" fillId="0" borderId="0" xfId="0" applyFont="1" applyBorder="1"/>
    <xf numFmtId="0" fontId="13" fillId="9" borderId="0" xfId="0" applyFont="1" applyFill="1" applyBorder="1"/>
    <xf numFmtId="3" fontId="13" fillId="9" borderId="0" xfId="0" applyNumberFormat="1" applyFont="1" applyFill="1" applyBorder="1" applyAlignment="1">
      <alignment horizontal="center"/>
    </xf>
    <xf numFmtId="0" fontId="10" fillId="10" borderId="0" xfId="0" applyFont="1" applyFill="1" applyAlignment="1">
      <alignment horizontal="center"/>
    </xf>
    <xf numFmtId="0" fontId="10" fillId="10" borderId="8" xfId="0" applyFont="1" applyFill="1" applyBorder="1"/>
    <xf numFmtId="9" fontId="10" fillId="10" borderId="8" xfId="0" applyNumberFormat="1" applyFont="1" applyFill="1" applyBorder="1" applyAlignment="1">
      <alignment horizontal="center" vertical="center" wrapText="1"/>
    </xf>
    <xf numFmtId="0" fontId="8" fillId="11" borderId="8" xfId="0" applyFont="1" applyFill="1" applyBorder="1" applyAlignment="1">
      <alignment vertical="center" wrapText="1"/>
    </xf>
    <xf numFmtId="3" fontId="8" fillId="11" borderId="8" xfId="0" applyNumberFormat="1" applyFont="1" applyFill="1" applyBorder="1" applyAlignment="1">
      <alignment horizontal="right" vertical="center" wrapText="1"/>
    </xf>
    <xf numFmtId="9" fontId="8" fillId="11" borderId="8" xfId="0" applyNumberFormat="1" applyFont="1" applyFill="1" applyBorder="1" applyAlignment="1">
      <alignment horizontal="center" vertical="center" wrapText="1"/>
    </xf>
    <xf numFmtId="3" fontId="9" fillId="0" borderId="8" xfId="0" applyNumberFormat="1" applyFont="1" applyBorder="1"/>
    <xf numFmtId="10" fontId="10" fillId="11" borderId="8" xfId="0" applyNumberFormat="1" applyFont="1" applyFill="1" applyBorder="1"/>
    <xf numFmtId="0" fontId="42" fillId="0" borderId="0" xfId="0" applyFont="1" applyBorder="1"/>
    <xf numFmtId="165" fontId="9" fillId="0" borderId="8" xfId="0" applyNumberFormat="1" applyFont="1" applyBorder="1"/>
    <xf numFmtId="165" fontId="9" fillId="0" borderId="0" xfId="0" applyNumberFormat="1" applyFont="1" applyAlignment="1">
      <alignment horizontal="right"/>
    </xf>
    <xf numFmtId="3" fontId="9" fillId="0" borderId="0" xfId="0" applyNumberFormat="1" applyFont="1" applyAlignment="1">
      <alignment horizontal="right"/>
    </xf>
    <xf numFmtId="165" fontId="9" fillId="0" borderId="8" xfId="0" applyNumberFormat="1" applyFont="1" applyBorder="1" applyAlignment="1">
      <alignment horizontal="right"/>
    </xf>
    <xf numFmtId="165" fontId="11" fillId="3" borderId="1" xfId="0" applyNumberFormat="1" applyFont="1" applyFill="1" applyBorder="1" applyAlignment="1">
      <alignment horizontal="right"/>
    </xf>
    <xf numFmtId="3" fontId="9" fillId="0" borderId="8" xfId="0" applyNumberFormat="1" applyFont="1" applyBorder="1" applyAlignment="1">
      <alignment horizontal="right"/>
    </xf>
    <xf numFmtId="9" fontId="11" fillId="3" borderId="1" xfId="0" applyNumberFormat="1" applyFont="1" applyFill="1" applyBorder="1"/>
    <xf numFmtId="0" fontId="9" fillId="0" borderId="8" xfId="0" applyFont="1" applyBorder="1" applyAlignment="1">
      <alignment wrapText="1"/>
    </xf>
    <xf numFmtId="0" fontId="9" fillId="0" borderId="8" xfId="0" applyFont="1" applyBorder="1" applyAlignment="1">
      <alignment horizontal="center" wrapText="1"/>
    </xf>
    <xf numFmtId="165" fontId="9" fillId="0" borderId="8" xfId="0" applyNumberFormat="1" applyFont="1" applyBorder="1" applyAlignment="1">
      <alignment horizontal="center"/>
    </xf>
    <xf numFmtId="0" fontId="9" fillId="0" borderId="8" xfId="0" applyFont="1" applyFill="1" applyBorder="1"/>
    <xf numFmtId="0" fontId="9" fillId="0" borderId="0" xfId="0" applyFont="1" applyAlignment="1">
      <alignment horizontal="right"/>
    </xf>
    <xf numFmtId="0" fontId="10" fillId="10" borderId="8" xfId="0" applyFont="1" applyFill="1" applyBorder="1" applyAlignment="1">
      <alignment horizontal="left" wrapText="1"/>
    </xf>
    <xf numFmtId="0" fontId="43" fillId="0" borderId="0" xfId="0" pivotButton="1" applyFont="1"/>
    <xf numFmtId="0" fontId="43" fillId="0" borderId="0" xfId="0" applyFont="1"/>
    <xf numFmtId="0" fontId="43" fillId="0" borderId="0" xfId="0" applyFont="1" applyAlignment="1">
      <alignment horizontal="left"/>
    </xf>
    <xf numFmtId="0" fontId="44" fillId="10" borderId="0" xfId="0" applyFont="1" applyFill="1"/>
    <xf numFmtId="0" fontId="43" fillId="0" borderId="0" xfId="0" applyFont="1" applyAlignment="1">
      <alignment horizontal="left" indent="1"/>
    </xf>
    <xf numFmtId="0" fontId="43" fillId="0" borderId="0" xfId="0" applyFont="1" applyAlignment="1">
      <alignment horizontal="left" indent="2"/>
    </xf>
    <xf numFmtId="0" fontId="37" fillId="9" borderId="0" xfId="0" applyFont="1" applyFill="1" applyBorder="1"/>
    <xf numFmtId="0" fontId="38" fillId="9" borderId="0" xfId="0" applyFont="1" applyFill="1" applyBorder="1"/>
    <xf numFmtId="0" fontId="39" fillId="9" borderId="0" xfId="1" quotePrefix="1" applyFont="1" applyFill="1" applyBorder="1"/>
    <xf numFmtId="0" fontId="10" fillId="10" borderId="59" xfId="0" applyFont="1" applyFill="1" applyBorder="1"/>
    <xf numFmtId="3" fontId="9" fillId="0" borderId="0" xfId="0" applyNumberFormat="1" applyFont="1" applyBorder="1" applyAlignment="1">
      <alignment horizontal="center"/>
    </xf>
    <xf numFmtId="0" fontId="45" fillId="11" borderId="8" xfId="0" applyFont="1" applyFill="1" applyBorder="1"/>
    <xf numFmtId="0" fontId="46" fillId="11" borderId="8" xfId="0" applyFont="1" applyFill="1" applyBorder="1"/>
    <xf numFmtId="0" fontId="47" fillId="11" borderId="8" xfId="0" applyFont="1" applyFill="1" applyBorder="1"/>
    <xf numFmtId="0" fontId="9" fillId="9" borderId="50" xfId="0" applyFont="1" applyFill="1" applyBorder="1"/>
    <xf numFmtId="0" fontId="9" fillId="9" borderId="51" xfId="0" applyFont="1" applyFill="1" applyBorder="1"/>
    <xf numFmtId="0" fontId="9" fillId="9" borderId="52" xfId="0" applyFont="1" applyFill="1" applyBorder="1"/>
    <xf numFmtId="0" fontId="9" fillId="9" borderId="53" xfId="0" applyFont="1" applyFill="1" applyBorder="1"/>
    <xf numFmtId="0" fontId="9" fillId="9" borderId="54" xfId="0" applyFont="1" applyFill="1" applyBorder="1"/>
    <xf numFmtId="0" fontId="9" fillId="9" borderId="55" xfId="0" applyFont="1" applyFill="1" applyBorder="1"/>
    <xf numFmtId="0" fontId="9" fillId="9" borderId="56" xfId="0" applyFont="1" applyFill="1" applyBorder="1"/>
    <xf numFmtId="0" fontId="9" fillId="9" borderId="57" xfId="0" applyFont="1" applyFill="1" applyBorder="1"/>
    <xf numFmtId="0" fontId="48" fillId="10" borderId="8" xfId="0" applyFont="1" applyFill="1" applyBorder="1"/>
    <xf numFmtId="0" fontId="49" fillId="10" borderId="8" xfId="0" applyFont="1" applyFill="1" applyBorder="1"/>
    <xf numFmtId="0" fontId="43" fillId="0" borderId="1" xfId="0" pivotButton="1" applyFont="1" applyBorder="1"/>
    <xf numFmtId="0" fontId="43" fillId="0" borderId="1" xfId="0" applyFont="1" applyBorder="1"/>
    <xf numFmtId="3" fontId="43" fillId="0" borderId="1" xfId="0" applyNumberFormat="1" applyFont="1" applyBorder="1" applyAlignment="1">
      <alignment horizontal="right"/>
    </xf>
    <xf numFmtId="164" fontId="43" fillId="0" borderId="1" xfId="0" applyNumberFormat="1" applyFont="1" applyBorder="1" applyAlignment="1">
      <alignment horizontal="right"/>
    </xf>
    <xf numFmtId="0" fontId="50" fillId="10" borderId="1" xfId="0" applyFont="1" applyFill="1" applyBorder="1" applyAlignment="1">
      <alignment wrapText="1"/>
    </xf>
    <xf numFmtId="0" fontId="50" fillId="10" borderId="1" xfId="0" applyFont="1" applyFill="1" applyBorder="1" applyAlignment="1">
      <alignment horizontal="center" wrapText="1"/>
    </xf>
    <xf numFmtId="164" fontId="43" fillId="10" borderId="1" xfId="0" applyNumberFormat="1" applyFont="1" applyFill="1" applyBorder="1" applyAlignment="1">
      <alignment horizontal="center" wrapText="1"/>
    </xf>
    <xf numFmtId="0" fontId="52" fillId="5" borderId="1" xfId="0" applyFont="1" applyFill="1" applyBorder="1"/>
    <xf numFmtId="0" fontId="52" fillId="0" borderId="1" xfId="0" applyFont="1" applyBorder="1"/>
    <xf numFmtId="0" fontId="50" fillId="10" borderId="1" xfId="0" applyFont="1" applyFill="1" applyBorder="1"/>
    <xf numFmtId="0" fontId="51" fillId="10" borderId="1" xfId="0" applyFont="1" applyFill="1" applyBorder="1"/>
    <xf numFmtId="3" fontId="51" fillId="10" borderId="1" xfId="0" applyNumberFormat="1" applyFont="1" applyFill="1" applyBorder="1" applyAlignment="1">
      <alignment horizontal="center"/>
    </xf>
    <xf numFmtId="164" fontId="51" fillId="10" borderId="1" xfId="0" applyNumberFormat="1" applyFont="1" applyFill="1" applyBorder="1" applyAlignment="1">
      <alignment horizontal="center"/>
    </xf>
    <xf numFmtId="0" fontId="50" fillId="10" borderId="1" xfId="0" applyFont="1" applyFill="1" applyBorder="1" applyAlignment="1">
      <alignment horizontal="center"/>
    </xf>
    <xf numFmtId="3" fontId="52" fillId="11" borderId="1" xfId="0" applyNumberFormat="1" applyFont="1" applyFill="1" applyBorder="1" applyAlignment="1">
      <alignment horizontal="right"/>
    </xf>
    <xf numFmtId="0" fontId="52" fillId="11" borderId="1" xfId="0" applyFont="1" applyFill="1" applyBorder="1"/>
    <xf numFmtId="0" fontId="43" fillId="0" borderId="1" xfId="0" applyFont="1" applyBorder="1" applyAlignment="1">
      <alignment horizontal="left"/>
    </xf>
    <xf numFmtId="3" fontId="43" fillId="11" borderId="1" xfId="0" applyNumberFormat="1" applyFont="1" applyFill="1" applyBorder="1" applyAlignment="1">
      <alignment horizontal="right"/>
    </xf>
    <xf numFmtId="164" fontId="43" fillId="11" borderId="1" xfId="0" applyNumberFormat="1" applyFont="1" applyFill="1" applyBorder="1" applyAlignment="1">
      <alignment horizontal="right"/>
    </xf>
    <xf numFmtId="0" fontId="43" fillId="11" borderId="1" xfId="0" applyFont="1" applyFill="1" applyBorder="1" applyAlignment="1">
      <alignment horizontal="left"/>
    </xf>
    <xf numFmtId="0" fontId="43" fillId="11" borderId="1" xfId="0" applyFont="1" applyFill="1" applyBorder="1"/>
    <xf numFmtId="10" fontId="43" fillId="0" borderId="1" xfId="0" applyNumberFormat="1" applyFont="1" applyBorder="1" applyAlignment="1">
      <alignment horizontal="right"/>
    </xf>
    <xf numFmtId="3" fontId="50" fillId="10" borderId="1" xfId="0" applyNumberFormat="1" applyFont="1" applyFill="1" applyBorder="1" applyAlignment="1">
      <alignment horizontal="center" wrapText="1"/>
    </xf>
    <xf numFmtId="10" fontId="43" fillId="11" borderId="1" xfId="0" applyNumberFormat="1" applyFont="1" applyFill="1" applyBorder="1" applyAlignment="1">
      <alignment horizontal="right"/>
    </xf>
    <xf numFmtId="0" fontId="51" fillId="10" borderId="1" xfId="0" applyFont="1" applyFill="1" applyBorder="1" applyAlignment="1">
      <alignment wrapText="1"/>
    </xf>
    <xf numFmtId="3" fontId="51" fillId="10" borderId="1" xfId="0" applyNumberFormat="1" applyFont="1" applyFill="1" applyBorder="1" applyAlignment="1">
      <alignment horizontal="center" wrapText="1"/>
    </xf>
    <xf numFmtId="3" fontId="45" fillId="11" borderId="1" xfId="0" applyNumberFormat="1" applyFont="1" applyFill="1" applyBorder="1" applyAlignment="1">
      <alignment horizontal="right"/>
    </xf>
    <xf numFmtId="10" fontId="45" fillId="11" borderId="1" xfId="0" applyNumberFormat="1" applyFont="1" applyFill="1" applyBorder="1" applyAlignment="1">
      <alignment horizontal="right"/>
    </xf>
    <xf numFmtId="0" fontId="45" fillId="11" borderId="1" xfId="0" applyFont="1" applyFill="1" applyBorder="1" applyAlignment="1">
      <alignment horizontal="left"/>
    </xf>
    <xf numFmtId="0" fontId="51" fillId="10" borderId="1" xfId="0" applyFont="1" applyFill="1" applyBorder="1" applyAlignment="1">
      <alignment horizontal="center" wrapText="1"/>
    </xf>
    <xf numFmtId="0" fontId="43" fillId="0" borderId="0" xfId="0" applyNumberFormat="1" applyFont="1"/>
    <xf numFmtId="0" fontId="52" fillId="0" borderId="0" xfId="0" applyFont="1" applyAlignment="1">
      <alignment horizontal="left"/>
    </xf>
    <xf numFmtId="0" fontId="44" fillId="0" borderId="0" xfId="0" pivotButton="1" applyFont="1"/>
    <xf numFmtId="0" fontId="43" fillId="0" borderId="0" xfId="0" pivotButton="1" applyFont="1" applyBorder="1"/>
    <xf numFmtId="0" fontId="43" fillId="0" borderId="0" xfId="0" applyFont="1" applyBorder="1"/>
    <xf numFmtId="3" fontId="10" fillId="10" borderId="8" xfId="0" applyNumberFormat="1" applyFont="1" applyFill="1" applyBorder="1" applyAlignment="1">
      <alignment horizontal="center" vertical="center" wrapText="1"/>
    </xf>
    <xf numFmtId="0" fontId="9" fillId="0" borderId="0" xfId="0" applyFont="1" applyAlignment="1">
      <alignment horizontal="left" wrapText="1"/>
    </xf>
    <xf numFmtId="0" fontId="9" fillId="0" borderId="11" xfId="0" applyFont="1" applyBorder="1" applyAlignment="1">
      <alignment horizontal="left" vertical="top" wrapText="1"/>
    </xf>
    <xf numFmtId="0" fontId="9" fillId="0" borderId="0" xfId="0" applyFont="1" applyBorder="1" applyAlignment="1">
      <alignment horizontal="left" vertical="top" wrapText="1"/>
    </xf>
    <xf numFmtId="0" fontId="21" fillId="11" borderId="14" xfId="0" applyFont="1" applyFill="1" applyBorder="1" applyAlignment="1">
      <alignment horizontal="left" vertical="top" wrapText="1"/>
    </xf>
    <xf numFmtId="0" fontId="9" fillId="0" borderId="0" xfId="0" pivotButton="1" applyFont="1" applyBorder="1" applyAlignment="1">
      <alignment horizontal="left"/>
    </xf>
    <xf numFmtId="0" fontId="9" fillId="0" borderId="39" xfId="0" applyFont="1" applyBorder="1" applyAlignment="1">
      <alignment horizontal="left" vertical="top" wrapText="1"/>
    </xf>
    <xf numFmtId="0" fontId="9" fillId="0" borderId="39" xfId="0" pivotButton="1" applyFont="1" applyBorder="1" applyAlignment="1">
      <alignment horizontal="left"/>
    </xf>
    <xf numFmtId="0" fontId="12" fillId="10" borderId="0" xfId="0" applyFont="1" applyFill="1" applyAlignment="1">
      <alignment horizontal="left" vertical="center"/>
    </xf>
  </cellXfs>
  <cellStyles count="2">
    <cellStyle name="Hyperlink" xfId="1" builtinId="8"/>
    <cellStyle name="Normal" xfId="0" builtinId="0"/>
  </cellStyles>
  <dxfs count="481">
    <dxf>
      <font>
        <name val="Open Sans"/>
        <scheme val="none"/>
      </font>
    </dxf>
    <dxf>
      <font>
        <name val="Open Sans"/>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CBB69"/>
        </patternFill>
      </fill>
    </dxf>
    <dxf>
      <fill>
        <patternFill patternType="solid">
          <bgColor rgb="FFFCBB69"/>
        </patternFill>
      </fill>
    </dxf>
    <dxf>
      <fill>
        <patternFill patternType="solid">
          <bgColor rgb="FFFCBB69"/>
        </patternFill>
      </fill>
    </dxf>
    <dxf>
      <fill>
        <patternFill patternType="solid">
          <bgColor rgb="FFFCBB69"/>
        </patternFill>
      </fill>
    </dxf>
    <dxf>
      <font>
        <name val="Open Sans"/>
        <scheme val="none"/>
      </font>
    </dxf>
    <dxf>
      <font>
        <name val="Open Sans"/>
        <scheme val="none"/>
      </font>
    </dxf>
    <dxf>
      <font>
        <name val="Open Sans"/>
        <scheme val="none"/>
      </font>
    </dxf>
    <dxf>
      <font>
        <name val="Open Sans"/>
        <scheme val="none"/>
      </font>
    </dxf>
    <dxf>
      <font>
        <b/>
      </font>
    </dxf>
    <dxf>
      <font>
        <b/>
      </font>
    </dxf>
    <dxf>
      <font>
        <b/>
      </font>
    </dxf>
    <dxf>
      <font>
        <b/>
      </font>
    </dxf>
    <dxf>
      <fill>
        <patternFill>
          <bgColor rgb="FFFCBB69"/>
        </patternFill>
      </fill>
    </dxf>
    <dxf>
      <fill>
        <patternFill>
          <bgColor rgb="FFFCBB69"/>
        </patternFill>
      </fill>
    </dxf>
    <dxf>
      <fill>
        <patternFill>
          <bgColor rgb="FF004B88"/>
        </patternFill>
      </fill>
    </dxf>
    <dxf>
      <fill>
        <patternFill>
          <bgColor rgb="FF004B88"/>
        </patternFill>
      </fill>
    </dxf>
    <dxf>
      <font>
        <name val="Open Sans"/>
        <scheme val="none"/>
      </font>
    </dxf>
    <dxf>
      <alignment horizontal="right" readingOrder="0"/>
    </dxf>
    <dxf>
      <numFmt numFmtId="14" formatCode="0.00%"/>
    </dxf>
    <dxf>
      <font>
        <b/>
        <color theme="0"/>
      </font>
      <fill>
        <patternFill patternType="solid">
          <fgColor indexed="64"/>
          <bgColor theme="4" tint="-0.249977111117893"/>
        </patternFill>
      </fill>
      <alignment horizontal="center" wrapText="1" readingOrder="0"/>
    </dxf>
    <dxf>
      <alignment wrapText="1" readingOrder="0"/>
    </dxf>
    <dxf>
      <alignment wrapText="1" readingOrder="0"/>
    </dxf>
    <dxf>
      <alignment horizontal="center" readingOrder="0"/>
    </dxf>
    <dxf>
      <alignment horizontal="center" readingOrder="0"/>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numFmt numFmtId="3" formatCode="#,##0"/>
    </dxf>
    <dxf>
      <font>
        <b/>
      </font>
    </dxf>
    <dxf>
      <font>
        <b/>
      </font>
    </dxf>
    <dxf>
      <fill>
        <patternFill patternType="solid">
          <bgColor rgb="FFFBF09F"/>
        </patternFill>
      </fill>
    </dxf>
    <dxf>
      <fill>
        <patternFill patternType="solid">
          <bgColor rgb="FFFBF09F"/>
        </patternFill>
      </fill>
    </dxf>
    <dxf>
      <font>
        <b/>
      </font>
    </dxf>
    <dxf>
      <font>
        <b/>
      </font>
    </dxf>
    <dxf>
      <font>
        <name val="Calibri"/>
        <scheme val="minor"/>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bgColor rgb="FFFCBB69"/>
        </patternFill>
      </fill>
    </dxf>
    <dxf>
      <fill>
        <patternFill>
          <bgColor rgb="FFFCBB69"/>
        </patternFill>
      </fill>
    </dxf>
    <dxf>
      <fill>
        <patternFill>
          <bgColor rgb="FF004B88"/>
        </patternFill>
      </fill>
    </dxf>
    <dxf>
      <fill>
        <patternFill>
          <bgColor rgb="FF004B88"/>
        </patternFill>
      </fill>
    </dxf>
    <dxf>
      <font>
        <name val="Open Sans"/>
        <scheme val="none"/>
      </font>
    </dxf>
    <dxf>
      <alignment horizontal="right" readingOrder="0"/>
    </dxf>
    <dxf>
      <font>
        <b/>
        <color theme="0"/>
      </font>
      <numFmt numFmtId="3" formatCode="#,##0"/>
      <fill>
        <patternFill patternType="solid">
          <fgColor indexed="64"/>
          <bgColor theme="4" tint="-0.249977111117893"/>
        </patternFill>
      </fill>
      <alignment horizontal="center" wrapText="1" readingOrder="0"/>
    </dxf>
    <dxf>
      <font>
        <b/>
        <color theme="0"/>
      </font>
      <numFmt numFmtId="3" formatCode="#,##0"/>
      <fill>
        <patternFill patternType="solid">
          <fgColor indexed="64"/>
          <bgColor theme="4" tint="-0.249977111117893"/>
        </patternFill>
      </fill>
      <alignment horizontal="center" wrapText="1"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14" formatCode="0.00%"/>
    </dxf>
    <dxf>
      <alignment wrapText="1" readingOrder="0"/>
    </dxf>
    <dxf>
      <alignment wrapText="1" readingOrder="0"/>
    </dxf>
    <dxf>
      <font>
        <b/>
      </font>
    </dxf>
    <dxf>
      <font>
        <b/>
      </font>
    </dxf>
    <dxf>
      <font>
        <b/>
      </font>
    </dxf>
    <dxf>
      <font>
        <b/>
      </font>
    </dxf>
    <dxf>
      <fill>
        <patternFill patternType="solid">
          <bgColor rgb="FFFBF09F"/>
        </patternFill>
      </fill>
    </dxf>
    <dxf>
      <fill>
        <patternFill patternType="solid">
          <bgColor rgb="FFFBF09F"/>
        </patternFill>
      </fill>
    </dxf>
    <dxf>
      <font>
        <color theme="0"/>
      </font>
    </dxf>
    <dxf>
      <font>
        <color theme="0"/>
      </font>
    </dxf>
    <dxf>
      <fill>
        <patternFill patternType="solid">
          <bgColor theme="4" tint="-0.249977111117893"/>
        </patternFill>
      </fill>
    </dxf>
    <dxf>
      <fill>
        <patternFill patternType="solid">
          <bgColor theme="4" tint="-0.249977111117893"/>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name val="Calibri"/>
        <scheme val="none"/>
      </font>
    </dxf>
    <dxf>
      <alignment horizontal="center" readingOrder="0"/>
    </dxf>
    <dxf>
      <numFmt numFmtId="3" formatCode="#,##0"/>
    </dxf>
    <dxf>
      <numFmt numFmtId="3" formatCode="#,##0"/>
    </dxf>
    <dxf>
      <fill>
        <patternFill>
          <bgColor rgb="FFFCBB69"/>
        </patternFill>
      </fill>
    </dxf>
    <dxf>
      <fill>
        <patternFill>
          <bgColor rgb="FFFCBB69"/>
        </patternFill>
      </fill>
    </dxf>
    <dxf>
      <fill>
        <patternFill patternType="solid">
          <bgColor rgb="FFFBF09F"/>
        </patternFill>
      </fill>
    </dxf>
    <dxf>
      <fill>
        <patternFill patternType="none">
          <bgColor auto="1"/>
        </patternFill>
      </fill>
    </dxf>
    <dxf>
      <fill>
        <patternFill>
          <bgColor rgb="FF004B88"/>
        </patternFill>
      </fill>
    </dxf>
    <dxf>
      <fill>
        <patternFill>
          <bgColor rgb="FF004B88"/>
        </patternFill>
      </fill>
    </dxf>
    <dxf>
      <font>
        <name val="Open Sans"/>
        <scheme val="none"/>
      </font>
    </dxf>
    <dxf>
      <alignment horizontal="right" readingOrder="0"/>
    </dxf>
    <dxf>
      <font>
        <color theme="0"/>
      </font>
      <numFmt numFmtId="3" formatCode="#,##0"/>
      <fill>
        <patternFill patternType="solid">
          <fgColor indexed="64"/>
          <bgColor theme="4" tint="-0.249977111117893"/>
        </patternFill>
      </fill>
      <alignment horizontal="center" wrapText="1" readingOrder="0"/>
    </dxf>
    <dxf>
      <numFmt numFmtId="14" formatCode="0.00%"/>
    </dxf>
    <dxf>
      <alignment wrapText="1" readingOrder="0"/>
    </dxf>
    <dxf>
      <alignment wrapText="1" readingOrder="0"/>
    </dxf>
    <dxf>
      <numFmt numFmtId="3" formatCode="#,##0"/>
    </dxf>
    <dxf>
      <numFmt numFmtId="3" formatCode="#,##0"/>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name val="Calibri"/>
        <scheme val="minor"/>
      </font>
    </dxf>
    <dxf>
      <font>
        <color theme="0"/>
      </font>
    </dxf>
    <dxf>
      <font>
        <color theme="0"/>
      </font>
    </dxf>
    <dxf>
      <fill>
        <patternFill patternType="solid">
          <bgColor theme="4" tint="-0.249977111117893"/>
        </patternFill>
      </fill>
    </dxf>
    <dxf>
      <fill>
        <patternFill patternType="solid">
          <bgColor theme="4" tint="-0.249977111117893"/>
        </patternFill>
      </fill>
    </dxf>
    <dxf>
      <alignment horizontal="center" readingOrder="0"/>
    </dxf>
    <dxf>
      <alignment horizontal="center" readingOrder="0"/>
    </dxf>
    <dxf>
      <fill>
        <patternFill>
          <bgColor rgb="FFFCBB69"/>
        </patternFill>
      </fill>
    </dxf>
    <dxf>
      <fill>
        <patternFill>
          <bgColor rgb="FFFCBB69"/>
        </patternFill>
      </fill>
    </dxf>
    <dxf>
      <fill>
        <patternFill>
          <bgColor rgb="FF004B88"/>
        </patternFill>
      </fill>
    </dxf>
    <dxf>
      <fill>
        <patternFill>
          <bgColor rgb="FF004B88"/>
        </patternFill>
      </fill>
    </dxf>
    <dxf>
      <fill>
        <patternFill>
          <bgColor rgb="FF004B88"/>
        </patternFill>
      </fill>
    </dxf>
    <dxf>
      <font>
        <name val="Open Sans"/>
        <scheme val="none"/>
      </font>
    </dxf>
    <dxf>
      <alignment horizontal="right" readingOrder="0"/>
    </dxf>
    <dxf>
      <font>
        <color theme="0"/>
      </font>
      <fill>
        <patternFill patternType="solid">
          <fgColor indexed="64"/>
          <bgColor theme="4" tint="-0.249977111117893"/>
        </patternFill>
      </fill>
    </dxf>
    <dxf>
      <fill>
        <patternFill patternType="solid">
          <bgColor rgb="FFFBF09F"/>
        </patternFill>
      </fill>
    </dxf>
    <dxf>
      <fill>
        <patternFill patternType="solid">
          <bgColor rgb="FFFBF09F"/>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alignment wrapText="1" readingOrder="0"/>
    </dxf>
    <dxf>
      <font>
        <name val="Calibri"/>
        <scheme val="minor"/>
      </font>
    </dxf>
    <dxf>
      <font>
        <color theme="0"/>
      </font>
    </dxf>
    <dxf>
      <font>
        <color theme="0"/>
      </font>
    </dxf>
    <dxf>
      <fill>
        <patternFill patternType="solid">
          <bgColor theme="4" tint="-0.249977111117893"/>
        </patternFill>
      </fill>
    </dxf>
    <dxf>
      <fill>
        <patternFill patternType="solid">
          <bgColor theme="4" tint="-0.249977111117893"/>
        </patternFill>
      </fill>
    </dxf>
    <dxf>
      <numFmt numFmtId="164" formatCode="0.0%"/>
    </dxf>
    <dxf>
      <numFmt numFmtId="3" formatCode="#,##0"/>
    </dxf>
    <dxf>
      <alignment horizontal="center" readingOrder="0"/>
    </dxf>
    <dxf>
      <fill>
        <patternFill>
          <bgColor rgb="FFFCBB69"/>
        </patternFill>
      </fill>
    </dxf>
    <dxf>
      <fill>
        <patternFill>
          <bgColor rgb="FFFCBB69"/>
        </patternFill>
      </fill>
    </dxf>
    <dxf>
      <fill>
        <patternFill>
          <bgColor rgb="FF004B88"/>
        </patternFill>
      </fill>
    </dxf>
    <dxf>
      <fill>
        <patternFill>
          <bgColor rgb="FF004B88"/>
        </patternFill>
      </fill>
    </dxf>
    <dxf>
      <font>
        <name val="Open Sans"/>
        <scheme val="none"/>
      </font>
    </dxf>
    <dxf>
      <alignment horizontal="right" readingOrder="0"/>
    </dxf>
    <dxf>
      <alignment wrapText="1" readingOrder="0"/>
    </dxf>
    <dxf>
      <alignment wrapText="1" readingOrder="0"/>
    </dxf>
    <dxf>
      <numFmt numFmtId="164" formatCode="0.0%"/>
    </dxf>
    <dxf>
      <alignment horizontal="center" readingOrder="0"/>
    </dxf>
    <dxf>
      <font>
        <color theme="0"/>
      </font>
    </dxf>
    <dxf>
      <fill>
        <patternFill patternType="solid">
          <bgColor theme="4" tint="-0.249977111117893"/>
        </patternFill>
      </fill>
    </dxf>
    <dxf>
      <fill>
        <patternFill patternType="solid">
          <bgColor rgb="FFFBF09F"/>
        </patternFill>
      </fill>
    </dxf>
    <dxf>
      <fill>
        <patternFill patternType="solid">
          <bgColor rgb="FFFBF09F"/>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numFmt numFmtId="3" formatCode="#,##0"/>
    </dxf>
    <dxf>
      <alignment horizontal="center" readingOrder="0"/>
    </dxf>
    <dxf>
      <font>
        <name val="Calibri"/>
        <scheme val="none"/>
      </font>
    </dxf>
    <dxf>
      <fill>
        <patternFill>
          <bgColor theme="4" tint="-0.249977111117893"/>
        </patternFill>
      </fill>
    </dxf>
    <dxf>
      <fill>
        <patternFill>
          <bgColor theme="4" tint="-0.249977111117893"/>
        </patternFill>
      </fill>
    </dxf>
    <dxf>
      <font>
        <color theme="0"/>
      </font>
    </dxf>
    <dxf>
      <font>
        <color theme="0"/>
      </font>
    </dxf>
    <dxf>
      <fill>
        <patternFill patternType="solid">
          <bgColor theme="4"/>
        </patternFill>
      </fill>
    </dxf>
    <dxf>
      <fill>
        <patternFill patternType="solid">
          <bgColor theme="4"/>
        </patternFill>
      </fill>
    </dxf>
    <dxf>
      <font>
        <color auto="1"/>
      </font>
    </dxf>
    <dxf>
      <font>
        <color auto="1"/>
      </font>
    </dxf>
    <dxf>
      <fill>
        <patternFill>
          <bgColor rgb="FFFCBB69"/>
        </patternFill>
      </fill>
    </dxf>
    <dxf>
      <fill>
        <patternFill>
          <bgColor rgb="FFFCBB69"/>
        </patternFill>
      </fill>
    </dxf>
    <dxf>
      <fill>
        <patternFill>
          <bgColor rgb="FF004B88"/>
        </patternFill>
      </fill>
    </dxf>
    <dxf>
      <fill>
        <patternFill>
          <bgColor rgb="FF004B88"/>
        </patternFill>
      </fill>
    </dxf>
    <dxf>
      <fill>
        <patternFill>
          <bgColor rgb="FF004B88"/>
        </patternFill>
      </fill>
    </dxf>
    <dxf>
      <font>
        <name val="Open Sans"/>
        <scheme val="none"/>
      </font>
    </dxf>
    <dxf>
      <alignment horizontal="right" readingOrder="0"/>
    </dxf>
    <dxf>
      <alignment horizontal="center" readingOrder="0"/>
    </dxf>
    <dxf>
      <font>
        <color theme="0"/>
      </font>
    </dxf>
    <dxf>
      <font>
        <color theme="0"/>
      </font>
    </dxf>
    <dxf>
      <fill>
        <patternFill patternType="solid">
          <bgColor theme="4" tint="-0.249977111117893"/>
        </patternFill>
      </fill>
    </dxf>
    <dxf>
      <fill>
        <patternFill patternType="solid">
          <bgColor theme="4" tint="-0.249977111117893"/>
        </patternFill>
      </fill>
    </dxf>
    <dxf>
      <numFmt numFmtId="3" formatCode="#,##0"/>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name val="Calibri"/>
        <scheme val="minor"/>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rgb="FF00B050"/>
        </patternFill>
      </fill>
    </dxf>
    <dxf>
      <fill>
        <patternFill>
          <bgColor rgb="FFFF0000"/>
        </patternFill>
      </fill>
    </dxf>
    <dxf>
      <font>
        <name val="Open Sans"/>
        <scheme val="none"/>
      </font>
    </dxf>
    <dxf>
      <font>
        <name val="Open Sans"/>
        <scheme val="none"/>
      </font>
    </dxf>
    <dxf>
      <font>
        <name val="Open Sans"/>
        <scheme val="none"/>
      </font>
    </dxf>
    <dxf>
      <font>
        <b/>
        <i val="0"/>
        <color rgb="FFFF0000"/>
      </font>
    </dxf>
    <dxf>
      <font>
        <color rgb="FFFF0000"/>
      </font>
    </dxf>
    <dxf>
      <font>
        <b/>
      </font>
    </dxf>
    <dxf>
      <font>
        <b/>
      </font>
    </dxf>
    <dxf>
      <font>
        <b/>
      </font>
    </dxf>
    <dxf>
      <font>
        <b/>
      </font>
    </dxf>
    <dxf>
      <font>
        <color theme="0"/>
      </font>
    </dxf>
    <dxf>
      <font>
        <color theme="0"/>
      </font>
    </dxf>
    <dxf>
      <font>
        <color theme="0"/>
      </font>
    </dxf>
    <dxf>
      <font>
        <color theme="0"/>
      </font>
    </dxf>
    <dxf>
      <fill>
        <patternFill>
          <bgColor rgb="FF004B88"/>
        </patternFill>
      </fill>
    </dxf>
    <dxf>
      <fill>
        <patternFill>
          <bgColor rgb="FF004B88"/>
        </patternFill>
      </fill>
    </dxf>
    <dxf>
      <fill>
        <patternFill>
          <bgColor rgb="FF004B88"/>
        </patternFill>
      </fill>
    </dxf>
    <dxf>
      <fill>
        <patternFill>
          <bgColor rgb="FF004B88"/>
        </patternFill>
      </fill>
    </dxf>
    <dxf>
      <font>
        <name val="Open Sans"/>
        <scheme val="none"/>
      </font>
    </dxf>
    <dxf>
      <alignment horizontal="right" readingOrder="0"/>
    </dxf>
    <dxf>
      <font>
        <color theme="0"/>
      </font>
      <fill>
        <patternFill>
          <bgColor indexed="64"/>
        </patternFill>
      </fill>
    </dxf>
    <dxf>
      <numFmt numFmtId="164" formatCode="0.0%"/>
    </dxf>
    <dxf>
      <numFmt numFmtId="164" formatCode="0.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center" readingOrder="0"/>
    </dxf>
    <dxf>
      <numFmt numFmtId="14" formatCode="0.00%"/>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name val="Calibri"/>
        <scheme val="minor"/>
      </font>
    </dxf>
    <dxf>
      <alignment horizontal="center" readingOrder="0"/>
    </dxf>
    <dxf>
      <numFmt numFmtId="3" formatCode="#,##0"/>
    </dxf>
    <dxf>
      <numFmt numFmtId="3" formatCode="#,##0"/>
    </dxf>
    <dxf>
      <fill>
        <patternFill>
          <bgColor rgb="FF004B88"/>
        </patternFill>
      </fill>
    </dxf>
    <dxf>
      <fill>
        <patternFill>
          <bgColor rgb="FF004B88"/>
        </patternFill>
      </fill>
    </dxf>
    <dxf>
      <fill>
        <patternFill>
          <bgColor rgb="FF004B88"/>
        </patternFill>
      </fill>
    </dxf>
    <dxf>
      <font>
        <name val="Open Sans"/>
        <scheme val="none"/>
      </font>
    </dxf>
    <dxf>
      <alignment horizontal="right" readingOrder="0"/>
    </dxf>
    <dxf>
      <numFmt numFmtId="164" formatCode="0.0%"/>
    </dxf>
    <dxf>
      <numFmt numFmtId="164" formatCode="0.0%"/>
    </dxf>
    <dxf>
      <alignment wrapText="1" readingOrder="0"/>
    </dxf>
    <dxf>
      <alignment wrapText="1" readingOrder="0"/>
    </dxf>
    <dxf>
      <alignment wrapText="1" readingOrder="0"/>
    </dxf>
    <dxf>
      <fill>
        <patternFill patternType="solid">
          <bgColor theme="4" tint="-0.249977111117893"/>
        </patternFill>
      </fill>
    </dxf>
    <dxf>
      <alignment horizontal="center" readingOrder="0"/>
    </dxf>
    <dxf>
      <numFmt numFmtId="14" formatCode="0.00%"/>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center" readingOrder="0"/>
    </dxf>
    <dxf>
      <numFmt numFmtId="3" formatCode="#,##0"/>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name val="Calibri"/>
        <scheme val="minor"/>
      </font>
    </dxf>
    <dxf>
      <font>
        <name val="Open Sans"/>
        <scheme val="none"/>
      </font>
    </dxf>
    <dxf>
      <font>
        <name val="Open Sans"/>
        <scheme val="none"/>
      </font>
    </dxf>
    <dxf>
      <font>
        <name val="Open Sans"/>
        <scheme val="none"/>
      </font>
    </dxf>
    <dxf>
      <font>
        <name val="Open Sans"/>
        <scheme val="none"/>
      </font>
    </dxf>
    <dxf>
      <font>
        <name val="Open Sans"/>
        <scheme val="none"/>
      </font>
    </dxf>
    <dxf>
      <font>
        <name val="Open Sans"/>
        <scheme val="none"/>
      </font>
    </dxf>
    <dxf>
      <font>
        <name val="Open Sans"/>
        <scheme val="none"/>
      </font>
    </dxf>
    <dxf>
      <font>
        <name val="Open Sans"/>
        <scheme val="none"/>
      </font>
    </dxf>
    <dxf>
      <border>
        <left/>
        <right/>
        <top/>
        <bottom/>
      </border>
    </dxf>
    <dxf>
      <border>
        <left/>
        <right/>
        <top/>
        <bottom/>
      </border>
    </dxf>
    <dxf>
      <border>
        <left/>
        <right/>
        <top/>
        <bottom/>
      </border>
    </dxf>
    <dxf>
      <border>
        <left/>
        <right/>
        <top/>
        <bottom/>
      </border>
    </dxf>
    <dxf>
      <alignment horizontal="center" readingOrder="0"/>
    </dxf>
    <dxf>
      <numFmt numFmtId="3" formatCode="#,##0"/>
    </dxf>
    <dxf>
      <font>
        <name val="Open Sans"/>
        <scheme val="none"/>
      </font>
    </dxf>
    <dxf>
      <font>
        <name val="Open Sans"/>
        <scheme val="none"/>
      </font>
    </dxf>
    <dxf>
      <fill>
        <patternFill>
          <bgColor rgb="FFFF0000"/>
        </patternFill>
      </fill>
    </dxf>
    <dxf>
      <font>
        <name val="Open Sans"/>
        <scheme val="none"/>
      </font>
    </dxf>
    <dxf>
      <fill>
        <patternFill>
          <bgColor rgb="FF004B88"/>
        </patternFill>
      </fill>
    </dxf>
    <dxf>
      <font>
        <b val="0"/>
      </font>
    </dxf>
    <dxf>
      <fill>
        <patternFill patternType="solid">
          <bgColor theme="8" tint="-0.249977111117893"/>
        </patternFill>
      </fill>
    </dxf>
    <dxf>
      <font>
        <sz val="16"/>
      </font>
    </dxf>
    <dxf>
      <font>
        <name val="Calibri"/>
        <scheme val="minor"/>
      </font>
    </dxf>
    <dxf>
      <font>
        <name val="Open Sans"/>
        <scheme val="none"/>
      </font>
    </dxf>
    <dxf>
      <font>
        <sz val="16"/>
      </font>
    </dxf>
    <dxf>
      <font>
        <name val="Open Sans"/>
        <scheme val="none"/>
      </font>
    </dxf>
    <dxf>
      <font>
        <sz val="16"/>
      </font>
    </dxf>
    <dxf>
      <font>
        <name val="Open Sans"/>
        <scheme val="none"/>
      </font>
    </dxf>
    <dxf>
      <fill>
        <patternFill patternType="solid">
          <bgColor rgb="FF004B88"/>
        </patternFill>
      </fill>
    </dxf>
    <dxf>
      <font>
        <color auto="1"/>
      </font>
    </dxf>
    <dxf>
      <font>
        <sz val="16"/>
      </font>
    </dxf>
    <dxf>
      <font>
        <name val="Calibri"/>
        <scheme val="minor"/>
      </font>
    </dxf>
    <dxf>
      <font>
        <name val="Open Sans"/>
        <scheme val="none"/>
      </font>
    </dxf>
    <dxf>
      <fill>
        <patternFill>
          <bgColor rgb="FF004B88"/>
        </patternFill>
      </fill>
    </dxf>
    <dxf>
      <font>
        <b val="0"/>
      </font>
    </dxf>
    <dxf>
      <fill>
        <patternFill patternType="solid">
          <bgColor theme="8" tint="-0.249977111117893"/>
        </patternFill>
      </fill>
    </dxf>
    <dxf>
      <font>
        <sz val="16"/>
      </font>
    </dxf>
    <dxf>
      <font>
        <name val="Calibri"/>
        <scheme val="minor"/>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dxf>
    <dxf>
      <font>
        <color auto="1"/>
      </font>
    </dxf>
    <dxf>
      <font>
        <color auto="1"/>
      </font>
    </dxf>
    <dxf>
      <font>
        <color auto="1"/>
      </font>
    </dxf>
    <dxf>
      <fill>
        <patternFill>
          <bgColor rgb="FFFCBB69"/>
        </patternFill>
      </fill>
    </dxf>
    <dxf>
      <fill>
        <patternFill>
          <bgColor rgb="FFFCBB69"/>
        </patternFill>
      </fill>
    </dxf>
    <dxf>
      <fill>
        <patternFill>
          <bgColor rgb="FFFCBB69"/>
        </patternFill>
      </fill>
    </dxf>
    <dxf>
      <fill>
        <patternFill>
          <bgColor rgb="FFFCBB69"/>
        </patternFill>
      </fill>
    </dxf>
    <dxf>
      <font>
        <b/>
      </font>
    </dxf>
    <dxf>
      <font>
        <b/>
      </font>
    </dxf>
    <dxf>
      <font>
        <sz val="14"/>
      </font>
    </dxf>
    <dxf>
      <font>
        <sz val="14"/>
      </font>
    </dxf>
    <dxf>
      <font>
        <sz val="14"/>
      </font>
    </dxf>
    <dxf>
      <font>
        <sz val="14"/>
      </font>
    </dxf>
    <dxf>
      <font>
        <b val="0"/>
      </font>
    </dxf>
    <dxf>
      <font>
        <b val="0"/>
      </font>
    </dxf>
    <dxf>
      <font>
        <name val="Open Sans"/>
        <scheme val="none"/>
      </font>
    </dxf>
    <dxf>
      <font>
        <name val="Open Sans"/>
        <scheme val="none"/>
      </font>
    </dxf>
    <dxf>
      <font>
        <name val="Open Sans"/>
        <scheme val="none"/>
      </font>
    </dxf>
    <dxf>
      <font>
        <name val="Open Sans"/>
        <scheme val="none"/>
      </font>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bgColor theme="8" tint="-0.249977111117893"/>
        </patternFill>
      </fill>
    </dxf>
    <dxf>
      <fill>
        <patternFill>
          <bgColor theme="8" tint="-0.249977111117893"/>
        </patternFill>
      </fill>
    </dxf>
    <dxf>
      <fill>
        <patternFill>
          <bgColor theme="8" tint="-0.249977111117893"/>
        </patternFill>
      </fill>
    </dxf>
    <dxf>
      <fill>
        <patternFill>
          <bgColor theme="8" tint="-0.249977111117893"/>
        </patternFill>
      </fill>
    </dxf>
    <dxf>
      <font>
        <b val="0"/>
      </font>
    </dxf>
    <dxf>
      <font>
        <b val="0"/>
      </font>
    </dxf>
    <dxf>
      <font>
        <b val="0"/>
      </font>
    </dxf>
    <dxf>
      <font>
        <b val="0"/>
      </font>
    </dxf>
    <dxf>
      <font>
        <sz val="16"/>
      </font>
    </dxf>
    <dxf>
      <font>
        <sz val="16"/>
      </font>
    </dxf>
    <dxf>
      <font>
        <sz val="16"/>
      </font>
    </dxf>
    <dxf>
      <font>
        <sz val="16"/>
      </font>
    </dxf>
    <dxf>
      <font>
        <name val="Calibri"/>
        <scheme val="minor"/>
      </font>
    </dxf>
    <dxf>
      <font>
        <name val="Calibri"/>
        <scheme val="minor"/>
      </font>
    </dxf>
    <dxf>
      <font>
        <name val="Calibri"/>
        <scheme val="minor"/>
      </font>
    </dxf>
    <dxf>
      <font>
        <name val="Calibri"/>
        <scheme val="minor"/>
      </font>
    </dxf>
    <dxf>
      <fill>
        <patternFill patternType="solid">
          <bgColor theme="4" tint="-0.499984740745262"/>
        </patternFill>
      </fill>
    </dxf>
    <dxf>
      <fill>
        <patternFill patternType="solid">
          <bgColor theme="4" tint="-0.499984740745262"/>
        </patternFill>
      </fill>
    </dxf>
    <dxf>
      <font>
        <color theme="0"/>
      </font>
    </dxf>
    <dxf>
      <font>
        <color theme="0"/>
      </font>
    </dxf>
    <dxf>
      <font>
        <sz val="16"/>
      </font>
    </dxf>
    <dxf>
      <font>
        <sz val="16"/>
      </font>
    </dxf>
    <dxf>
      <font>
        <name val="Calibri"/>
        <scheme val="minor"/>
      </font>
    </dxf>
    <dxf>
      <font>
        <name val="Calibri"/>
        <scheme val="minor"/>
      </font>
    </dxf>
    <dxf>
      <font>
        <b/>
      </font>
    </dxf>
    <dxf>
      <font>
        <b/>
      </font>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ont>
        <color theme="0"/>
      </font>
    </dxf>
    <dxf>
      <font>
        <color theme="0"/>
      </font>
    </dxf>
    <dxf>
      <font>
        <color theme="0"/>
      </font>
    </dxf>
    <dxf>
      <font>
        <color theme="0"/>
      </font>
    </dxf>
    <dxf>
      <font>
        <sz val="16"/>
        <name val="Calibri"/>
        <scheme val="minor"/>
      </font>
    </dxf>
    <dxf>
      <font>
        <sz val="16"/>
        <name val="Calibri"/>
        <scheme val="minor"/>
      </font>
    </dxf>
    <dxf>
      <font>
        <b/>
      </font>
    </dxf>
    <dxf>
      <font>
        <sz val="14"/>
      </font>
    </dxf>
    <dxf>
      <font>
        <name val="Open Sans"/>
        <scheme val="none"/>
      </font>
    </dxf>
    <dxf>
      <fill>
        <patternFill patternType="solid">
          <bgColor rgb="FF004B88"/>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004B88"/>
        </patternFill>
      </fill>
    </dxf>
    <dxf>
      <fill>
        <patternFill patternType="solid">
          <bgColor rgb="FF004B88"/>
        </patternFill>
      </fill>
    </dxf>
    <dxf>
      <fill>
        <patternFill patternType="solid">
          <bgColor rgb="FF004B88"/>
        </patternFill>
      </fill>
    </dxf>
    <dxf>
      <fill>
        <patternFill patternType="solid">
          <bgColor rgb="FF004B88"/>
        </patternFill>
      </fill>
    </dxf>
    <dxf>
      <fill>
        <patternFill patternType="solid">
          <bgColor rgb="FF004B88"/>
        </patternFill>
      </fill>
    </dxf>
    <dxf>
      <fill>
        <patternFill patternType="solid">
          <bgColor rgb="FF004B88"/>
        </patternFill>
      </fill>
    </dxf>
    <dxf>
      <font>
        <b val="0"/>
      </font>
    </dxf>
    <dxf>
      <font>
        <sz val="14"/>
      </font>
    </dxf>
    <dxf>
      <font>
        <sz val="14"/>
      </font>
    </dxf>
    <dxf>
      <font>
        <sz val="14"/>
      </font>
    </dxf>
    <dxf>
      <font>
        <sz val="14"/>
      </font>
    </dxf>
    <dxf>
      <font>
        <sz val="14"/>
      </font>
    </dxf>
    <dxf>
      <font>
        <sz val="14"/>
      </font>
    </dxf>
    <dxf>
      <font>
        <b val="0"/>
      </font>
    </dxf>
    <dxf>
      <font>
        <b val="0"/>
      </font>
    </dxf>
    <dxf>
      <font>
        <b val="0"/>
      </font>
    </dxf>
    <dxf>
      <font>
        <b val="0"/>
      </font>
    </dxf>
    <dxf>
      <font>
        <b val="0"/>
      </font>
    </dxf>
    <dxf>
      <font>
        <name val="Open Sans"/>
        <scheme val="none"/>
      </font>
    </dxf>
    <dxf>
      <font>
        <name val="Open Sans"/>
        <scheme val="none"/>
      </font>
    </dxf>
    <dxf>
      <font>
        <name val="Open Sans"/>
        <scheme val="none"/>
      </font>
    </dxf>
    <dxf>
      <font>
        <name val="Open Sans"/>
        <scheme val="none"/>
      </font>
    </dxf>
    <dxf>
      <font>
        <name val="Open Sans"/>
        <scheme val="none"/>
      </font>
    </dxf>
    <dxf>
      <font>
        <name val="Open Sans"/>
        <scheme val="none"/>
      </font>
    </dxf>
    <dxf>
      <border>
        <left style="thin">
          <color theme="0" tint="-0.499984740745262"/>
        </left>
        <right style="thin">
          <color theme="0" tint="-0.499984740745262"/>
        </right>
        <bottom style="thin">
          <color theme="0" tint="-0.499984740745262"/>
        </bottom>
      </border>
    </dxf>
    <dxf>
      <border>
        <left style="thin">
          <color theme="0" tint="-0.499984740745262"/>
        </left>
        <right style="thin">
          <color theme="0" tint="-0.499984740745262"/>
        </right>
        <bottom style="thin">
          <color theme="0" tint="-0.499984740745262"/>
        </bottom>
      </border>
    </dxf>
    <dxf>
      <border>
        <left style="thin">
          <color theme="0" tint="-0.499984740745262"/>
        </left>
        <right style="thin">
          <color theme="0" tint="-0.499984740745262"/>
        </right>
        <bottom style="thin">
          <color theme="0" tint="-0.499984740745262"/>
        </bottom>
      </border>
    </dxf>
    <dxf>
      <border>
        <left style="thin">
          <color theme="0" tint="-0.499984740745262"/>
        </left>
        <right style="thin">
          <color theme="0" tint="-0.499984740745262"/>
        </right>
        <bottom style="thin">
          <color theme="0" tint="-0.499984740745262"/>
        </bottom>
      </border>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sz val="16"/>
      </font>
    </dxf>
    <dxf>
      <font>
        <sz val="16"/>
      </font>
    </dxf>
    <dxf>
      <font>
        <sz val="16"/>
      </font>
    </dxf>
    <dxf>
      <font>
        <sz val="16"/>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Calibri"/>
        <scheme val="minor"/>
      </font>
    </dxf>
    <dxf>
      <font>
        <name val="Calibri"/>
        <scheme val="minor"/>
      </font>
    </dxf>
    <dxf>
      <font>
        <name val="Calibri"/>
        <scheme val="minor"/>
      </font>
    </dxf>
    <dxf>
      <font>
        <name val="Calibri"/>
        <scheme val="minor"/>
      </font>
    </dxf>
    <dxf>
      <border>
        <top style="thin">
          <color theme="0" tint="-0.34998626667073579"/>
        </top>
        <bottom style="thin">
          <color theme="0" tint="-0.34998626667073579"/>
        </bottom>
        <horizontal style="thin">
          <color theme="0" tint="-0.34998626667073579"/>
        </horizontal>
      </border>
    </dxf>
    <dxf>
      <fill>
        <patternFill>
          <bgColor theme="8" tint="0.79998168889431442"/>
        </patternFill>
      </fill>
      <border diagonalUp="0" diagonalDown="0">
        <left/>
        <right/>
        <top/>
        <bottom/>
        <vertical/>
        <horizontal/>
      </border>
    </dxf>
    <dxf>
      <font>
        <b/>
        <i val="0"/>
      </font>
      <fill>
        <patternFill>
          <bgColor theme="8" tint="0.39994506668294322"/>
        </patternFill>
      </fill>
    </dxf>
    <dxf>
      <font>
        <color theme="0"/>
      </font>
      <fill>
        <patternFill>
          <bgColor theme="8" tint="-0.24994659260841701"/>
        </patternFill>
      </fill>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top style="thin">
          <color theme="0" tint="-0.34998626667073579"/>
        </top>
        <bottom style="thin">
          <color theme="0" tint="-0.34998626667073579"/>
        </bottom>
        <horizontal style="thin">
          <color theme="0" tint="-0.34998626667073579"/>
        </horizontal>
      </border>
    </dxf>
    <dxf>
      <fill>
        <patternFill>
          <bgColor theme="4" tint="0.79998168889431442"/>
        </patternFill>
      </fill>
      <border diagonalUp="0" diagonalDown="0">
        <left/>
        <right/>
        <top/>
        <bottom/>
        <vertical/>
        <horizontal/>
      </border>
    </dxf>
    <dxf>
      <font>
        <b/>
        <i val="0"/>
      </font>
      <fill>
        <patternFill>
          <bgColor theme="4" tint="0.59996337778862885"/>
        </patternFill>
      </fill>
    </dxf>
    <dxf>
      <font>
        <color theme="0"/>
      </font>
      <fill>
        <patternFill>
          <bgColor theme="3"/>
        </patternFill>
      </fill>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MySqlDefault" pivot="0" table="0" count="2">
      <tableStyleElement type="wholeTable" dxfId="480"/>
      <tableStyleElement type="headerRow" dxfId="479"/>
    </tableStyle>
    <tableStyle name="PivotTable Style 1" table="0" count="5">
      <tableStyleElement type="wholeTable" dxfId="478"/>
      <tableStyleElement type="headerRow" dxfId="477"/>
      <tableStyleElement type="firstRowSubheading" dxfId="476"/>
      <tableStyleElement type="secondRowSubheading" dxfId="475"/>
      <tableStyleElement type="thirdRowSubheading" dxfId="474"/>
    </tableStyle>
    <tableStyle name="PivotTable Style 1 2" table="0" count="5">
      <tableStyleElement type="wholeTable" dxfId="473"/>
      <tableStyleElement type="headerRow" dxfId="472"/>
      <tableStyleElement type="firstRowSubheading" dxfId="471"/>
      <tableStyleElement type="secondRowSubheading" dxfId="470"/>
      <tableStyleElement type="thirdRowSubheading" dxfId="469"/>
    </tableStyle>
  </tableStyles>
  <colors>
    <mruColors>
      <color rgb="FFD38173"/>
      <color rgb="FF8064A2"/>
      <color rgb="FFF0F452"/>
      <color rgb="FF004B88"/>
      <color rgb="FF92D050"/>
      <color rgb="FFFCBB69"/>
      <color rgb="FF57486B"/>
      <color rgb="FFFFCC66"/>
      <color rgb="FF95B3D7"/>
      <color rgb="FFFBF09F"/>
    </mruColors>
  </colors>
  <extLst>
    <ext xmlns:x14="http://schemas.microsoft.com/office/spreadsheetml/2009/9/main" uri="{EB79DEF2-80B8-43e5-95BD-54CBDDF9020C}">
      <x14:slicerStyles defaultSlicerStyle="SlicerStyleLight1"/>
    </ext>
  </extLst>
</styleSheet>
</file>

<file path=xl/volatileDependencies.xml><?xml version="1.0" encoding="utf-8"?>
<volTypes xmlns="http://schemas.openxmlformats.org/spreadsheetml/2006/main">
  <volType type="olapFunctions">
    <main first="cabcrmsqlrs1 CABReportingCubes Local Advice Event">
      <tp t="e">
        <v>#N/A</v>
        <stp>1</stp>
        <tr r="C23" s="1"/>
        <tr r="AE83" s="16"/>
        <tr r="AE93" s="16"/>
        <tr r="AE146" s="16"/>
        <tr r="AE246" s="16"/>
        <tr r="AD32" s="16"/>
        <tr r="AE164" s="16"/>
        <tr r="AE186" s="16"/>
        <tr r="O30" s="11"/>
        <tr r="AE194" s="16"/>
        <tr r="C27" s="1"/>
        <tr r="O35" s="11"/>
        <tr r="AE269" s="16"/>
        <tr r="AE115" s="16"/>
        <tr r="O36" s="11"/>
        <tr r="AE116" s="16"/>
        <tr r="AE99" s="16"/>
        <tr r="AE234" s="16"/>
        <tr r="O37" s="11"/>
        <tr r="AE337" s="16"/>
        <tr r="E35" s="1"/>
        <tr r="CH81" s="17"/>
        <tr r="CH81" s="17"/>
        <tr r="O25" s="11"/>
        <tr r="AE208" s="16"/>
        <tr r="AE139" s="16"/>
        <tr r="E37" s="1"/>
        <tr r="E28" s="1"/>
        <tr r="AE62" s="16"/>
        <tr r="AD23" s="16"/>
        <tr r="AE218" s="16"/>
        <tr r="AE106" s="16"/>
        <tr r="AE228" s="16"/>
        <tr r="AD25" s="16"/>
        <tr r="AE121" s="16"/>
        <tr r="E25" s="1"/>
        <tr r="C26" s="1"/>
        <tr r="AE295" s="16"/>
        <tr r="AE178" s="16"/>
        <tr r="AE261" s="16"/>
        <tr r="AE216" s="16"/>
        <tr r="AE48" s="16"/>
        <tr r="AE240" s="16"/>
        <tr r="AE171" s="16"/>
        <tr r="AE149" s="16"/>
        <tr r="AD149" s="16"/>
        <tr r="AE235" s="16"/>
        <tr r="AE265" s="16"/>
        <tr r="AE179" s="16"/>
        <tr r="AE76" s="16"/>
        <tr r="AE197" s="16"/>
        <tr r="AE67" s="16"/>
        <tr r="AE296" s="16"/>
        <tr r="AE320" s="16"/>
        <tr r="AE276" s="16"/>
        <tr r="AE217" s="16"/>
        <tr r="AD217" s="16"/>
        <tr r="AE85" s="16"/>
        <tr r="AE312" s="16"/>
        <tr r="AE244" s="16"/>
        <tr r="AE338" s="16"/>
        <tr r="AE264" s="16"/>
        <tr r="AE290" s="16"/>
        <tr r="AE141" s="16"/>
        <tr r="AC303" s="16"/>
        <tr r="E31" s="1"/>
        <tr r="AE92" s="16"/>
        <tr r="AD33" s="16"/>
        <tr r="AE103" s="16"/>
        <tr r="AE50" s="16"/>
        <tr r="O40" s="11"/>
        <tr r="AE266" s="16"/>
        <tr r="AE104" s="16"/>
        <tr r="AE239" s="16"/>
        <tr r="AE100" s="16"/>
        <tr r="AE242" s="16"/>
        <tr r="AE122" s="16"/>
        <tr r="AE56" s="16"/>
        <tr r="AE212" s="16"/>
        <tr r="AE294" s="16"/>
        <tr r="AE128" s="16"/>
        <tr r="AD128" s="16"/>
        <tr r="AC228" s="16"/>
        <tr r="AE97" s="16"/>
        <tr r="AE248" s="16"/>
        <tr r="AE211" s="16"/>
        <tr r="AE82" s="16"/>
        <tr r="AD30" s="16"/>
        <tr r="AD21" s="16"/>
        <tr r="AE63" s="16"/>
        <tr r="AE192" s="16"/>
        <tr r="AE282" s="16"/>
        <tr r="AE324" s="16"/>
        <tr r="AE325" s="16"/>
        <tr r="AE283" s="16"/>
        <tr r="AE204" s="16"/>
        <tr r="AE263" s="16"/>
        <tr r="AE75" s="16"/>
        <tr r="AC154" s="16"/>
        <tr r="AE301" s="16"/>
        <tr r="AE326" s="16"/>
        <tr r="AE335" s="16"/>
        <tr r="AE152" s="16"/>
        <tr r="AE219" s="16"/>
        <tr r="AE202" s="16"/>
        <tr r="AE154" s="16"/>
        <tr r="O31" s="11"/>
        <tr r="AE105" s="16"/>
        <tr r="AE193" s="16"/>
        <tr r="AE125" s="16"/>
        <tr r="AE306" s="16"/>
        <tr r="AE253" s="16"/>
        <tr r="AE131" s="16"/>
        <tr r="AE299" s="16"/>
        <tr r="AE69" s="16"/>
        <tr r="AE135" s="16"/>
        <tr r="AE233" s="16"/>
        <tr r="AE198" s="16"/>
        <tr r="AE144" s="16"/>
        <tr r="AE226" s="16"/>
        <tr r="AE317" s="16"/>
        <tr r="AE161" s="16"/>
        <tr r="AE89" s="16"/>
        <tr r="AD20" s="16"/>
        <tr r="AE64" s="16"/>
        <tr r="AE281" s="16"/>
        <tr r="AE336" s="16"/>
        <tr r="AD29" s="16"/>
        <tr r="AE156" s="16"/>
        <tr r="AE163" s="16"/>
        <tr r="AE77" s="16"/>
        <tr r="AE318" s="16"/>
        <tr r="AE158" s="16"/>
        <tr r="AE150" s="16"/>
        <tr r="AE129" s="16"/>
        <tr r="AE287" s="16"/>
        <tr r="AD26" s="16"/>
        <tr r="AE252" s="16"/>
        <tr r="AE209" s="16"/>
        <tr r="AE224" s="16"/>
        <tr r="AE58" s="16"/>
        <tr r="AE148" s="16"/>
        <tr r="AE214" s="16"/>
        <tr r="AE162" s="16"/>
        <tr r="AE159" s="16"/>
        <tr r="AC156" s="16"/>
        <tr r="AC76" s="16"/>
        <tr r="AC253" s="16"/>
        <tr r="AC305" s="16"/>
        <tr r="AC272" s="16"/>
        <tr r="AC282" s="16"/>
        <tr r="AC67" s="16"/>
        <tr r="AE138" s="16"/>
        <tr r="AD138" s="16"/>
        <tr r="AC147" s="16"/>
        <tr r="AC103" s="16"/>
        <tr r="AE53" s="16"/>
        <tr r="AE117" s="16"/>
        <tr r="AE334" s="16"/>
        <tr r="AE59" s="16"/>
        <tr r="AE200" s="16"/>
        <tr r="AE151" s="16"/>
        <tr r="AE78" s="16"/>
        <tr r="AE90" s="16"/>
        <tr r="AE118" s="16"/>
        <tr r="O41" s="11"/>
        <tr r="AE331" s="16"/>
        <tr r="AE183" s="16"/>
        <tr r="AE245" s="16"/>
        <tr r="AE147" s="16"/>
        <tr r="AE153" s="16"/>
        <tr r="AE61" s="16"/>
        <tr r="AE251" s="16"/>
        <tr r="AE114" s="16"/>
        <tr r="AE72" s="16"/>
        <tr r="AE232" s="16"/>
        <tr r="AE88" s="16"/>
        <tr r="AE113" s="16"/>
        <tr r="AE267" s="16"/>
        <tr r="AE277" s="16"/>
        <tr r="AE169" s="16"/>
        <tr r="AE196" s="16"/>
        <tr r="AE101" s="16"/>
        <tr r="AE284" s="16"/>
        <tr r="AE54" s="16"/>
        <tr r="AE134" s="16"/>
        <tr r="AE51" s="16"/>
        <tr r="AE98" s="16"/>
        <tr r="AE184" s="16"/>
        <tr r="AE259" s="16"/>
        <tr r="AE157" s="16"/>
        <tr r="AE257" s="16"/>
        <tr r="AE137" s="16"/>
        <tr r="AE145" s="16"/>
        <tr r="AE107" s="16"/>
        <tr r="AE205" s="16"/>
        <tr r="AE191" s="16"/>
        <tr r="AE136" s="16"/>
        <tr r="AE176" s="16"/>
        <tr r="AE74" s="16"/>
        <tr r="AE288" s="16"/>
        <tr r="AE311" s="16"/>
        <tr r="BE21" s="16"/>
        <tr r="AE195" s="16"/>
        <tr r="AE168" s="16"/>
        <tr r="AE111" s="16"/>
        <tr r="AD111" s="16"/>
        <tr r="AD115" s="16"/>
        <tr r="AC48" s="16"/>
        <tr r="AC109" s="16"/>
        <tr r="AE274" s="16"/>
        <tr r="AE173" s="16"/>
        <tr r="AE189" s="16"/>
        <tr r="AE327" s="16"/>
        <tr r="AE303" s="16"/>
        <tr r="AE309" s="16"/>
        <tr r="AE254" s="16"/>
        <tr r="AE310" s="16"/>
        <tr r="AE57" s="16"/>
        <tr r="AE207" s="16"/>
        <tr r="AE109" s="16"/>
        <tr r="AE323" s="16"/>
        <tr r="AE333" s="16"/>
        <tr r="AE81" s="16"/>
        <tr r="AE229" s="16"/>
        <tr r="AE47" s="16"/>
        <tr r="AE225" s="16"/>
        <tr r="O39" s="11"/>
        <tr r="AE166" s="16"/>
        <tr r="AE185" s="16"/>
        <tr r="AD22" s="16"/>
        <tr r="AE68" s="16"/>
        <tr r="AE304" s="16"/>
        <tr r="AE258" s="16"/>
        <tr r="AE206" s="16"/>
        <tr r="AE223" s="16"/>
        <tr r="AE221" s="16"/>
        <tr r="AE65" s="16"/>
        <tr r="AE123" s="16"/>
        <tr r="AE302" s="16"/>
        <tr r="AE165" s="16"/>
        <tr r="AE315" s="16"/>
        <tr r="AE230" s="16"/>
        <tr r="O27" s="11"/>
        <tr r="AE271" s="16"/>
        <tr r="AE270" s="16"/>
        <tr r="AE314" s="16"/>
        <tr r="AE167" s="16"/>
        <tr r="AE79" s="16"/>
        <tr r="AE260" s="16"/>
        <tr r="AD254" s="16"/>
        <tr r="AD106" s="16"/>
        <tr r="AC245" s="16"/>
        <tr r="AD62" s="16"/>
        <tr r="AC63" s="16"/>
        <tr r="AE120" s="16"/>
        <tr r="AD120" s="16"/>
        <tr r="AD326" s="16"/>
        <tr r="AC243" s="16"/>
        <tr r="AC69" s="16"/>
        <tr r="AE308" s="16"/>
        <tr r="O32" s="11"/>
        <tr r="AE201" s="16"/>
        <tr r="AE172" s="16"/>
        <tr r="AE322" s="16"/>
        <tr r="AE292" s="16"/>
        <tr r="AE249" s="16"/>
        <tr r="AE84" s="16"/>
        <tr r="AE96" s="16"/>
        <tr r="AE278" s="16"/>
        <tr r="AE285" s="16"/>
        <tr r="AE330" s="16"/>
        <tr r="AE174" s="16"/>
        <tr r="AD18" s="16"/>
        <tr r="AE87" s="16"/>
        <tr r="AE155" s="16"/>
        <tr r="AE236" s="16"/>
        <tr r="AE55" s="16"/>
        <tr r="AE160" s="16"/>
        <tr r="AD19" s="16"/>
        <tr r="O28" s="11"/>
        <tr r="AE262" s="16"/>
        <tr r="AE182" s="16"/>
        <tr r="AE181" s="16"/>
        <tr r="AE142" s="16"/>
        <tr r="AE199" s="16"/>
        <tr r="AE222" s="16"/>
        <tr r="AE133" s="16"/>
        <tr r="AE279" s="16"/>
        <tr r="AE300" s="16"/>
        <tr r="AE143" s="16"/>
        <tr r="O34" s="11"/>
        <tr r="AE110" s="16"/>
        <tr r="C31" s="1"/>
        <tr r="AC247" s="16"/>
        <tr r="AD103" s="16"/>
        <tr r="AD245" s="16"/>
        <tr r="AC191" s="16"/>
        <tr r="AC197" s="16"/>
        <tr r="AC269" s="16"/>
        <tr r="AD264" s="16"/>
        <tr r="AC100" s="16"/>
        <tr r="AC20" s="16"/>
        <tr r="E23" s="1"/>
        <tr r="AC135" s="16"/>
        <tr r="AE188" s="16"/>
        <tr r="AD188" s="16"/>
        <tr r="AE180" s="16"/>
        <tr r="AD180" s="16"/>
        <tr r="AD262" s="16"/>
        <tr r="AC74" s="16"/>
        <tr r="AD208" s="16"/>
        <tr r="AC250" s="16"/>
        <tr r="N25" s="11"/>
        <tr r="AD121" s="16"/>
        <tr r="AC128" s="16"/>
        <tr r="AC271" s="16"/>
        <tr r="AE329" s="16"/>
        <tr r="AD329" s="16"/>
        <tr r="AC292" s="16"/>
        <tr r="AE80" s="16"/>
        <tr r="AE70" s="16"/>
        <tr r="AE231" s="16"/>
        <tr r="O26" s="11"/>
        <tr r="AE268" s="16"/>
        <tr r="AE175" s="16"/>
        <tr r="AE293" s="16"/>
        <tr r="AE227" s="16"/>
        <tr r="AE286" s="16"/>
        <tr r="AE247" s="16"/>
        <tr r="AE319" s="16"/>
        <tr r="AE280" s="16"/>
        <tr r="AE255" s="16"/>
        <tr r="AE289" s="16"/>
        <tr r="AE73" s="16"/>
        <tr r="AE71" s="16"/>
        <tr r="AE241" s="16"/>
        <tr r="AE291" s="16"/>
        <tr r="AE49" s="16"/>
        <tr r="O29" s="11"/>
        <tr r="AD31" s="16"/>
        <tr r="AE66" s="16"/>
        <tr r="AE272" s="16"/>
        <tr r="O33" s="11"/>
        <tr r="AE237" s="16"/>
        <tr r="AE297" s="16"/>
        <tr r="AE243" s="16"/>
        <tr r="AD24" s="16"/>
        <tr r="AE305" s="16"/>
        <tr r="AE238" s="16"/>
        <tr r="AD28" s="16"/>
        <tr r="AE91" s="16"/>
        <tr r="AE250" s="16"/>
        <tr r="AE132" s="16"/>
        <tr r="AE328" s="16"/>
        <tr r="AE177" s="16"/>
        <tr r="AE126" s="16"/>
        <tr r="AE332" s="16"/>
        <tr r="O38" s="11"/>
        <tr r="AE95" s="16"/>
        <tr r="AC241" s="16"/>
        <tr r="AD97" s="16"/>
        <tr r="AC160" s="16"/>
        <tr r="AC284" s="16"/>
        <tr r="AD246" s="16"/>
        <tr r="AC212" s="16"/>
        <tr r="AD338" s="16"/>
        <tr r="C21" s="1"/>
        <tr r="AC22" s="16"/>
        <tr r="N33" s="11"/>
        <tr r="E30" s="1"/>
        <tr r="E21" s="1"/>
        <tr r="AD194" s="16"/>
        <tr r="AC268" s="16"/>
        <tr r="AD336" s="16"/>
        <tr r="AC157" s="16"/>
        <tr r="C35" s="1"/>
        <tr r="AC113" s="16"/>
        <tr r="AD337" s="16"/>
        <tr r="E26" s="1"/>
        <tr r="AD100" s="16"/>
        <tr r="AD325" s="16"/>
        <tr r="AC167" s="16"/>
        <tr r="AE256" s="16"/>
        <tr r="AD256" s="16"/>
        <tr r="AC332" s="16"/>
        <tr r="AD266" s="16"/>
        <tr r="AE140" s="16"/>
        <tr r="AE170" s="16"/>
        <tr r="AE102" s="16"/>
        <tr r="AD27" s="16"/>
        <tr r="AE119" s="16"/>
        <tr r="AE213" s="16"/>
        <tr r="AE275" s="16"/>
        <tr r="AE210" s="16"/>
        <tr r="AE321" s="16"/>
        <tr r="AE94" s="16"/>
        <tr r="AE220" s="16"/>
        <tr r="AE307" s="16"/>
        <tr r="AE108" s="16"/>
        <tr r="AE60" s="16"/>
        <tr r="AE313" s="16"/>
        <tr r="AE316" s="16"/>
        <tr r="AE273" s="16"/>
        <tr r="AE203" s="16"/>
        <tr r="AE86" s="16"/>
        <tr r="AE112" s="16"/>
        <tr r="AE52" s="16"/>
        <tr r="AE130" s="16"/>
        <tr r="AE190" s="16"/>
        <tr r="AE127" s="16"/>
        <tr r="AE187" s="16"/>
        <tr r="AE124" s="16"/>
        <tr r="AE215" s="16"/>
        <tr r="AE298" s="16"/>
        <tr r="AD93" s="16"/>
        <tr r="AD295" s="16"/>
        <tr r="AD139" s="16"/>
        <tr r="AC65" s="16"/>
        <tr r="AD175" s="16"/>
        <tr r="AC256" s="16"/>
        <tr r="AD216" s="16"/>
        <tr r="C29" s="1"/>
        <tr r="AC158" s="16"/>
        <tr r="AD57" s="16"/>
        <tr r="AD293" s="16"/>
        <tr r="AC274" s="16"/>
        <tr r="AC237" s="16"/>
        <tr r="AC299" s="16"/>
        <tr r="AC32" s="16"/>
        <tr r="AC200" s="16"/>
        <tr r="AD171" s="16"/>
        <tr r="AD140" s="16"/>
        <tr r="AC289" s="16"/>
        <tr r="AC77" s="16"/>
        <tr r="AC279" s="16"/>
        <tr r="AD186" s="16"/>
        <tr r="C30" s="1"/>
        <tr r="B30" s="1"/>
        <tr r="N31" s="11"/>
        <tr r="AC68" s="16"/>
        <tr r="AD228" s="16"/>
        <tr r="AD210" s="16"/>
        <tr r="AC130" s="16"/>
        <tr r="AD83" s="16"/>
        <tr r="AD109" s="16"/>
        <tr r="AD258" s="16"/>
        <tr r="AC301" s="16"/>
        <tr r="AC280" s="16"/>
        <tr r="B23" s="1"/>
        <tr r="AD220" s="16"/>
        <tr r="E34" s="1"/>
        <tr r="N37" s="11"/>
        <tr r="AC62" s="16"/>
        <tr r="AD292" s="16"/>
        <tr r="AC219" s="16"/>
        <tr r="AD132" s="16"/>
        <tr r="AC204" s="16"/>
        <tr r="AC55" s="16"/>
        <tr r="AD63" s="16"/>
        <tr r="AC217" s="16"/>
        <tr r="C28" s="1"/>
        <tr r="AD152" s="16"/>
        <tr r="AC25" s="16"/>
        <tr r="AD227" s="16"/>
        <tr r="AC120" s="16"/>
        <tr r="AC189" s="16"/>
        <tr r="AC121" s="16"/>
        <tr r="AC151" s="16"/>
        <tr r="AD89" s="16"/>
        <tr r="AD226" s="16"/>
        <tr r="BF15" s="16"/>
        <tr r="AD191" s="16"/>
        <tr r="AC33" s="16"/>
        <tr r="AD77" s="16"/>
        <tr r="AC57" s="16"/>
        <tr r="AC287" s="16"/>
        <tr r="AD288" s="16"/>
        <tr r="AD148" s="16"/>
        <tr r="AC257" s="16"/>
        <tr r="AC79" s="16"/>
        <tr r="AC290" s="16"/>
        <tr r="AD197" s="16"/>
        <tr r="AD48" s="16"/>
        <tr r="AD316" s="16"/>
        <tr r="AD229" s="16"/>
        <tr r="AD268" s="16"/>
        <tr r="AD178" s="16"/>
        <tr r="CH80" s="17"/>
        <tr r="AC18" s="16"/>
        <tr r="AD218" s="16"/>
        <tr r="AC187" s="16"/>
        <tr r="AC328" s="16"/>
        <tr r="AD116" s="16"/>
        <tr r="AD335" s="16"/>
        <tr r="AC52" s="16"/>
        <tr r="AC169" s="16"/>
        <tr r="AC143" s="16"/>
        <tr r="BE20" s="16"/>
        <tr r="AC266" s="16"/>
        <tr r="AC216" s="16"/>
        <tr r="AC149" s="16"/>
        <tr r="AD234" s="16"/>
        <tr r="AC232" s="16"/>
        <tr r="AD205" s="16"/>
        <tr r="AD92" s="16"/>
        <tr r="AD206" s="16"/>
        <tr r="N30" s="11"/>
        <tr r="AC195" s="16"/>
        <tr r="AC96" s="16"/>
        <tr r="E36" s="1"/>
        <tr r="AC71" s="16"/>
        <tr r="C24" s="1"/>
        <tr r="AC140" s="16"/>
        <tr r="AD113" s="16"/>
        <tr r="AC222" s="16"/>
        <tr r="AC114" s="16"/>
        <tr r="AD327" s="16"/>
        <tr r="AC186" s="16"/>
        <tr r="AD193" s="16"/>
        <tr r="E22" s="1"/>
        <tr r="AC90" s="16"/>
        <tr r="AD99" s="16"/>
        <tr r="AC251" s="16"/>
        <tr r="AC201" s="16"/>
        <tr r="AC148" s="16"/>
        <tr r="AD78" s="16"/>
        <tr r="AD239" s="16"/>
        <tr r="AC119" s="16"/>
        <tr r="E29" s="1"/>
        <tr r="AD300" s="16"/>
        <tr r="AD17" s="16"/>
        <tr r="AC179" s="16"/>
        <tr r="AC329" s="16"/>
        <tr r="AD91" s="16"/>
        <tr r="AD52" s="16"/>
        <tr r="AC196" s="16"/>
        <tr r="AD68" s="16"/>
        <tr r="AC50" s="16"/>
        <tr r="AD151" s="16"/>
        <tr r="AD182" s="16"/>
        <tr r="AC300" s="16"/>
        <tr r="AD190" s="16"/>
        <tr r="AD269" s="16"/>
        <tr r="AC295" s="16"/>
        <tr r="AD185" s="16"/>
        <tr r="AC88" s="16"/>
        <tr r="AC83" s="16"/>
        <tr r="AD212" s="16"/>
        <tr r="AC162" s="16"/>
        <tr r="AD307" s="16"/>
        <tr r="AD85" s="16"/>
        <tr r="AD270" s="16"/>
        <tr r="AC84" s="16"/>
        <tr r="AC193" s="16"/>
        <tr r="AD259" s="16"/>
        <tr r="AD65" s="16"/>
        <tr r="AC239" s="16"/>
        <tr r="N36" s="11"/>
        <tr r="AC214" s="16"/>
        <tr r="AC249" s="16"/>
        <tr r="C25" s="1"/>
        <tr r="AD224" s="16"/>
        <tr r="AD304" s="16"/>
        <tr r="AC161" s="16"/>
        <tr r="AC127" s="16"/>
        <tr r="AD322" s="16"/>
        <tr r="AD199" s="16"/>
        <tr r="AD172" s="16"/>
        <tr r="AC337" s="16"/>
        <tr r="AD321" s="16"/>
        <tr r="AC283" s="16"/>
        <tr r="AD137" s="16"/>
        <tr r="AD260" s="16"/>
        <tr r="AD146" s="16"/>
        <tr r="AC163" s="16"/>
        <tr r="AD195" s="16"/>
        <tr r="AD73" s="16"/>
        <tr r="AC252" s="16"/>
        <tr r="AC152" s="16"/>
        <tr r="B26" s="1"/>
        <tr r="AD207" s="16"/>
        <tr r="AD108" s="16"/>
        <tr r="N40" s="11"/>
        <tr r="AC263" s="16"/>
        <tr r="AD242" s="16"/>
        <tr r="AD306" s="16"/>
        <tr r="AD90" s="16"/>
        <tr r="AD168" s="16"/>
        <tr r="B29" s="1"/>
        <tr r="AD312" s="16"/>
        <tr r="AD296" s="16"/>
        <tr r="AC248" s="16"/>
        <tr r="AD308" s="16"/>
        <tr r="AD60" s="16"/>
        <tr r="AC185" s="16"/>
        <tr r="AD79" s="16"/>
        <tr r="AC194" s="16"/>
        <tr r="AD273" s="16"/>
        <tr r="AC181" s="16"/>
        <tr r="AD117" s="16"/>
        <tr r="N34" s="11"/>
        <tr r="AD309" s="16"/>
        <tr r="AD213" s="16"/>
        <tr r="AD122" s="16"/>
        <tr r="AD181" s="16"/>
        <tr r="B35" s="1"/>
        <tr r="AC99" s="16"/>
        <tr r="AC125" s="16"/>
        <tr r="AD161" s="16"/>
        <tr r="AC87" s="16"/>
        <tr r="AC260" s="16"/>
        <tr r="AC134" s="16"/>
        <tr r="AC298" s="16"/>
        <tr r="AD135" s="16"/>
        <tr r="AD147" s="16"/>
        <tr r="AD281" s="16"/>
        <tr r="AD170" s="16"/>
        <tr r="AC190" s="16"/>
        <tr r="AC330" s="16"/>
        <tr r="AD291" s="16"/>
        <tr r="AC117" s="16"/>
        <tr r="AD257" s="16"/>
        <tr r="E33" s="1"/>
        <tr r="AD251" s="16"/>
        <tr r="E27" s="1"/>
        <tr r="B27" s="1"/>
        <tr r="AD53" s="16"/>
        <tr r="AD333" s="16"/>
        <tr r="AC334" s="16"/>
        <tr r="AC202" s="16"/>
        <tr r="AD196" s="16"/>
        <tr r="AD248" s="16"/>
        <tr r="AD290" s="16"/>
        <tr r="AD320" s="16"/>
        <tr r="AD313" s="16"/>
        <tr r="AC206" s="16"/>
        <tr r="AC27" s="16"/>
        <tr r="AD67" s="16"/>
        <tr r="AD297" s="16"/>
        <tr r="AD49" s="16"/>
        <tr r="AD282" s="16"/>
        <tr r="C34" s="1"/>
        <tr r="AC309" s="16"/>
        <tr r="E24" s="1"/>
        <tr r="C37" s="1"/>
        <tr r="C37" s="1"/>
        <tr r="AC223" s="16"/>
        <tr r="B28" s="1"/>
        <tr r="AD287" s="16"/>
        <tr r="AD124" s="16"/>
        <tr r="AD127" s="16"/>
        <tr r="AD131" s="16"/>
        <tr r="AC246" s="16"/>
        <tr r="AD136" s="16"/>
        <tr r="B21" s="1"/>
        <tr r="AC78" s="16"/>
        <tr r="AD283" s="16"/>
        <tr r="AC308" s="16"/>
        <tr r="AC198" s="16"/>
        <tr r="N35" s="11"/>
        <tr r="AC89" s="16"/>
        <tr r="AC215" s="16"/>
        <tr r="AD231" s="16"/>
        <tr r="AE46" s="16"/>
        <tr r="B31" s="1"/>
        <tr r="AD130" s="16"/>
        <tr r="AC320" s="16"/>
        <tr r="AD219" s="16"/>
        <tr r="AC277" s="16"/>
        <tr r="N41" s="11"/>
        <tr r="AD250" s="16"/>
        <tr r="AD56" s="16"/>
        <tr r="AC294" s="16"/>
        <tr r="AC66" s="16"/>
        <tr r="AC182" s="16"/>
        <tr r="AC335" s="16"/>
        <tr r="N32" s="11"/>
        <tr r="AC285" s="16"/>
        <tr r="AD72" s="16"/>
        <tr r="AD82" s="16"/>
        <tr r="AC220" s="16"/>
        <tr r="AD107" s="16"/>
        <tr r="AD74" s="16"/>
        <tr r="AC132" s="16"/>
        <tr r="AC175" s="16"/>
        <tr r="AC226" s="16"/>
        <tr r="AC56" s="16"/>
        <tr r="AD330" s="16"/>
        <tr r="AD95" s="16"/>
        <tr r="AC254" s="16"/>
        <tr r="AC188" s="16"/>
        <tr r="AC224" s="16"/>
        <tr r="AC131" s="16"/>
        <tr r="AC313" s="16"/>
        <tr r="AD271" s="16"/>
        <tr r="AC304" s="16"/>
        <tr r="AD236" s="16"/>
        <tr r="AC164" s="16"/>
        <tr r="AC138" s="16"/>
        <tr r="N38" s="11"/>
        <tr r="AC139" s="16"/>
        <tr r="AC267" s="16"/>
        <tr r="AC209" s="16"/>
        <tr r="AC86" s="16"/>
        <tr r="AC124" s="16"/>
        <tr r="AD235" s="16"/>
        <tr r="AD133" s="16"/>
        <tr r="AC108" s="16"/>
        <tr r="AC82" s="16"/>
        <tr r="AD332" s="16"/>
        <tr r="AD265" s="16"/>
        <tr r="AC153" s="16"/>
        <tr r="AD314" s="16"/>
        <tr r="AC126" s="16"/>
        <tr r="AC171" s="16"/>
        <tr r="AD174" s="16"/>
        <tr r="AC166" s="16"/>
        <tr r="AD166" s="16"/>
        <tr r="AC258" s="16"/>
        <tr r="AD211" s="16"/>
        <tr r="AC47" s="16"/>
        <tr r="AD129" s="16"/>
        <tr r="E32" s="1"/>
        <tr r="AD80" s="16"/>
        <tr r="C33" s="1"/>
        <tr r="AD289" s="16"/>
        <tr r="AC75" s="16"/>
        <tr r="C22" s="1"/>
        <tr r="AC275" s="16"/>
        <tr r="C32" s="1"/>
        <tr r="AD58" s="16"/>
        <tr r="AC94" s="16"/>
        <tr r="AD202" s="16"/>
        <tr r="AD163" s="16"/>
        <tr r="AC211" s="16"/>
        <tr r="AC93" s="16"/>
        <tr r="AC174" s="16"/>
        <tr r="AC306" s="16"/>
        <tr r="AD177" s="16"/>
        <tr r="AC116" s="16"/>
        <tr r="AC336" s="16"/>
        <tr r="AC230" s="16"/>
        <tr r="AD75" s="16"/>
        <tr r="AC115" s="16"/>
        <tr r="AD233" s="16"/>
        <tr r="AC184" s="16"/>
        <tr r="AC265" s="16"/>
        <tr r="AC104" s="16"/>
        <tr r="AD276" s="16"/>
        <tr r="AD278" s="16"/>
        <tr r="AD334" s="16"/>
        <tr r="AD272" s="16"/>
        <tr r="AD184" s="16"/>
        <tr r="AC291" s="16"/>
        <tr r="AC321" s="16"/>
        <tr r="AC311" s="16"/>
        <tr r="AD88" s="16"/>
        <tr r="AD153" s="16"/>
        <tr r="AD110" s="16"/>
        <tr r="AD319" s="16"/>
        <tr r="AC205" s="16"/>
        <tr r="AC80" s="16"/>
        <tr r="AC288" s="16"/>
        <tr r="AC327" s="16"/>
        <tr r="AD241" s="16"/>
        <tr r="AC31" s="16"/>
        <tr r="AD323" s="16"/>
        <tr r="AC60" s="16"/>
        <tr r="AC19" s="16"/>
        <tr r="AC234" s="16"/>
        <tr r="AD222" s="16"/>
        <tr r="AD249" s="16"/>
        <tr r="AC58" s="16"/>
        <tr r="AD84" s="16"/>
        <tr r="AC26" s="16"/>
        <tr r="AD215" s="16"/>
        <tr r="B34" s="1"/>
        <tr r="AC23" s="16"/>
        <tr r="AD71" s="16"/>
        <tr r="AC338" s="16"/>
        <tr r="B24" s="1"/>
        <tr r="AD156" s="16"/>
        <tr r="N26" s="11"/>
        <tr r="AD118" s="16"/>
        <tr r="AD141" s="16"/>
        <tr r="AC297" s="16"/>
        <tr r="AD160" s="16"/>
        <tr r="AD294" s="16"/>
        <tr r="AD225" s="16"/>
        <tr r="AC159" s="16"/>
        <tr r="AD311" s="16"/>
        <tr r="AC183" s="16"/>
        <tr r="AC73" s="16"/>
        <tr r="AC172" s="16"/>
        <tr r="AD142" s="16"/>
        <tr r="AD209" s="16"/>
        <tr r="AC331" s="16"/>
        <tr r="AC273" s="16"/>
        <tr r="AD12" s="16"/>
        <tr r="AC118" s="16"/>
        <tr r="AD70" s="16"/>
        <tr r="AC317" s="16"/>
        <tr r="AD164" s="16"/>
        <tr r="AC221" s="16"/>
        <tr r="AC129" s="16"/>
        <tr r="AD176" s="16"/>
        <tr r="AD119" s="16"/>
        <tr r="AD94" s="16"/>
        <tr r="AD237" s="16"/>
        <tr r="AD277" s="16"/>
        <tr r="AC236" s="16"/>
        <tr r="AD64" s="16"/>
        <tr r="AD204" s="16"/>
        <tr r="N28" s="11"/>
        <tr r="AC24" s="16"/>
        <tr r="AD87" s="16"/>
        <tr r="AC270" s="16"/>
        <tr r="AD301" s="16"/>
        <tr r="AD125" s="16"/>
        <tr r="AC238" s="16"/>
        <tr r="AD275" s="16"/>
        <tr r="AC165" s="16"/>
        <tr r="AC322" s="16"/>
        <tr r="AD114" s="16"/>
        <tr r="B22" s="1"/>
        <tr r="AD101" s="16"/>
        <tr r="AC170" s="16"/>
        <tr r="AC146" s="16"/>
        <tr r="AC61" s="16"/>
        <tr r="N29" s="11"/>
        <tr r="AD299" s="16"/>
        <tr r="AD112" s="16"/>
        <tr r="AD158" s="16"/>
        <tr r="AC95" s="16"/>
        <tr r="AD310" s="16"/>
        <tr r="AC307" s="16"/>
        <tr r="AC101" s="16"/>
        <tr r="B37" s="1"/>
        <tr r="AC314" s="16"/>
        <tr r="AC323" s="16"/>
        <tr r="AD169" s="16"/>
        <tr r="AC97" s="16"/>
        <tr r="AD267" s="16"/>
        <tr r="AC326" s="16"/>
        <tr r="AD162" s="16"/>
        <tr r="AC229" s="16"/>
        <tr r="AC122" s="16"/>
        <tr r="AC333" s="16"/>
        <tr r="AD214" s="16"/>
        <tr r="AD69" s="16"/>
        <tr r="AD221" s="16"/>
        <tr r="AC112" s="16"/>
        <tr r="AC210" s="16"/>
        <tr r="AD157" s="16"/>
        <tr r="AC64" s="16"/>
        <tr r="AD198" s="16"/>
        <tr r="B25" s="1"/>
        <tr r="AD105" s="16"/>
        <tr r="AD183" s="16"/>
        <tr r="AC173" s="16"/>
        <tr r="AC199" s="16"/>
        <tr r="AD252" s="16"/>
        <tr r="AC225" s="16"/>
        <tr r="N27" s="11"/>
        <tr r="AC85" s="16"/>
        <tr r="AC144" s="16"/>
        <tr r="AD55" s="16"/>
        <tr r="B32" s="1"/>
        <tr r="AC142" s="16"/>
        <tr r="AC302" s="16"/>
        <tr r="AC123" s="16"/>
        <tr r="AD98" s="16"/>
        <tr r="AD47" s="16"/>
        <tr r="AD203" s="16"/>
        <tr r="AD286" s="16"/>
        <tr r="AD285" s="16"/>
        <tr r="AD134" s="16"/>
        <tr r="AC281" s="16"/>
        <tr r="AC262" s="16"/>
        <tr r="AC54" s="16"/>
        <tr r="AD317" s="16"/>
        <tr r="AC296" s="16"/>
        <tr r="AC59" s="16"/>
        <tr r="O19" s="11"/>
        <tr r="AC70" s="16"/>
        <tr r="AC72" s="16"/>
        <tr r="AC21" s="16"/>
        <tr r="AC91" s="16"/>
        <tr r="AD223" s="16"/>
        <tr r="AC106" s="16"/>
        <tr r="AD155" s="16"/>
        <tr r="AC98" s="16"/>
        <tr r="AD167" s="16"/>
        <tr r="AC141" s="16"/>
        <tr r="AD230" s="16"/>
        <tr r="AD66" s="16"/>
        <tr r="AC150" s="16"/>
        <tr r="AC51" s="16"/>
        <tr r="AD253" s="16"/>
        <tr r="AC264" s="16"/>
        <tr r="AD154" s="16"/>
        <tr r="CI75" s="17"/>
        <tr r="AD192" s="16"/>
        <tr r="AC30" s="16"/>
        <tr r="AC177" s="16"/>
        <tr r="AD165" s="16"/>
        <tr r="AC312" s="16"/>
        <tr r="AD247" s="16"/>
        <tr r="AD51" s="16"/>
        <tr r="AD255" s="16"/>
        <tr r="AC318" s="16"/>
        <tr r="AC242" s="16"/>
        <tr r="AC278" s="16"/>
        <tr r="AD318" s="16"/>
        <tr r="AC233" s="16"/>
        <tr r="AC231" s="16"/>
        <tr r="AC261" s="16"/>
        <tr r="AC316" s="16"/>
        <tr r="AD243" s="16"/>
        <tr r="AC28" s="16"/>
        <tr r="AC49" s="16"/>
        <tr r="AD279" s="16"/>
        <tr r="AC208" s="16"/>
        <tr r="AD302" s="16"/>
        <tr r="AC240" s="16"/>
        <tr r="AC325" s="16"/>
        <tr r="AC310" s="16"/>
        <tr r="AD187" s="16"/>
        <tr r="AD201" s="16"/>
        <tr r="AD143" s="16"/>
        <tr r="AD240" s="16"/>
        <tr r="AC259" s="16"/>
        <tr r="AC133" s="16"/>
        <tr r="AD150" s="16"/>
        <tr r="AD298" s="16"/>
        <tr r="AD145" s="16"/>
        <tr r="AD331" s="16"/>
        <tr r="AC53" s="16"/>
        <tr r="AC105" s="16"/>
        <tr r="AD315" s="16"/>
        <tr r="N39" s="11"/>
        <tr r="AC176" s="16"/>
        <tr r="AD96" s="16"/>
        <tr r="AD50" s="16"/>
        <tr r="AC276" s="16"/>
        <tr r="AD305" s="16"/>
        <tr r="AD159" s="16"/>
        <tr r="AC110" s="16"/>
        <tr r="AC136" s="16"/>
        <tr r="AC203" s="16"/>
        <tr r="AD280" s="16"/>
        <tr r="AC92" s="16"/>
        <tr r="AC315" s="16"/>
        <tr r="AD61" s="16"/>
        <tr r="AC192" s="16"/>
        <tr r="AD232" s="16"/>
        <tr r="AD86" s="16"/>
        <tr r="AD126" s="16"/>
        <tr r="AD303" s="16"/>
        <tr r="AC81" s="16"/>
        <tr r="AD144" s="16"/>
        <tr r="AD59" s="16"/>
        <tr r="AD200" s="16"/>
        <tr r="AC155" s="16"/>
        <tr r="AD328" s="16"/>
        <tr r="AC213" s="16"/>
        <tr r="AC168" s="16"/>
        <tr r="AC137" s="16"/>
        <tr r="AC102" s="16"/>
        <tr r="B33" s="1"/>
        <tr r="AD41" s="16"/>
        <tr r="AD263" s="16"/>
        <tr r="AC319" s="16"/>
        <tr r="AD284" s="16"/>
        <tr r="AD123" s="16"/>
        <tr r="AC178" s="16"/>
        <tr r="AC255" s="16"/>
        <tr r="AC218" s="16"/>
        <tr r="AD102" s="16"/>
        <tr r="AD179" s="16"/>
        <tr r="AC293" s="16"/>
        <tr r="AC235" s="16"/>
        <tr r="AD324" s="16"/>
        <tr r="AC324" s="16"/>
        <tr r="AD173" s="16"/>
        <tr r="AD261" s="16"/>
        <tr r="AD104" s="16"/>
        <tr r="E20" s="1"/>
        <tr r="AC145" s="16"/>
        <tr r="AD76" s="16"/>
        <tr r="AC286" s="16"/>
        <tr r="AD238" s="16"/>
        <tr r="AC244" s="16"/>
        <tr r="AD274" s="16"/>
        <tr r="AD81" s="16"/>
        <tr r="AC29" s="16"/>
        <tr r="AD54" s="16"/>
        <tr r="AC227" s="16"/>
        <tr r="AC111" s="16"/>
        <tr r="AD244" s="16"/>
        <tr r="AC207" s="16"/>
        <tr r="AC180" s="16"/>
        <tr r="AC107" s="16"/>
        <tr r="AD189" s="16"/>
        <tr r="O24" s="11"/>
        <tr r="AE12" s="1"/>
        <tr r="AB17" s="1"/>
        <tr r="AA19" s="1"/>
        <tr r="AB19" s="1"/>
        <tr r="Z19" s="1"/>
        <tr r="AD12" s="1"/>
        <tr r="C36" s="1"/>
        <tr r="AB16" s="1"/>
        <tr r="AA16" s="1"/>
        <tr r="AA17" s="1"/>
        <tr r="AD11" s="1"/>
        <tr r="AB18" s="1"/>
        <tr r="AA18" s="1"/>
        <tr r="Z18" s="1"/>
        <tr r="C19" s="1"/>
        <tr r="AA15" s="1"/>
        <tr r="AB15" s="1"/>
        <tr r="AE11" s="1"/>
        <tr r="Z16" s="1"/>
        <tr r="Z17" s="1"/>
        <tr r="AE9" s="1"/>
      </tp>
    </main>
    <main first="cabcrmsqlrs1 CABReportingCubes Local Client Event">
      <tp t="e">
        <v>#N/A</v>
        <stp>1</stp>
        <tr r="S21" s="7"/>
        <tr r="S21" s="7"/>
        <tr r="Q21" s="7"/>
        <tr r="Q21" s="7"/>
        <tr r="T21" s="7"/>
        <tr r="T21" s="7"/>
        <tr r="R21" s="7"/>
        <tr r="R21" s="7"/>
        <tr r="P21" s="7"/>
        <tr r="T18" s="7"/>
        <tr r="T18" s="7"/>
        <tr r="S19" s="7"/>
        <tr r="S19" s="7"/>
        <tr r="Z63" s="9"/>
        <tr r="Z63" s="9"/>
        <tr r="Z102" s="9"/>
        <tr r="Z102" s="9"/>
        <tr r="U94" s="9"/>
        <tr r="U94" s="9"/>
        <tr r="Z153" s="9"/>
        <tr r="Z147" s="9"/>
        <tr r="Z59" s="9"/>
        <tr r="T21" s="8"/>
        <tr r="T21" s="8"/>
        <tr r="Z125" s="9"/>
        <tr r="Z125" s="9"/>
        <tr r="Z129" s="9"/>
        <tr r="Z129" s="9"/>
        <tr r="V125" s="9"/>
        <tr r="V125" s="9"/>
        <tr r="Z82" s="9"/>
        <tr r="Z82" s="9"/>
        <tr r="S18" s="7"/>
        <tr r="Z118" s="9"/>
        <tr r="Z118" s="9"/>
        <tr r="U68" s="9"/>
        <tr r="Z133" s="9"/>
        <tr r="Z133" s="9"/>
        <tr r="Z141" s="9"/>
        <tr r="Z141" s="9"/>
        <tr r="T16" s="8"/>
        <tr r="T28" s="8"/>
        <tr r="U67" s="9"/>
        <tr r="U67" s="9"/>
        <tr r="U60" s="9"/>
        <tr r="U60" s="9"/>
        <tr r="T29" s="8"/>
        <tr r="T29" s="8"/>
        <tr r="U88" s="9"/>
        <tr r="U88" s="9"/>
        <tr r="Z76" s="9"/>
        <tr r="Z76" s="9"/>
        <tr r="V137" s="9"/>
        <tr r="V137" s="9"/>
        <tr r="Z159" s="9"/>
        <tr r="Z132" s="9"/>
        <tr r="Z132" s="9"/>
        <tr r="T36" s="8"/>
        <tr r="T36" s="8"/>
        <tr r="T33" s="8"/>
        <tr r="T33" s="8"/>
        <tr r="Z138" s="9"/>
        <tr r="Z138" s="9"/>
        <tr r="Z122" s="9"/>
        <tr r="Z122" s="9"/>
        <tr r="Q79" s="7"/>
        <tr r="Q79" s="7"/>
        <tr r="Z75" s="9"/>
        <tr r="Z75" s="9"/>
        <tr r="Z106" s="9"/>
        <tr r="Z106" s="9"/>
        <tr r="Z49" s="9"/>
        <tr r="U99" s="9"/>
        <tr r="U99" s="9"/>
        <tr r="Z47" s="9"/>
        <tr r="Z47" s="9"/>
        <tr r="V132" s="9"/>
        <tr r="V132" s="9"/>
        <tr r="U63" s="9"/>
        <tr r="U63" s="9"/>
        <tr r="Z140" s="9"/>
        <tr r="Z120" s="9"/>
        <tr r="Z120" s="9"/>
        <tr r="Z156" s="9"/>
        <tr r="U65" s="9"/>
        <tr r="Z64" s="9"/>
        <tr r="Z64" s="9"/>
        <tr r="Z104" s="9"/>
        <tr r="Z104" s="9"/>
        <tr r="Z107" s="9"/>
        <tr r="Z107" s="9"/>
        <tr r="T34" s="7"/>
        <tr r="T34" s="7"/>
        <tr r="Z65" s="9"/>
        <tr r="Z65" s="9"/>
        <tr r="Z56" s="9"/>
        <tr r="Z93" s="9"/>
        <tr r="Z93" s="9"/>
        <tr r="T25" s="8"/>
        <tr r="T25" s="8"/>
        <tr r="Z87" s="9"/>
        <tr r="Z87" s="9"/>
        <tr r="Z158" s="9"/>
        <tr r="U66" s="9"/>
        <tr r="Z61" s="9"/>
        <tr r="Z144" s="9"/>
        <tr r="Z160" s="9"/>
        <tr r="Z160" s="9"/>
        <tr r="Z78" s="9"/>
        <tr r="Z78" s="9"/>
        <tr r="V164" s="9"/>
        <tr r="Z114" s="9"/>
        <tr r="Z114" s="9"/>
        <tr r="U105" s="9"/>
        <tr r="U105" s="9"/>
        <tr r="U50" s="9"/>
        <tr r="U50" s="9"/>
        <tr r="U81" s="9"/>
        <tr r="U81" s="9"/>
        <tr r="U70" s="9"/>
        <tr r="U52" s="9"/>
        <tr r="U52" s="9"/>
        <tr r="R63" s="7"/>
        <tr r="R63" s="7"/>
        <tr r="U56" s="9"/>
        <tr r="U56" s="9"/>
        <tr r="Z73" s="9"/>
        <tr r="Z73" s="9"/>
        <tr r="Z48" s="9"/>
        <tr r="V159" s="9"/>
        <tr r="S20" s="7"/>
        <tr r="Q86" s="7"/>
        <tr r="Q86" s="7"/>
        <tr r="S63" s="7"/>
        <tr r="S63" s="7"/>
        <tr r="U53" s="9"/>
        <tr r="U53" s="9"/>
        <tr r="W17" s="8"/>
        <tr r="W17" s="8"/>
        <tr r="U69" s="9"/>
        <tr r="U69" s="9"/>
        <tr r="R65" s="7"/>
        <tr r="Q44" s="7"/>
        <tr r="Q44" s="7"/>
        <tr r="V133" s="9"/>
        <tr r="V133" s="9"/>
        <tr r="U64" s="9"/>
        <tr r="U64" s="9"/>
        <tr r="R20" s="7"/>
        <tr r="W15" s="8"/>
        <tr r="W15" s="8"/>
        <tr r="Q84" s="7"/>
        <tr r="Q84" s="7"/>
        <tr r="U57" s="9"/>
        <tr r="U57" s="9"/>
        <tr r="W16" s="8"/>
        <tr r="T20" s="7"/>
        <tr r="T20" s="7"/>
        <tr r="R64" s="7"/>
        <tr r="Z142" s="9"/>
        <tr r="Z142" s="9"/>
        <tr r="T24" s="8"/>
        <tr r="T24" s="8"/>
        <tr r="V163" s="9"/>
        <tr r="Z45" s="9"/>
        <tr r="R62" s="7"/>
        <tr r="R62" s="7"/>
        <tr r="T23" s="8"/>
        <tr r="T23" s="8"/>
        <tr r="Z77" s="9"/>
        <tr r="Z77" s="9"/>
        <tr r="U90" s="9"/>
        <tr r="U90" s="9"/>
        <tr r="U98" s="9"/>
        <tr r="U98" s="9"/>
        <tr r="Z70" s="9"/>
        <tr r="Z70" s="9"/>
        <tr r="U58" s="9"/>
        <tr r="U58" s="9"/>
        <tr r="Q46" s="7"/>
        <tr r="Q46" s="7"/>
        <tr r="W18" s="8"/>
        <tr r="U100" s="9"/>
        <tr r="U100" s="9"/>
        <tr r="W19" s="8"/>
        <tr r="W19" s="8"/>
        <tr r="V130" s="9"/>
        <tr r="V130" s="9"/>
        <tr r="U71" s="9"/>
        <tr r="U71" s="9"/>
        <tr r="Q83" s="7"/>
        <tr r="U49" s="9"/>
        <tr r="U49" s="9"/>
        <tr r="Z71" s="9"/>
        <tr r="Z71" s="9"/>
        <tr r="Q45" s="7"/>
        <tr r="Q45" s="7"/>
        <tr r="U62" s="9"/>
        <tr r="U62" s="9"/>
        <tr r="Q19" s="7"/>
        <tr r="U59" s="9"/>
        <tr r="U59" s="9"/>
        <tr r="Q18" s="7"/>
        <tr r="Q18" s="7"/>
        <tr r="U61" s="9"/>
        <tr r="U61" s="9"/>
        <tr r="U54" s="9"/>
        <tr r="U54" s="9"/>
        <tr r="T19" s="7"/>
        <tr r="T19" s="7"/>
        <tr r="V150" s="9"/>
        <tr r="V153" s="9"/>
        <tr r="V153" s="9"/>
        <tr r="Q47" s="7"/>
        <tr r="Q47" s="7"/>
        <tr r="Z111" s="9"/>
        <tr r="Z111" s="9"/>
        <tr r="R69" s="7"/>
        <tr r="Z51" s="9"/>
        <tr r="Z103" s="9"/>
        <tr r="Z103" s="9"/>
        <tr r="Z57" s="9"/>
        <tr r="Z80" s="9"/>
        <tr r="Z80" s="9"/>
        <tr r="Q80" s="7"/>
        <tr r="Q80" s="7"/>
        <tr r="Q82" s="7"/>
        <tr r="Q82" s="7"/>
        <tr r="U55" s="9"/>
        <tr r="U55" s="9"/>
        <tr r="W13" s="8"/>
        <tr r="W13" s="8"/>
        <tr r="U19" s="9"/>
        <tr r="U19" s="9"/>
        <tr r="V148" s="9"/>
        <tr r="Q42" s="7"/>
        <tr r="Q42" s="7"/>
        <tr r="U48" s="9"/>
        <tr r="U48" s="9"/>
        <tr r="V136" s="9"/>
        <tr r="V136" s="9"/>
        <tr r="Q43" s="7"/>
        <tr r="Q43" s="7"/>
        <tr r="Q81" s="7"/>
        <tr r="U51" s="9"/>
        <tr r="U51" s="9"/>
        <tr r="W14" s="8"/>
        <tr r="W14" s="8"/>
        <tr r="Z96" s="9"/>
        <tr r="Z96" s="9"/>
        <tr r="Q67" s="7"/>
        <tr r="Q63" s="7"/>
        <tr r="Q63" s="7"/>
        <tr r="V145" s="9"/>
        <tr r="S66" s="7"/>
        <tr r="S66" s="7"/>
        <tr r="V146" s="9"/>
        <tr r="Z108" s="9"/>
        <tr r="Z108" s="9"/>
        <tr r="Z66" s="9"/>
        <tr r="Z66" s="9"/>
        <tr r="Z105" s="9"/>
        <tr r="Z105" s="9"/>
        <tr r="U104" s="9"/>
        <tr r="U104" s="9"/>
        <tr r="V121" s="9"/>
        <tr r="V121" s="9"/>
        <tr r="V122" s="9"/>
        <tr r="V122" s="9"/>
        <tr r="T13" s="8"/>
        <tr r="V143" s="9"/>
        <tr r="T35" s="8"/>
        <tr r="T35" s="8"/>
        <tr r="Z145" s="9"/>
        <tr r="Q66" s="7"/>
        <tr r="Q66" s="7"/>
        <tr r="W59" s="9"/>
        <tr r="T94" s="9"/>
        <tr r="T135" s="9"/>
        <tr r="S67" s="7"/>
        <tr r="Q20" s="7"/>
        <tr r="Q20" s="7"/>
        <tr r="W12" s="8"/>
        <tr r="W12" s="8"/>
        <tr r="Z113" s="9"/>
        <tr r="Z113" s="9"/>
        <tr r="Z137" s="9"/>
        <tr r="V157" s="9"/>
        <tr r="Z58" s="9"/>
        <tr r="Z127" s="9"/>
        <tr r="Z127" s="9"/>
        <tr r="V155" s="9"/>
        <tr r="Z152" s="9"/>
        <tr r="U21" s="9"/>
        <tr r="U21" s="9"/>
        <tr r="R67" s="7"/>
        <tr r="Q64" s="7"/>
        <tr r="Q64" s="7"/>
        <tr r="Z112" s="9"/>
        <tr r="Z112" s="9"/>
        <tr r="V141" s="9"/>
        <tr r="V141" s="9"/>
        <tr r="W29" s="8"/>
        <tr r="Z95" s="9"/>
        <tr r="Z95" s="9"/>
        <tr r="V126" s="9"/>
        <tr r="V126" s="9"/>
        <tr r="V129" s="9"/>
        <tr r="V129" s="9"/>
        <tr r="Z154" s="9"/>
        <tr r="R18" s="7"/>
        <tr r="Z135" s="9"/>
        <tr r="Z135" s="9"/>
        <tr r="U82" s="9"/>
        <tr r="U82" s="9"/>
        <tr r="V147" s="9"/>
        <tr r="V147" s="9"/>
        <tr r="V131" s="9"/>
        <tr r="V131" s="9"/>
        <tr r="V127" s="9"/>
        <tr r="V127" s="9"/>
        <tr r="V135" s="9"/>
        <tr r="V135" s="9"/>
        <tr r="U86" s="9"/>
        <tr r="U86" s="9"/>
        <tr r="Z55" s="9"/>
        <tr r="V149" s="9"/>
        <tr r="V149" s="9"/>
        <tr r="S62" s="7"/>
        <tr r="S62" s="7"/>
        <tr r="Z101" s="9"/>
        <tr r="Z101" s="9"/>
        <tr r="V151" s="9"/>
        <tr r="S64" s="7"/>
        <tr r="S64" s="7"/>
        <tr r="T17" s="8"/>
        <tr r="T17" s="8"/>
        <tr r="U18" s="9"/>
        <tr r="U18" s="9"/>
        <tr r="U106" s="9"/>
        <tr r="U106" s="9"/>
        <tr r="P63" s="7"/>
        <tr r="T139" s="9"/>
        <tr r="S35" s="8"/>
        <tr r="Q62" s="7"/>
        <tr r="Q62" s="7"/>
        <tr r="V124" s="9"/>
        <tr r="V124" s="9"/>
        <tr r="Q69" s="7"/>
        <tr r="Q69" s="7"/>
        <tr r="R68" s="7"/>
        <tr r="R68" s="7"/>
        <tr r="V123" s="9"/>
        <tr r="V123" s="9"/>
        <tr r="T31" s="8"/>
        <tr r="Z109" s="9"/>
        <tr r="Z109" s="9"/>
        <tr r="Z148" s="9"/>
        <tr r="Z92" s="9"/>
        <tr r="Z92" s="9"/>
        <tr r="Z86" s="9"/>
        <tr r="Z86" s="9"/>
        <tr r="Z52" s="9"/>
        <tr r="U22" s="9"/>
        <tr r="U22" s="9"/>
        <tr r="Q71" s="7"/>
        <tr r="Q71" s="7"/>
        <tr r="T14" s="8"/>
        <tr r="T14" s="8"/>
        <tr r="U103" s="9"/>
        <tr r="U103" s="9"/>
        <tr r="V134" s="9"/>
        <tr r="V134" s="9"/>
        <tr r="U102" s="9"/>
        <tr r="U102" s="9"/>
        <tr r="V128" s="9"/>
        <tr r="Z150" s="9"/>
        <tr r="W118" s="9"/>
        <tr r="W132" s="9"/>
        <tr r="T124" s="9"/>
        <tr r="W111" s="9"/>
        <tr r="W120" s="9"/>
        <tr r="T128" s="9"/>
        <tr r="T19" s="8"/>
        <tr r="Z157" s="9"/>
        <tr r="Z119" s="9"/>
        <tr r="Z119" s="9"/>
        <tr r="Z84" s="9"/>
        <tr r="Z84" s="9"/>
        <tr r="Q85" s="7"/>
        <tr r="U93" s="9"/>
        <tr r="U93" s="9"/>
        <tr r="Z124" s="9"/>
        <tr r="Z124" s="9"/>
        <tr r="U95" s="9"/>
        <tr r="U95" s="9"/>
        <tr r="V160" s="9"/>
        <tr r="Z126" s="9"/>
        <tr r="Z126" s="9"/>
        <tr r="Z161" s="9"/>
        <tr r="Z161" s="9"/>
        <tr r="T20" s="8"/>
        <tr r="T20" s="8"/>
        <tr r="Z97" s="9"/>
        <tr r="Z97" s="9"/>
        <tr r="Z139" s="9"/>
        <tr r="Z68" s="9"/>
        <tr r="Z68" s="9"/>
        <tr r="U20" s="9"/>
        <tr r="U20" s="9"/>
        <tr r="W30" s="8"/>
        <tr r="W30" s="8"/>
        <tr r="V152" s="9"/>
        <tr r="Z91" s="9"/>
        <tr r="Z91" s="9"/>
        <tr r="Z99" s="9"/>
        <tr r="Z99" s="9"/>
        <tr r="U97" s="9"/>
        <tr r="U97" s="9"/>
        <tr r="U25" s="9"/>
        <tr r="S71" s="7"/>
        <tr r="S71" s="7"/>
        <tr r="Z149" s="9"/>
        <tr r="Z117" s="9"/>
        <tr r="Z117" s="9"/>
        <tr r="Z54" s="9"/>
        <tr r="Z53" s="9"/>
        <tr r="Z128" s="9"/>
        <tr r="Z128" s="9"/>
        <tr r="W78" s="9"/>
        <tr r="Z131" s="9"/>
        <tr r="Z131" s="9"/>
        <tr r="Z136" s="9"/>
        <tr r="Z136" s="9"/>
        <tr r="Z115" s="9"/>
        <tr r="Z115" s="9"/>
        <tr r="T12" s="8"/>
        <tr r="T12" s="8"/>
        <tr r="Z151" s="9"/>
        <tr r="V139" s="9"/>
        <tr r="U24" s="9"/>
        <tr r="Z89" s="9"/>
        <tr r="Z89" s="9"/>
        <tr r="Q70" s="7"/>
        <tr r="Q70" s="7"/>
        <tr r="Z67" s="9"/>
        <tr r="Z67" s="9"/>
        <tr r="R19" s="7"/>
        <tr r="R19" s="7"/>
        <tr r="Q65" s="7"/>
        <tr r="W33" s="8"/>
        <tr r="W33" s="8"/>
        <tr r="Z121" s="9"/>
        <tr r="Z121" s="9"/>
        <tr r="Z62" s="9"/>
        <tr r="Z62" s="9"/>
        <tr r="Z100" s="9"/>
        <tr r="Z100" s="9"/>
        <tr r="T22" s="8"/>
        <tr r="Z81" s="9"/>
        <tr r="Z81" s="9"/>
        <tr r="Z116" s="9"/>
        <tr r="Z116" s="9"/>
        <tr r="U89" s="9"/>
        <tr r="U89" s="9"/>
        <tr r="U92" s="9"/>
        <tr r="U92" s="9"/>
        <tr r="V161" s="9"/>
        <tr r="V161" s="9"/>
        <tr r="Z60" s="9"/>
        <tr r="U101" s="9"/>
        <tr r="U101" s="9"/>
        <tr r="V138" s="9"/>
        <tr r="V138" s="9"/>
        <tr r="Z143" s="9"/>
        <tr r="Z143" s="9"/>
        <tr r="W31" s="8"/>
        <tr r="W31" s="8"/>
        <tr r="Z134" s="9"/>
        <tr r="Z134" s="9"/>
        <tr r="U87" s="9"/>
        <tr r="U87" s="9"/>
        <tr r="W114" s="9"/>
        <tr r="T130" s="9"/>
        <tr r="T149" s="9"/>
        <tr r="U31" s="9"/>
        <tr r="W9" s="8"/>
        <tr r="U135" s="9"/>
        <tr r="T71" s="9"/>
        <tr r="T144" s="9"/>
        <tr r="W109" s="9"/>
        <tr r="W160" s="9"/>
        <tr r="W112" s="9"/>
        <tr r="W61" s="9"/>
        <tr r="T48" s="9"/>
        <tr r="T86" s="9"/>
        <tr r="W82" s="9"/>
        <tr r="P16" s="7"/>
        <tr r="W144" s="9"/>
        <tr r="T164" s="9"/>
        <tr r="V13" s="8"/>
        <tr r="Z90" s="9"/>
        <tr r="Z90" s="9"/>
        <tr r="T34" s="8"/>
        <tr r="R66" s="7"/>
        <tr r="R66" s="7"/>
        <tr r="V144" s="9"/>
        <tr r="W32" s="8"/>
        <tr r="W32" s="8"/>
        <tr r="T15" s="8"/>
        <tr r="T15" s="8"/>
        <tr r="T27" s="8"/>
        <tr r="T27" s="8"/>
        <tr r="R70" s="7"/>
        <tr r="R70" s="7"/>
        <tr r="T18" s="8"/>
        <tr r="T18" s="8"/>
        <tr r="Z72" s="9"/>
        <tr r="Z72" s="9"/>
        <tr r="Z46" s="9"/>
        <tr r="Z46" s="9"/>
        <tr r="V156" s="9"/>
        <tr r="S65" s="7"/>
        <tr r="S70" s="7"/>
        <tr r="S70" s="7"/>
        <tr r="Q68" s="7"/>
        <tr r="Q68" s="7"/>
        <tr r="Z50" s="9"/>
        <tr r="U91" s="9"/>
        <tr r="U91" s="9"/>
        <tr r="V142" s="9"/>
        <tr r="V142" s="9"/>
        <tr r="V158" s="9"/>
        <tr r="Z123" s="9"/>
        <tr r="Z123" s="9"/>
        <tr r="S69" s="7"/>
        <tr r="S69" s="7"/>
        <tr r="T36" s="7"/>
        <tr r="T36" s="7"/>
        <tr r="Z88" s="9"/>
        <tr r="Z88" s="9"/>
        <tr r="Z83" s="9"/>
        <tr r="Z83" s="9"/>
        <tr r="U83" s="9"/>
        <tr r="U83" s="9"/>
        <tr r="W34" s="8"/>
        <tr r="Z130" s="9"/>
        <tr r="Z130" s="9"/>
        <tr r="Z85" s="9"/>
        <tr r="Z85" s="9"/>
        <tr r="T93" s="9"/>
        <tr r="P80" s="7"/>
        <tr r="W60" s="9"/>
        <tr r="P81" s="7"/>
        <tr r="U85" s="9"/>
        <tr r="U85" s="9"/>
        <tr r="T85" s="9"/>
        <tr r="W125" s="9"/>
        <tr r="W64" s="9"/>
        <tr r="S21" s="8"/>
        <tr r="U96" s="9"/>
        <tr r="U96" s="9"/>
        <tr r="T96" s="9"/>
        <tr r="T57" s="9"/>
        <tr r="S68" s="7"/>
        <tr r="S68" s="7"/>
        <tr r="V154" s="9"/>
        <tr r="Z146" s="9"/>
        <tr r="Z110" s="9"/>
        <tr r="Z110" s="9"/>
        <tr r="R71" s="7"/>
        <tr r="R71" s="7"/>
        <tr r="T26" s="8"/>
        <tr r="T26" s="8"/>
        <tr r="V140" s="9"/>
        <tr r="V140" s="9"/>
        <tr r="Z98" s="9"/>
        <tr r="Z98" s="9"/>
        <tr r="Z74" s="9"/>
        <tr r="Z74" s="9"/>
        <tr r="U84" s="9"/>
        <tr r="U84" s="9"/>
        <tr r="T30" s="8"/>
        <tr r="T30" s="8"/>
        <tr r="Z79" s="9"/>
        <tr r="Z79" s="9"/>
        <tr r="Z94" s="9"/>
        <tr r="Z94" s="9"/>
        <tr r="T32" s="8"/>
        <tr r="T32" s="8"/>
        <tr r="U23" s="9"/>
        <tr r="U23" s="9"/>
        <tr r="V162" s="9"/>
        <tr r="T35" s="7"/>
        <tr r="T35" s="7"/>
        <tr r="Z69" s="9"/>
        <tr r="Z69" s="9"/>
        <tr r="T157" s="9"/>
        <tr r="Q41" s="7"/>
        <tr r="Q73" s="7"/>
        <tr r="W53" s="9"/>
        <tr r="T67" s="9"/>
        <tr r="U164" s="9"/>
        <tr r="S29" s="8"/>
        <tr r="W133" s="9"/>
        <tr r="W129" s="9"/>
        <tr r="W57" s="9"/>
        <tr r="S15" s="8"/>
        <tr r="P86" s="7"/>
        <tr r="T121" s="9"/>
        <tr r="W117" s="9"/>
        <tr r="U158" s="9"/>
        <tr r="T49" s="9"/>
        <tr r="U123" s="9"/>
        <tr r="S36" s="8"/>
        <tr r="W28" s="8"/>
        <tr r="S25" s="8"/>
        <tr r="W138" s="9"/>
        <tr r="W106" s="9"/>
        <tr r="P42" s="7"/>
        <tr r="P65" s="7"/>
        <tr r="W157" s="9"/>
        <tr r="T66" s="9"/>
        <tr r="W104" s="9"/>
        <tr r="T145" s="9"/>
        <tr r="T146" s="9"/>
        <tr r="W93" s="9"/>
        <tr r="P67" s="7"/>
        <tr r="Q36" s="7"/>
        <tr r="T136" s="9"/>
        <tr r="V120" s="9"/>
        <tr r="U132" s="9"/>
        <tr r="W147" s="9"/>
        <tr r="T163" s="9"/>
        <tr r="W159" s="9"/>
        <tr r="W141" s="9"/>
        <tr r="S16" s="8"/>
        <tr r="W47" s="9"/>
        <tr r="W158" s="9"/>
        <tr r="T92" s="9"/>
        <tr r="T104" s="9"/>
        <tr r="T21" s="9"/>
        <tr r="R61" s="7"/>
        <tr r="T131" s="9"/>
        <tr r="W122" s="9"/>
        <tr r="T126" s="9"/>
        <tr r="T100" s="9"/>
        <tr r="U122" s="9"/>
        <tr r="W121" s="9"/>
        <tr r="U146" s="9"/>
        <tr r="W88" s="9"/>
        <tr r="P79" s="7"/>
        <tr r="U137" s="9"/>
        <tr r="W49" s="9"/>
        <tr r="U157" s="9"/>
        <tr r="T140" s="9"/>
        <tr r="T152" s="9"/>
        <tr r="P82" s="7"/>
        <tr r="P18" s="7"/>
        <tr r="S36" s="7"/>
        <tr r="W63" s="9"/>
        <tr r="T88" s="9"/>
        <tr r="U128" s="9"/>
        <tr r="P62" s="7"/>
        <tr r="W100" s="9"/>
        <tr r="T60" s="9"/>
        <tr r="Q78" s="7"/>
        <tr r="T123" s="9"/>
        <tr r="W69" s="9"/>
        <tr r="T63" s="9"/>
        <tr r="T56" s="9"/>
        <tr r="W140" s="9"/>
        <tr r="W107" s="9"/>
        <tr r="U154" s="9"/>
        <tr r="T22" s="9"/>
        <tr r="T84" s="9"/>
        <tr r="W79" s="9"/>
        <tr r="S14" s="8"/>
        <tr r="U160" s="9"/>
        <tr r="W113" s="9"/>
        <tr r="S18" s="8"/>
        <tr r="P45" s="7"/>
        <tr r="W99" s="9"/>
        <tr r="V12" s="8"/>
        <tr r="T158" s="9"/>
        <tr r="T65" s="9"/>
        <tr r="S28" s="8"/>
        <tr r="W153" s="9"/>
        <tr r="T83" s="9"/>
        <tr r="U127" s="9"/>
        <tr r="W126" s="9"/>
        <tr r="T87" s="9"/>
        <tr r="S23" s="8"/>
        <tr r="W81" s="9"/>
        <tr r="U148" s="9"/>
        <tr r="T81" s="9"/>
        <tr r="S17" s="8"/>
        <tr r="V15" s="8"/>
        <tr r="W56" s="9"/>
        <tr r="W62" s="9"/>
        <tr r="T20" s="9"/>
        <tr r="T70" s="9"/>
        <tr r="T102" s="9"/>
        <tr r="W52" s="9"/>
        <tr r="U139" s="9"/>
        <tr r="T155" s="9"/>
        <tr r="U140" s="9"/>
        <tr r="T58" s="9"/>
        <tr r="T138" s="9"/>
        <tr r="W72" s="9"/>
        <tr r="S31" s="8"/>
        <tr r="W87" s="9"/>
        <tr r="W91" s="9"/>
        <tr r="W92" s="9"/>
        <tr r="P46" s="7"/>
        <tr r="U125" s="9"/>
        <tr r="W127" s="9"/>
        <tr r="W89" s="9"/>
        <tr r="W86" s="9"/>
        <tr r="W98" s="9"/>
        <tr r="V14" s="8"/>
        <tr r="W96" s="9"/>
        <tr r="T17" s="7"/>
        <tr r="W142" s="9"/>
        <tr r="W154" s="9"/>
        <tr r="T68" s="9"/>
        <tr r="T141" s="9"/>
        <tr r="S27" s="8"/>
        <tr r="W90" s="9"/>
        <tr r="T54" s="9"/>
        <tr r="T129" s="9"/>
        <tr r="T62" s="9"/>
        <tr r="T154" s="9"/>
        <tr r="S22" s="8"/>
        <tr r="T31" s="7"/>
        <tr r="U147" s="9"/>
        <tr r="T148" s="9"/>
        <tr r="T50" s="9"/>
        <tr r="T160" s="9"/>
        <tr r="W145" s="9"/>
        <tr r="V31" s="8"/>
        <tr r="V17" s="8"/>
        <tr r="W156" s="9"/>
        <tr r="T134" s="9"/>
        <tr r="W97" s="9"/>
        <tr r="T132" s="9"/>
        <tr r="U142" s="9"/>
        <tr r="T151" s="9"/>
        <tr r="W70" s="9"/>
        <tr r="W80" s="9"/>
        <tr r="T103" s="9"/>
        <tr r="P47" s="7"/>
        <tr r="T101" s="9"/>
        <tr r="W50" s="9"/>
        <tr r="W11" s="8"/>
        <tr r="W54" s="9"/>
        <tr r="U143" s="9"/>
        <tr r="U162" s="9"/>
        <tr r="U161" s="9"/>
        <tr r="W51" s="9"/>
        <tr r="W123" s="9"/>
        <tr r="P43" s="7"/>
        <tr r="T19" s="9"/>
        <tr r="P84" s="7"/>
        <tr r="W105" s="9"/>
        <tr r="W152" s="9"/>
        <tr r="V33" s="8"/>
        <tr r="T52" s="9"/>
        <tr r="W26" s="8"/>
        <tr r="U15" s="9"/>
        <tr r="V18" s="8"/>
        <tr r="S32" s="8"/>
        <tr r="W148" s="9"/>
        <tr r="T133" s="9"/>
        <tr r="T161" s="9"/>
        <tr r="T55" s="9"/>
        <tr r="W83" s="9"/>
        <tr r="U126" s="9"/>
        <tr r="P60" s="7"/>
        <tr r="T59" s="9"/>
        <tr r="S13" s="8"/>
        <tr r="W66" s="9"/>
        <tr r="R17" s="7"/>
        <tr r="T18" s="9"/>
        <tr r="S61" s="7"/>
        <tr r="P44" s="7"/>
        <tr r="Q61" s="7"/>
        <tr r="T153" s="9"/>
        <tr r="X31" s="9"/>
        <tr r="T51" s="9"/>
        <tr r="P19" s="7"/>
        <tr r="W115" s="9"/>
        <tr r="W48" s="9"/>
        <tr r="T137" s="9"/>
        <tr r="W73" s="9"/>
        <tr r="W110" s="9"/>
        <tr r="V30" s="8"/>
        <tr r="P85" s="7"/>
        <tr r="W143" s="9"/>
        <tr r="W102" s="9"/>
        <tr r="V16" s="8"/>
        <tr r="W75" s="9"/>
        <tr r="T11" s="8"/>
        <tr r="U156" s="9"/>
        <tr r="T127" s="9"/>
        <tr r="W76" s="9"/>
        <tr r="W65" s="9"/>
        <tr r="U133" s="9"/>
        <tr r="W74" s="9"/>
        <tr r="V32" s="8"/>
        <tr r="W71" s="9"/>
        <tr r="T125" s="9"/>
        <tr r="T143" s="9"/>
        <tr r="S34" s="7"/>
        <tr r="W130" s="9"/>
        <tr r="T150" s="9"/>
        <tr r="W77" s="9"/>
        <tr r="S20" s="8"/>
        <tr r="U124" s="9"/>
        <tr r="W116" s="9"/>
        <tr r="U121" s="9"/>
        <tr r="W46" s="9"/>
        <tr r="T99" s="9"/>
        <tr r="U130" s="9"/>
        <tr r="T105" s="9"/>
        <tr r="U145" s="9"/>
        <tr r="W124" s="9"/>
        <tr r="W84" s="9"/>
        <tr r="S26" s="8"/>
        <tr r="T122" s="9"/>
        <tr r="W67" s="9"/>
        <tr r="T162" s="9"/>
        <tr r="T106" s="9"/>
        <tr r="V29" s="8"/>
        <tr r="T97" s="9"/>
        <tr r="U149" s="9"/>
        <tr r="T64" s="9"/>
        <tr r="T95" s="9"/>
        <tr r="W101" s="9"/>
        <tr r="W146" s="9"/>
        <tr r="U151" s="9"/>
        <tr r="S34" s="8"/>
        <tr r="W134" s="9"/>
        <tr r="S17" s="7"/>
        <tr r="T91" s="9"/>
        <tr r="T82" s="9"/>
        <tr r="U129" s="9"/>
        <tr r="U138" s="9"/>
        <tr r="T33" s="7"/>
        <tr r="W128" s="9"/>
        <tr r="Q17" s="7"/>
        <tr r="T69" s="9"/>
        <tr r="W149" s="9"/>
        <tr r="W58" s="9"/>
        <tr r="U153" s="9"/>
        <tr r="U134" s="9"/>
        <tr r="U150" s="9"/>
        <tr r="W136" s="9"/>
        <tr r="S24" s="8"/>
        <tr r="W55" s="9"/>
        <tr r="S30" s="8"/>
        <tr r="U80" s="9"/>
        <tr r="W45" s="9"/>
        <tr r="U155" s="9"/>
        <tr r="W119" s="9"/>
        <tr r="P83" s="7"/>
        <tr r="T156" s="9"/>
        <tr r="W108" s="9"/>
        <tr r="W131" s="9"/>
        <tr r="T142" s="9"/>
        <tr r="Q58" s="7"/>
        <tr r="W150" s="9"/>
        <tr r="V19" s="8"/>
        <tr r="U159" s="9"/>
        <tr r="U131" s="9"/>
        <tr r="W68" s="9"/>
        <tr r="W85" s="9"/>
        <tr r="W135" s="9"/>
        <tr r="W161" s="9"/>
        <tr r="P68" s="7"/>
        <tr r="T147" s="9"/>
        <tr r="S33" s="8"/>
        <tr r="W95" s="9"/>
        <tr r="U144" s="9"/>
        <tr r="W139" s="9"/>
        <tr r="P66" s="7"/>
        <tr r="W137" s="9"/>
        <tr r="T89" s="9"/>
        <tr r="U136" s="9"/>
        <tr r="W103" s="9"/>
        <tr r="U141" s="9"/>
        <tr r="T159" s="9"/>
        <tr r="T53" s="9"/>
        <tr r="T90" s="9"/>
        <tr r="T98" s="9"/>
        <tr r="U152" s="9"/>
        <tr r="P20" s="7"/>
        <tr r="S12" s="8"/>
        <tr r="W94" s="9"/>
        <tr r="S35" s="7"/>
        <tr r="T61" s="9"/>
        <tr r="S19" s="8"/>
        <tr r="W151" s="9"/>
        <tr r="U163" s="9"/>
        <tr r="P64" s="7"/>
        <tr r="AR22" s="9"/>
        <tr r="T23" s="9"/>
        <tr r="B40" s="9"/>
        <tr r="B34" s="9"/>
        <tr r="B42" s="9"/>
        <tr r="B47" s="9"/>
        <tr r="T24" s="9"/>
        <tr r="B30" s="9"/>
        <tr r="B41" s="9"/>
        <tr r="T25" s="9"/>
        <tr r="B31" s="9"/>
        <tr r="B37" s="9"/>
        <tr r="B49" s="9"/>
        <tr r="B33" s="9"/>
        <tr r="B43" s="9"/>
        <tr r="B38" s="9"/>
        <tr r="P70" s="7"/>
        <tr r="B45" s="9"/>
        <tr r="P69" s="7"/>
        <tr r="P71" s="7"/>
        <tr r="B46" s="9"/>
        <tr r="B35" s="9"/>
        <tr r="B29" s="9"/>
        <tr r="B32" s="9"/>
        <tr r="B39" s="9"/>
        <tr r="B44" s="9"/>
        <tr r="B48" s="9"/>
        <tr r="B36" s="9"/>
        <tr r="AQ22" s="9"/>
        <tr r="AR17" s="9"/>
        <tr r="AR20" s="9"/>
        <tr r="BA11" s="9"/>
        <tr r="AR21" s="9"/>
        <tr r="AU11" s="9"/>
        <tr r="AR19" s="9"/>
        <tr r="AR16" s="9"/>
        <tr r="AX11" s="9"/>
        <tr r="BB11" s="9"/>
        <tr r="AR18" s="9"/>
        <tr r="AR15" s="9"/>
        <tr r="BB10" s="9"/>
        <tr r="BB8" s="9"/>
        <tr r="AY8" s="9"/>
        <tr r="AU10" s="9"/>
        <tr r="AQ20" s="9"/>
        <tr r="AQ18" s="9"/>
        <tr r="AX10" s="9"/>
        <tr r="AQ19" s="9"/>
        <tr r="AV8" s="9"/>
        <tr r="AQ17" s="9"/>
        <tr r="BA10" s="9"/>
        <tr r="AQ15" s="9"/>
        <tr r="AQ16" s="9"/>
        <tr r="AQ21" s="9"/>
        <tr r="AR14" s="9"/>
      </tp>
    </main>
    <main first="cabcrmsqlrs1 CABReportingCubes Local Financial Snapshot">
      <tp t="e">
        <v>#N/A</v>
        <stp>1</stp>
        <tr r="E349" s="17"/>
        <tr r="F349" s="17"/>
        <tr r="D349" s="17"/>
        <tr r="E237" s="17"/>
        <tr r="F237" s="17"/>
        <tr r="D380" s="17"/>
        <tr r="F380" s="17"/>
        <tr r="E380" s="17"/>
        <tr r="F213" s="17"/>
        <tr r="E213" s="17"/>
        <tr r="D213" s="17"/>
        <tr r="F456" s="17"/>
        <tr r="D456" s="17"/>
        <tr r="F174" s="17"/>
        <tr r="E174" s="17"/>
        <tr r="D174" s="17"/>
        <tr r="E112" s="17"/>
        <tr r="F112" s="17"/>
        <tr r="AD53" s="17"/>
        <tr r="AD53" s="17"/>
        <tr r="AD58" s="17"/>
        <tr r="AD58" s="17"/>
        <tr r="E309" s="17"/>
        <tr r="F364" s="17"/>
        <tr r="AD19" s="17"/>
        <tr r="AD19" s="17"/>
        <tr r="D460" s="17"/>
        <tr r="AN13" s="17"/>
        <tr r="E402" s="17"/>
        <tr r="F291" s="17"/>
        <tr r="F307" s="17"/>
        <tr r="F430" s="17"/>
        <tr r="E243" s="17"/>
        <tr r="E209" s="17"/>
        <tr r="F229" s="17"/>
        <tr r="D148" s="17"/>
        <tr r="AS13" s="17"/>
        <tr r="F361" s="17"/>
        <tr r="F145" s="17"/>
        <tr r="E219" s="17"/>
        <tr r="E279" s="17"/>
        <tr r="E206" s="17"/>
        <tr r="E456" s="17"/>
        <tr r="E248" s="17"/>
        <tr r="E245" s="17"/>
        <tr r="AB93" s="17"/>
        <tr r="E413" s="17"/>
        <tr r="D388" s="17"/>
        <tr r="E117" s="17"/>
        <tr r="E423" s="17"/>
        <tr r="E395" s="17"/>
        <tr r="E305" s="17"/>
        <tr r="F142" s="17"/>
        <tr r="E396" s="17"/>
        <tr r="F226" s="17"/>
        <tr r="AT13" s="17"/>
        <tr r="E415" s="17"/>
        <tr r="E136" s="17"/>
        <tr r="F381" s="17"/>
        <tr r="E352" s="17"/>
        <tr r="F401" s="17"/>
        <tr r="F144" s="17"/>
        <tr r="E283" s="17"/>
        <tr r="D296" s="17"/>
        <tr r="AP13" s="17"/>
        <tr r="E170" s="17"/>
        <tr r="E194" s="17"/>
        <tr r="E275" s="17"/>
        <tr r="E271" s="17"/>
        <tr r="E368" s="17"/>
        <tr r="E123" s="17"/>
        <tr r="E407" s="17"/>
        <tr r="F420" s="17"/>
        <tr r="F161" s="17"/>
        <tr r="E303" s="17"/>
        <tr r="AW13" s="17"/>
        <tr r="E419" s="17"/>
        <tr r="E383" s="17"/>
        <tr r="F115" s="17"/>
        <tr r="F409" s="17"/>
        <tr r="F329" s="17"/>
        <tr r="F175" s="17"/>
        <tr r="E92" s="17"/>
        <tr r="E367" s="17"/>
        <tr r="E376" s="17"/>
        <tr r="E257" s="17"/>
        <tr r="E83" s="17"/>
        <tr r="E128" s="17"/>
        <tr r="F126" s="17"/>
        <tr r="F180" s="17"/>
        <tr r="F375" s="17"/>
        <tr r="E105" s="17"/>
        <tr r="F113" s="17"/>
        <tr r="E334" s="17"/>
        <tr r="E290" s="17"/>
        <tr r="E371" s="17"/>
        <tr r="F90" s="17"/>
        <tr r="AV13" s="17"/>
        <tr r="E390" s="17"/>
        <tr r="AS18" s="17"/>
        <tr r="AS18" s="17"/>
        <tr r="D244" s="17"/>
        <tr r="E289" s="17"/>
        <tr r="F214" s="17"/>
        <tr r="D135" s="17"/>
        <tr r="F165" s="17"/>
        <tr r="D267" s="17"/>
        <tr r="AK17" s="17"/>
        <tr r="AC63" s="17"/>
        <tr r="AC63" s="17"/>
        <tr r="D132" s="17"/>
        <tr r="D440" s="17"/>
        <tr r="F406" s="17"/>
        <tr r="AD54" s="17"/>
        <tr r="AD54" s="17"/>
        <tr r="AL15" s="17"/>
        <tr r="AL15" s="17"/>
        <tr r="D336" s="17"/>
        <tr r="AT14" s="17"/>
        <tr r="AV18" s="17"/>
        <tr r="AV18" s="17"/>
        <tr r="AC62" s="17"/>
        <tr r="AC62" s="17"/>
        <tr r="D393" s="17"/>
        <tr r="E179" s="17"/>
        <tr r="F370" s="17"/>
        <tr r="E369" s="17"/>
        <tr r="D158" s="17"/>
        <tr r="F182" s="17"/>
        <tr r="D339" s="17"/>
        <tr r="E422" s="17"/>
        <tr r="D194" s="17"/>
        <tr r="D283" s="17"/>
        <tr r="D232" s="17"/>
        <tr r="AL13" s="17"/>
        <tr r="F191" s="17"/>
        <tr r="F348" s="17"/>
        <tr r="F309" s="17"/>
        <tr r="D399" s="17"/>
        <tr r="D178" s="17"/>
        <tr r="AK15" s="17"/>
        <tr r="AK15" s="17"/>
        <tr r="E343" s="17"/>
        <tr r="D395" s="17"/>
        <tr r="AM18" s="17"/>
        <tr r="AM18" s="17"/>
        <tr r="E155" s="17"/>
        <tr r="F158" s="17"/>
        <tr r="F419" s="17"/>
        <tr r="D199" s="17"/>
        <tr r="D117" s="17"/>
        <tr r="E405" s="17"/>
        <tr r="E241" s="17"/>
        <tr r="D406" s="17"/>
        <tr r="D237" s="17"/>
        <tr r="E156" s="17"/>
        <tr r="D385" s="17"/>
        <tr r="D376" s="17"/>
        <tr r="F453" s="17"/>
        <tr r="AO18" s="17"/>
        <tr r="AO18" s="17"/>
        <tr r="D222" s="17"/>
        <tr r="F441" s="17"/>
        <tr r="F326" s="17"/>
        <tr r="AP14" s="17"/>
        <tr r="D351" s="17"/>
        <tr r="D335" s="17"/>
        <tr r="D113" s="17"/>
        <tr r="AU17" s="17"/>
        <tr r="D175" s="17"/>
        <tr r="D123" s="17"/>
        <tr r="D167" s="17"/>
        <tr r="F230" s="17"/>
        <tr r="F148" s="17"/>
        <tr r="F123" s="17"/>
        <tr r="E453" s="17"/>
        <tr r="AI18" s="17"/>
        <tr r="AI18" s="17"/>
        <tr r="D253" s="17"/>
        <tr r="E441" s="17"/>
        <tr r="F188" s="17"/>
        <tr r="AU14" s="17"/>
        <tr r="AU14" s="17"/>
        <tr r="D461" s="17"/>
        <tr r="D304" s="17"/>
        <tr r="D394" s="17"/>
        <tr r="D134" s="17"/>
        <tr r="D441" s="17"/>
        <tr r="D370" s="17"/>
        <tr r="F178" s="17"/>
        <tr r="D369" s="17"/>
        <tr r="AD52" s="17"/>
        <tr r="AD52" s="17"/>
        <tr r="E229" s="17"/>
        <tr r="D242" s="17"/>
        <tr r="AR15" s="17"/>
        <tr r="F306" s="17"/>
        <tr r="D250" s="17"/>
        <tr r="D184" s="17"/>
        <tr r="F110" s="17"/>
        <tr r="F376" s="17"/>
        <tr r="E116" s="17"/>
        <tr r="D366" s="17"/>
        <tr r="F114" s="17"/>
        <tr r="D343" s="17"/>
        <tr r="F432" s="17"/>
        <tr r="D220" s="17"/>
        <tr r="AX18" s="17"/>
        <tr r="AX18" s="17"/>
        <tr r="AD20" s="17"/>
        <tr r="AD20" s="17"/>
        <tr r="D402" s="17"/>
        <tr r="E158" s="17"/>
        <tr r="AW14" s="17"/>
        <tr r="AW14" s="17"/>
        <tr r="D89" s="17"/>
        <tr r="D298" s="17"/>
        <tr r="D85" s="17"/>
        <tr r="E94" s="17"/>
        <tr r="E351" s="17"/>
        <tr r="E426" s="17"/>
        <tr r="D84" s="17"/>
        <tr r="D142" s="17"/>
        <tr r="F243" s="17"/>
        <tr r="E102" s="17"/>
        <tr r="D391" s="17"/>
        <tr r="F323" s="17"/>
        <tr r="D270" s="17"/>
        <tr r="F435" s="17"/>
        <tr r="AH13" s="17"/>
        <tr r="D389" s="17"/>
        <tr r="E329" s="17"/>
        <tr r="D136" s="17"/>
        <tr r="F294" s="17"/>
        <tr r="E459" s="17"/>
        <tr r="AC58" s="17"/>
        <tr r="AC58" s="17"/>
        <tr r="D206" s="17"/>
        <tr r="E411" s="17"/>
        <tr r="F283" s="17"/>
        <tr r="F246" s="17"/>
        <tr r="E106" s="17"/>
        <tr r="F258" s="17"/>
        <tr r="F296" s="17"/>
        <tr r="D96" s="17"/>
        <tr r="D225" s="17"/>
        <tr r="D187" s="17"/>
        <tr r="F134" s="17"/>
        <tr r="E133" s="17"/>
        <tr r="AJ14" s="17"/>
        <tr r="AJ14" s="17"/>
        <tr r="AB53" s="17"/>
        <tr r="AB53" s="17"/>
        <tr r="D157" s="17"/>
        <tr r="E109" s="17"/>
        <tr r="E191" s="17"/>
        <tr r="E216" s="17"/>
        <tr r="E232" s="17"/>
        <tr r="AJ18" s="17"/>
        <tr r="AJ18" s="17"/>
        <tr r="F433" s="17"/>
        <tr r="F198" s="17"/>
        <tr r="E270" s="17"/>
        <tr r="F377" s="17"/>
        <tr r="D201" s="17"/>
        <tr r="D95" s="17"/>
        <tr r="E425" s="17"/>
        <tr r="E430" s="17"/>
        <tr r="AO17" s="17"/>
        <tr r="F417" s="17"/>
        <tr r="F88" s="17"/>
        <tr r="D173" s="17"/>
        <tr r="E424" s="17"/>
        <tr r="E198" s="17"/>
        <tr r="F274" s="17"/>
        <tr r="E370" s="17"/>
        <tr r="C370" s="17"/>
        <tr r="C349" s="17"/>
        <tr r="B292" s="17"/>
        <tr r="F281" s="17"/>
        <tr r="F167" s="17"/>
        <tr r="D374" s="17"/>
        <tr r="F238" s="17"/>
        <tr r="E347" s="17"/>
        <tr r="F340" s="17"/>
        <tr r="D186" s="17"/>
        <tr r="F360" s="17"/>
        <tr r="AU15" s="17"/>
        <tr r="AU15" s="17"/>
        <tr r="F446" s="17"/>
        <tr r="AQ17" s="17"/>
        <tr r="E385" s="17"/>
        <tr r="E84" s="17"/>
        <tr r="D438" s="17"/>
        <tr r="D428" s="17"/>
        <tr r="F96" s="17"/>
        <tr r="D286" s="17"/>
        <tr r="AD56" s="17"/>
        <tr r="AD56" s="17"/>
        <tr r="D381" s="17"/>
        <tr r="E93" s="17"/>
        <tr r="AI16" s="17"/>
        <tr r="AI16" s="17"/>
        <tr r="D251" s="17"/>
        <tr r="F236" s="17"/>
        <tr r="E435" s="17"/>
        <tr r="AB20" s="17"/>
        <tr r="AB20" s="17"/>
        <tr r="D106" s="17"/>
        <tr r="F389" s="17"/>
        <tr r="E159" s="17"/>
        <tr r="AV16" s="17"/>
        <tr r="AV16" s="17"/>
        <tr r="F452" s="17"/>
        <tr r="E231" s="17"/>
        <tr r="D390" s="17"/>
        <tr r="E403" s="17"/>
        <tr r="E375" s="17"/>
        <tr r="D196" s="17"/>
        <tr r="E439" s="17"/>
        <tr r="D285" s="17"/>
        <tr r="AC52" s="17"/>
        <tr r="AC52" s="17"/>
        <tr r="C237" s="17"/>
        <tr r="AB97" s="17"/>
        <tr r="D333" s="17"/>
        <tr r="AD62" s="17"/>
        <tr r="AD62" s="17"/>
        <tr r="E326" s="17"/>
        <tr r="D176" s="17"/>
        <tr r="F263" s="17"/>
        <tr r="D437" s="17"/>
        <tr r="AD63" s="17"/>
        <tr r="AD63" s="17"/>
        <tr r="D156" s="17"/>
        <tr r="F116" s="17"/>
        <tr r="AI15" s="17"/>
        <tr r="AI15" s="17"/>
        <tr r="D426" s="17"/>
        <tr r="D415" s="17"/>
        <tr r="D455" s="17"/>
        <tr r="F227" s="17"/>
        <tr r="E373" s="17"/>
        <tr r="E222" s="17"/>
        <tr r="D221" s="17"/>
        <tr r="E409" s="17"/>
        <tr r="D405" s="17"/>
        <tr r="E178" s="17"/>
        <tr r="F437" s="17"/>
        <tr r="AD57" s="17"/>
        <tr r="AD57" s="17"/>
        <tr r="D229" s="17"/>
        <tr r="F242" s="17"/>
        <tr r="AW15" s="17"/>
        <tr r="AW15" s="17"/>
        <tr r="E306" s="17"/>
        <tr r="D350" s="17"/>
        <tr r="D433" s="17"/>
        <tr r="F413" s="17"/>
        <tr r="D258" s="17"/>
        <tr r="F395" s="17"/>
        <tr r="D230" s="17"/>
        <tr r="E148" s="17"/>
        <tr r="D432" s="17"/>
        <tr r="F220" s="17"/>
        <tr r="AN18" s="17"/>
        <tr r="AN18" s="17"/>
        <tr r="F253" s="17"/>
        <tr r="F402" s="17"/>
        <tr r="D188" s="17"/>
        <tr r="AO14" s="17"/>
        <tr r="E89" s="17"/>
        <tr r="D295" s="17"/>
        <tr r="D260" s="17"/>
        <tr r="F192" s="17"/>
        <tr r="F449" s="17"/>
        <tr r="D373" s="17"/>
        <tr r="D453" s="17"/>
        <tr r="D448" s="17"/>
        <tr r="F179" s="17"/>
        <tr r="D256" s="17"/>
        <tr r="F369" s="17"/>
        <tr r="AD51" s="17"/>
        <tr r="AD51" s="17"/>
        <tr r="D281" s="17"/>
        <tr r="D243" s="17"/>
        <tr r="D383" s="17"/>
        <tr r="D102" s="17"/>
        <tr r="D129" s="17"/>
        <tr r="D327" s="17"/>
        <tr r="F311" s="17"/>
        <tr r="AQ14" s="17"/>
        <tr r="AQ14" s="17"/>
        <tr r="D263" s="17"/>
        <tr r="D446" s="17"/>
        <tr r="E181" s="17"/>
        <tr r="E281" s="17"/>
        <tr r="F383" s="17"/>
        <tr r="D288" s="17"/>
        <tr r="D400" s="17"/>
        <tr r="D348" s="17"/>
        <tr r="F216" s="17"/>
        <tr r="D216" s="17"/>
        <tr r="D151" s="17"/>
        <tr r="D431" s="17"/>
        <tr r="E255" s="17"/>
        <tr r="AS15" s="17"/>
        <tr r="AS15" s="17"/>
        <tr r="F429" s="17"/>
        <tr r="D337" s="17"/>
        <tr r="D141" s="17"/>
        <tr r="F322" s="17"/>
        <tr r="E103" s="17"/>
        <tr r="E414" s="17"/>
        <tr r="F195" s="17"/>
        <tr r="E292" s="17"/>
        <tr r="F184" s="17"/>
        <tr r="D248" s="17"/>
        <tr r="E190" s="17"/>
        <tr r="AQ18" s="17"/>
        <tr r="AQ18" s="17"/>
        <tr r="AC55" s="17"/>
        <tr r="D346" s="17"/>
        <tr r="E382" s="17"/>
        <tr r="D127" s="17"/>
        <tr r="D138" s="17"/>
        <tr r="E134" s="17"/>
        <tr r="E399" s="17"/>
        <tr r="E300" s="17"/>
        <tr r="E421" s="17"/>
        <tr r="D368" s="17"/>
        <tr r="D152" s="17"/>
        <tr r="D356" s="17"/>
        <tr r="D179" s="17"/>
        <tr r="E152" s="17"/>
        <tr r="F219" s="17"/>
        <tr r="E110" s="17"/>
        <tr r="AK16" s="17"/>
        <tr r="F133" s="17"/>
        <tr r="E127" s="17"/>
        <tr r="E393" s="17"/>
        <tr r="D94" s="17"/>
        <tr r="F320" s="17"/>
        <tr r="F205" s="17"/>
        <tr r="E304" s="17"/>
        <tr r="E448" s="17"/>
        <tr r="B88" s="17"/>
        <tr r="C380" s="17"/>
        <tr r="E340" s="17"/>
        <tr r="D340" s="17"/>
        <tr r="D189" s="17"/>
        <tr r="E437" s="17"/>
        <tr r="D334" s="17"/>
        <tr r="D325" s="17"/>
        <tr r="F241" s="17"/>
        <tr r="D181" s="17"/>
        <tr r="D303" s="17"/>
        <tr r="D412" s="17"/>
        <tr r="E287" s="17"/>
        <tr r="E445" s="17"/>
        <tr r="E410" s="17"/>
        <tr r="D226" s="17"/>
        <tr r="D392" s="17"/>
        <tr r="AU18" s="17"/>
        <tr r="AU18" s="17"/>
        <tr r="E256" s="17"/>
        <tr r="F367" s="17"/>
        <tr r="D387" s="17"/>
        <tr r="E451" s="17"/>
        <tr r="F264" s="17"/>
        <tr r="F341" s="17"/>
        <tr r="E266" s="17"/>
        <tr r="F288" s="17"/>
        <tr r="E124" s="17"/>
        <tr r="E362" s="17"/>
        <tr r="E121" s="17"/>
        <tr r="E242" s="17"/>
        <tr r="D143" s="17"/>
        <tr r="F310" s="17"/>
        <tr r="AP17" s="17"/>
        <tr r="AB96" s="17"/>
        <tr r="F347" s="17"/>
        <tr r="D329" s="17"/>
        <tr r="AD59" s="17"/>
        <tr r="AD59" s="17"/>
        <tr r="AL14" s="17"/>
        <tr r="AL14" s="17"/>
        <tr r="D462" s="17"/>
        <tr r="F247" s="17"/>
        <tr r="D271" s="17"/>
        <tr r="E333" s="17"/>
        <tr r="AK18" s="17"/>
        <tr r="AK18" s="17"/>
        <tr r="AD50" s="17"/>
        <tr r="AD50" s="17"/>
        <tr r="AQ16" s="17"/>
        <tr r="D247" s="17"/>
        <tr r="AT15" s="17"/>
        <tr r="AT15" s="17"/>
        <tr r="F385" s="17"/>
        <tr r="D162" s="17"/>
        <tr r="D124" s="17"/>
        <tr r="D153" s="17"/>
        <tr r="D289" s="17"/>
        <tr r="D223" s="17"/>
        <tr r="F84" s="17"/>
        <tr r="AK13" s="17"/>
        <tr r="F410" s="17"/>
        <tr r="F438" s="17"/>
        <tr r="AC61" s="17"/>
        <tr r="AC61" s="17"/>
        <tr r="F334" s="17"/>
        <tr r="D159" s="17"/>
        <tr r="D91" s="17"/>
        <tr r="D240" s="17"/>
        <tr r="F386" s="17"/>
        <tr r="F447" s="17"/>
        <tr r="AD21" s="17"/>
        <tr r="AD21" s="17"/>
        <tr r="D377" s="17"/>
        <tr r="E263" s="17"/>
        <tr r="E446" s="17"/>
        <tr r="E406" s="17"/>
        <tr r="F181" s="17"/>
        <tr r="AD60" s="17"/>
        <tr r="AD60" s="17"/>
        <tr r="AQ13" s="17"/>
        <tr r="F303" s="17"/>
        <tr r="AM15" s="17"/>
        <tr r="AM15" s="17"/>
        <tr r="D354" s="17"/>
        <tr r="D361" s="17"/>
        <tr r="F93" s="17"/>
        <tr r="D241" s="17"/>
        <tr r="E214" s="17"/>
        <tr r="F343" s="17"/>
        <tr r="E432" s="17"/>
        <tr r="E220" s="17"/>
        <tr r="AR18" s="17"/>
        <tr r="D155" s="17"/>
        <tr r="AS14" s="17"/>
        <tr r="AS14" s="17"/>
        <tr r="D396" s="17"/>
        <tr r="D265" s="17"/>
        <tr r="D276" s="17"/>
        <tr r="D282" s="17"/>
        <tr r="D92" s="17"/>
        <tr r="D424" s="17"/>
        <tr r="F256" s="17"/>
        <tr r="D316" s="17"/>
        <tr r="AW18" s="17"/>
        <tr r="AW18" s="17"/>
        <tr r="D261" s="17"/>
        <tr r="F147" s="17"/>
        <tr r="E244" s="17"/>
        <tr r="E462" s="17"/>
        <tr r="F170" s="17"/>
        <tr r="F444" s="17"/>
        <tr r="E354" s="17"/>
        <tr r="E341" s="17"/>
        <tr r="AX15" s="17"/>
        <tr r="AX15" s="17"/>
        <tr r="E301" s="17"/>
        <tr r="F89" s="17"/>
        <tr r="D360" s="17"/>
        <tr r="D317" s="17"/>
        <tr r="D177" s="17"/>
        <tr r="D367" s="17"/>
        <tr r="F122" s="17"/>
        <tr r="AN17" s="17"/>
        <tr r="D435" s="17"/>
        <tr r="D112" s="17"/>
        <tr r="F257" s="17"/>
        <tr r="D420" s="17"/>
        <tr r="F400" s="17"/>
        <tr r="E452" s="17"/>
        <tr r="E166" s="17"/>
        <tr r="F225" s="17"/>
        <tr r="E336" s="17"/>
        <tr r="E321" s="17"/>
        <tr r="D384" s="17"/>
        <tr r="D264" s="17"/>
        <tr r="E296" s="17"/>
        <tr r="E193" s="17"/>
        <tr r="E252" s="17"/>
        <tr r="F337" s="17"/>
        <tr r="C213" s="17"/>
        <tr r="AD61" s="17"/>
        <tr r="AD61" s="17"/>
        <tr r="F156" s="17"/>
        <tr r="D116" s="17"/>
        <tr r="AV15" s="17"/>
        <tr r="AV15" s="17"/>
        <tr r="D341" s="17"/>
        <tr r="D110" s="17"/>
        <tr r="F272" s="17"/>
        <tr r="F104" s="17"/>
        <tr r="D259" s="17"/>
        <tr r="D118" s="17"/>
        <tr r="D246" s="17"/>
        <tr r="F94" s="17"/>
        <tr r="F187" s="17"/>
        <tr r="F302" s="17"/>
        <tr r="E144" s="17"/>
        <tr r="E387" s="17"/>
        <tr r="E161" s="17"/>
        <tr r="F132" s="17"/>
        <tr r="E320" s="17"/>
        <tr r="D122" s="17"/>
        <tr r="F124" s="17"/>
        <tr r="D203" s="17"/>
        <tr r="F425" s="17"/>
        <tr r="AC60" s="17"/>
        <tr r="AC60" s="17"/>
        <tr r="D430" s="17"/>
        <tr r="E188" s="17"/>
        <tr r="AB62" s="17"/>
        <tr r="AB62" s="17"/>
        <tr r="F416" s="17"/>
        <tr r="F150" s="17"/>
        <tr r="F319" s="17"/>
        <tr r="E151" s="17"/>
        <tr r="D310" s="17"/>
        <tr r="AJ15" s="17"/>
        <tr r="AJ15" s="17"/>
        <tr r="D293" s="17"/>
        <tr r="F338" s="17"/>
        <tr r="D88" s="17"/>
        <tr r="D302" s="17"/>
        <tr r="D386" s="17"/>
        <tr r="E310" s="17"/>
        <tr r="D99" s="17"/>
        <tr r="D254" s="17"/>
        <tr r="F101" s="17"/>
        <tr r="F451" s="17"/>
        <tr r="E172" s="17"/>
        <tr r="F87" s="17"/>
        <tr r="F105" s="17"/>
        <tr r="F107" s="17"/>
        <tr r="E337" s="17"/>
        <tr r="E318" s="17"/>
        <tr r="E137" s="17"/>
        <tr r="AS17" s="17"/>
        <tr r="F459" s="17"/>
        <tr r="F240" s="17"/>
        <tr r="F137" s="17"/>
        <tr r="D165" s="17"/>
        <tr r="D306" s="17"/>
        <tr r="E167" s="17"/>
        <tr r="D154" s="17"/>
        <tr r="F431" s="17"/>
        <tr r="D326" s="17"/>
        <tr r="F346" s="17"/>
        <tr r="D182" s="17"/>
        <tr r="D273" s="17"/>
        <tr r="F443" s="17"/>
        <tr r="D364" s="17"/>
        <tr r="E454" s="17"/>
        <tr r="F388" s="17"/>
        <tr r="D197" s="17"/>
        <tr r="AC54" s="17"/>
        <tr r="AC54" s="17"/>
        <tr r="E434" s="17"/>
        <tr r="E91" s="17"/>
        <tr r="F424" s="17"/>
        <tr r="D86" s="17"/>
        <tr r="D191" s="17"/>
        <tr r="D171" s="17"/>
        <tr r="F344" s="17"/>
        <tr r="F384" s="17"/>
        <tr r="AB51" s="17"/>
        <tr r="AB51" s="17"/>
        <tr r="F221" s="17"/>
        <tr r="F270" s="17"/>
        <tr r="F244" s="17"/>
        <tr r="E207" s="17"/>
        <tr r="F136" s="17"/>
        <tr r="E141" s="17"/>
        <tr r="E168" s="17"/>
        <tr r="AN16" s="17"/>
        <tr r="AN16" s="17"/>
        <tr r="E143" s="17"/>
        <tr r="E250" s="17"/>
        <tr r="E431" s="17"/>
        <tr r="F445" s="17"/>
        <tr r="F461" s="17"/>
        <tr r="F287" s="17"/>
        <tr r="F108" s="17"/>
        <tr r="AV14" s="17"/>
        <tr r="AK14" s="17"/>
        <tr r="F120" s="17"/>
        <tr r="AB59" s="17"/>
        <tr r="AB59" s="17"/>
        <tr r="D318" s="17"/>
        <tr r="F121" s="17"/>
        <tr r="D126" s="17"/>
        <tr r="AB55" s="17"/>
        <tr r="E122" s="17"/>
        <tr r="F149" s="17"/>
        <tr r="F285" s="17"/>
        <tr r="AP16" s="17"/>
        <tr r="D133" s="17"/>
        <tr r="F209" s="17"/>
        <tr r="F261" s="17"/>
        <tr r="D419" s="17"/>
        <tr r="F273" s="17"/>
        <tr r="E327" s="17"/>
        <tr r="D353" s="17"/>
        <tr r="E221" s="17"/>
        <tr r="E101" s="17"/>
        <tr r="AL17" s="17"/>
        <tr r="D269" s="17"/>
        <tr r="F342" s="17"/>
        <tr r="F177" s="17"/>
        <tr r="D408" s="17"/>
        <tr r="E416" s="17"/>
        <tr r="F103" s="17"/>
        <tr r="E149" s="17"/>
        <tr r="E357" s="17"/>
        <tr r="E420" s="17"/>
        <tr r="F199" s="17"/>
        <tr r="E184" s="17"/>
        <tr r="E246" s="17"/>
        <tr r="E324" s="17"/>
        <tr r="D210" s="17"/>
        <tr r="D215" s="17"/>
        <tr r="D214" s="17"/>
        <tr r="F172" s="17"/>
        <tr r="AH17" s="17"/>
        <tr r="E308" s="17"/>
        <tr r="F379" s="17"/>
        <tr r="F130" s="17"/>
        <tr r="E418" s="17"/>
        <tr r="E272" s="17"/>
        <tr r="D445" s="17"/>
        <tr r="F331" s="17"/>
        <tr r="E267" s="17"/>
        <tr r="AC53" s="17"/>
        <tr r="AC53" s="17"/>
        <tr r="E342" s="17"/>
        <tr r="D198" s="17"/>
        <tr r="D164" s="17"/>
        <tr r="F248" s="17"/>
        <tr r="F404" s="17"/>
        <tr r="E404" s="17"/>
        <tr r="E278" s="17"/>
        <tr r="AC19" s="17"/>
        <tr r="AC19" s="17"/>
        <tr r="E204" s="17"/>
        <tr r="F95" s="17"/>
        <tr r="E238" s="17"/>
        <tr r="E412" s="17"/>
        <tr r="B91" s="17"/>
        <tr r="C256" s="17"/>
        <tr r="C456" s="17"/>
        <tr r="C174" s="17"/>
        <tr r="AP18" s="17"/>
        <tr r="D410" s="17"/>
        <tr r="E438" s="17"/>
        <tr r="AC59" s="17"/>
        <tr r="AC59" s="17"/>
        <tr r="E226" s="17"/>
        <tr r="D163" s="17"/>
        <tr r="D427" s="17"/>
        <tr r="D249" s="17"/>
        <tr r="D279" s="17"/>
        <tr r="D452" s="17"/>
        <tr r="D120" s="17"/>
        <tr r="AS16" s="17"/>
        <tr r="AS16" s="17"/>
        <tr r="F393" s="17"/>
        <tr r="E240" s="17"/>
        <tr r="D301" s="17"/>
        <tr r="D421" s="17"/>
        <tr r="E428" s="17"/>
        <tr r="AL18" s="17"/>
        <tr r="AL18" s="17"/>
        <tr r="F190" s="17"/>
        <tr r="E262" s="17"/>
        <tr r="AB63" s="17"/>
        <tr r="AB63" s="17"/>
        <tr r="AV17" s="17"/>
        <tr r="D100" s="17"/>
        <tr r="F111" s="17"/>
        <tr r="E457" s="17"/>
        <tr r="F396" s="17"/>
        <tr r="D320" s="17"/>
        <tr r="F371" s="17"/>
        <tr r="E330" s="17"/>
        <tr r="F314" s="17"/>
        <tr r="D193" s="17"/>
        <tr r="D227" s="17"/>
        <tr r="F422" s="17"/>
        <tr r="F292" s="17"/>
        <tr r="F439" s="17"/>
        <tr r="E433" s="17"/>
        <tr r="D436" s="17"/>
        <tr r="D407" s="17"/>
        <tr r="E400" s="17"/>
        <tr r="E288" s="17"/>
        <tr r="F206" s="17"/>
        <tr r="F284" s="17"/>
        <tr r="AU13" s="17"/>
        <tr r="F359" s="17"/>
        <tr r="E196" s="17"/>
        <tr r="E147" s="17"/>
        <tr r="F163" s="17"/>
        <tr r="E236" s="17"/>
        <tr r="E298" s="17"/>
        <tr r="E217" s="17"/>
        <tr r="E97" s="17"/>
        <tr r="F399" s="17"/>
        <tr r="F335" s="17"/>
        <tr r="D107" s="17"/>
        <tr r="AH18" s="17"/>
        <tr r="AH18" s="17"/>
        <tr r="E325" s="17"/>
        <tr r="D233" s="17"/>
        <tr r="E162" s="17"/>
        <tr r="F368" s="17"/>
        <tr r="E328" s="17"/>
        <tr r="AD55" s="17"/>
        <tr r="E104" s="17"/>
        <tr r="E356" s="17"/>
        <tr r="D146" s="17"/>
        <tr r="AB58" s="17"/>
        <tr r="AB58" s="17"/>
        <tr r="E363" s="17"/>
        <tr r="E205" s="17"/>
        <tr r="F362" s="17"/>
        <tr r="E450" s="17"/>
        <tr r="F143" s="17"/>
        <tr r="E460" s="17"/>
        <tr r="F194" s="17"/>
        <tr r="F462" s="17"/>
        <tr r="F262" s="17"/>
        <tr r="E339" s="17"/>
        <tr r="D183" s="17"/>
        <tr r="F118" s="17"/>
        <tr r="AI17" s="17"/>
        <tr r="E276" s="17"/>
        <tr r="D359" s="17"/>
        <tr r="E154" s="17"/>
        <tr r="F354" s="17"/>
        <tr r="F336" s="17"/>
        <tr r="AB54" s="17"/>
        <tr r="AB54" s="17"/>
        <tr r="AB60" s="17"/>
        <tr r="AB60" s="17"/>
        <tr r="F83" s="17"/>
        <tr r="E195" s="17"/>
        <tr r="F442" s="17"/>
        <tr r="E259" s="17"/>
        <tr r="E165" s="17"/>
        <tr r="AM13" s="17"/>
        <tr r="E297" s="17"/>
        <tr r="AL16" s="17"/>
        <tr r="F245" s="17"/>
        <tr r="F269" s="17"/>
        <tr r="D277" s="17"/>
        <tr r="D131" s="17"/>
        <tr r="D417" s="17"/>
        <tr r="E208" s="17"/>
        <tr r="F251" s="17"/>
        <tr r="D375" s="17"/>
        <tr r="D322" s="17"/>
        <tr r="AB95" s="17"/>
        <tr r="F232" s="17"/>
        <tr r="E264" s="17"/>
        <tr r="D111" s="17"/>
        <tr r="D312" s="17"/>
        <tr r="D83" s="17"/>
        <tr r="D358" s="17"/>
        <tr r="F197" s="17"/>
        <tr r="D457" s="17"/>
        <tr r="E175" s="17"/>
        <tr r="F154" s="17"/>
        <tr r="AH15" s="17"/>
        <tr r="AH15" s="17"/>
        <tr r="D413" s="17"/>
        <tr r="AC50" s="17"/>
        <tr r="AC50" s="17"/>
        <tr r="F208" s="17"/>
        <tr r="E361" s="17"/>
        <tr r="D255" s="17"/>
        <tr r="F339" s="17"/>
        <tr r="D416" s="17"/>
        <tr r="D278" s="17"/>
        <tr r="D101" s="17"/>
        <tr r="F254" s="17"/>
        <tr r="F131" s="17"/>
        <tr r="F299" s="17"/>
        <tr r="F231" s="17"/>
        <tr r="E293" s="17"/>
        <tr r="D458" s="17"/>
        <tr r="F276" s="17"/>
        <tr r="E210" s="17"/>
        <tr r="D332" s="17"/>
        <tr r="AH14" s="17"/>
        <tr r="AH14" s="17"/>
        <tr r="AX13" s="17"/>
        <tr r="AX13" s="17"/>
        <tr r="E348" s="17"/>
        <tr r="F159" s="17"/>
        <tr r="D98" s="17"/>
        <tr r="F171" s="17"/>
        <tr r="F271" s="17"/>
        <tr r="E129" s="17"/>
        <tr r="D451" s="17"/>
        <tr r="F234" s="17"/>
        <tr r="D109" s="17"/>
        <tr r="E386" s="17"/>
        <tr r="D450" s="17"/>
        <tr r="D347" s="17"/>
        <tr r="F151" s="17"/>
        <tr r="D443" s="17"/>
        <tr r="AB56" s="17"/>
        <tr r="AB56" s="17"/>
        <tr r="AR16" s="17"/>
        <tr r="F210" s="17"/>
        <tr r="F129" s="17"/>
        <tr r="E113" s="17"/>
        <tr r="F100" s="17"/>
        <tr r="E182" s="17"/>
        <tr r="D104" s="17"/>
        <tr r="F224" s="17"/>
        <tr r="D211" s="17"/>
        <tr r="D190" s="17"/>
        <tr r="E126" s="17"/>
        <tr r="F160" s="17"/>
        <tr r="AJ17" s="17"/>
        <tr r="AJ17" s="17"/>
        <tr r="F405" s="17"/>
        <tr r="C405" s="17"/>
        <tr r="C446" s="17"/>
        <tr r="B459" s="17"/>
        <tr r="C347" s="17"/>
        <tr r="B314" s="17"/>
        <tr r="B139" s="17"/>
        <tr r="C368" s="17"/>
        <tr r="B338" s="17"/>
        <tr r="AI14" s="17"/>
        <tr r="AI14" s="17"/>
        <tr r="D268" s="17"/>
        <tr r="F357" s="17"/>
        <tr r="F426" s="17"/>
        <tr r="D418" s="17"/>
        <tr r="E312" s="17"/>
        <tr r="AB50" s="17"/>
        <tr r="AB50" s="17"/>
        <tr r="F106" s="17"/>
        <tr r="D212" s="17"/>
        <tr r="F301" s="17"/>
        <tr r="D119" s="17"/>
        <tr r="D422" s="17"/>
        <tr r="D105" s="17"/>
        <tr r="F434" s="17"/>
        <tr r="F387" s="17"/>
        <tr r="E274" s="17"/>
        <tr r="F277" s="17"/>
        <tr r="E427" s="17"/>
        <tr r="E100" s="17"/>
        <tr r="E317" s="17"/>
        <tr r="E442" s="17"/>
        <tr r="E322" s="17"/>
        <tr r="D93" s="17"/>
        <tr r="F92" s="17"/>
        <tr r="F458" s="17"/>
        <tr r="F351" s="17"/>
        <tr r="D291" s="17"/>
        <tr r="AB21" s="17"/>
        <tr r="AB21" s="17"/>
        <tr r="F279" s="17"/>
        <tr r="F275" s="17"/>
        <tr r="D403" s="17"/>
        <tr r="D344" s="17"/>
        <tr r="F455" s="17"/>
        <tr r="D311" s="17"/>
        <tr r="E140" s="17"/>
        <tr r="F155" s="17"/>
        <tr r="F454" s="17"/>
        <tr r="F239" s="17"/>
        <tr r="F297" s="17"/>
        <tr r="F382" s="17"/>
        <tr r="D305" s="17"/>
        <tr r="E150" s="17"/>
        <tr r="D382" s="17"/>
        <tr r="D130" s="17"/>
        <tr r="D434" s="17"/>
        <tr r="E401" s="17"/>
        <tr r="F330" s="17"/>
        <tr r="F173" s="17"/>
        <tr r="F255" s="17"/>
        <tr r="F128" s="17"/>
        <tr r="F211" s="17"/>
        <tr r="E185" s="17"/>
        <tr r="F427" s="17"/>
        <tr r="E108" s="17"/>
        <tr r="E269" s="17"/>
        <tr r="E130" s="17"/>
        <tr r="F139" s="17"/>
        <tr r="E218" s="17"/>
        <tr r="E394" s="17"/>
        <tr r="E392" s="17"/>
        <tr r="E96" s="17"/>
        <tr r="D272" s="17"/>
        <tr r="D192" s="17"/>
        <tr r="F200" s="17"/>
        <tr r="F372" s="17"/>
        <tr r="E335" s="17"/>
        <tr r="D414" s="17"/>
        <tr r="F428" s="17"/>
        <tr r="E323" s="17"/>
        <tr r="E235" s="17"/>
        <tr r="F169" s="17"/>
        <tr r="D238" s="17"/>
        <tr r="F278" s="17"/>
        <tr r="D128" s="17"/>
        <tr r="D170" s="17"/>
        <tr r="D423" s="17"/>
        <tr r="E225" s="17"/>
        <tr r="D144" s="17"/>
        <tr r="D180" s="17"/>
        <tr r="E314" s="17"/>
        <tr r="D404" s="17"/>
        <tr r="D266" s="17"/>
        <tr r="E230" s="17"/>
        <tr r="F356" s="17"/>
        <tr r="D292" s="17"/>
        <tr r="D345" s="17"/>
        <tr r="E319" s="17"/>
        <tr r="F266" s="17"/>
        <tr r="D357" s="17"/>
        <tr r="F185" s="17"/>
        <tr r="F117" s="17"/>
        <tr r="D202" s="17"/>
        <tr r="E201" s="17"/>
        <tr r="F316" s="17"/>
        <tr r="E398" s="17"/>
        <tr r="E282" s="17"/>
        <tr r="E212" s="17"/>
        <tr r="E199" s="17"/>
        <tr r="D409" s="17"/>
        <tr r="AT18" s="17"/>
        <tr r="AT18" s="17"/>
        <tr r="F280" s="17"/>
        <tr r="E169" s="17"/>
        <tr r="F157" s="17"/>
        <tr r="D150" s="17"/>
        <tr r="AM14" s="17"/>
        <tr r="AM14" s="17"/>
        <tr r="D208" s="17"/>
        <tr r="D257" s="17"/>
        <tr r="E139" s="17"/>
        <tr r="E203" s="17"/>
        <tr r="E344" s="17"/>
        <tr r="D168" s="17"/>
        <tr r="F252" s="17"/>
        <tr r="F353" s="17"/>
        <tr r="D125" s="17"/>
        <tr r="F218" s="17"/>
        <tr r="D294" s="17"/>
        <tr r="E265" s="17"/>
        <tr r="E286" s="17"/>
        <tr r="F228" s="17"/>
        <tr r="E311" s="17"/>
        <tr r="E291" s="17"/>
        <tr r="AJ16" s="17"/>
        <tr r="D299" s="17"/>
        <tr r="E388" s="17"/>
        <tr r="F305" s="17"/>
        <tr r="D449" s="17"/>
        <tr r="F193" s="17"/>
        <tr r="E444" s="17"/>
        <tr r="E171" s="17"/>
        <tr r="B403" s="17"/>
        <tr r="B365" s="17"/>
        <tr r="C84" s="17"/>
        <tr r="C229" s="17"/>
        <tr r="C158" s="17"/>
        <tr r="B254" s="17"/>
        <tr r="C112" s="17"/>
        <tr r="B216" s="17"/>
        <tr r="F374" s="17"/>
        <tr r="F233" s="17"/>
        <tr r="E443" s="17"/>
        <tr r="E145" s="17"/>
        <tr r="F268" s="17"/>
        <tr r="E315" s="17"/>
        <tr r="AT16" s="17"/>
        <tr r="E215" s="17"/>
        <tr r="E284" s="17"/>
        <tr r="F222" s="17"/>
        <tr r="F127" s="17"/>
        <tr r="F333" s="17"/>
        <tr r="E350" s="17"/>
        <tr r="F411" s="17"/>
        <tr r="E142" s="17"/>
        <tr r="D217" s="17"/>
        <tr r="D172" s="17"/>
        <tr r="D236" s="17"/>
        <tr r="E118" s="17"/>
        <tr r="F293" s="17"/>
        <tr r="F183" s="17"/>
        <tr r="D140" s="17"/>
        <tr r="E379" s="17"/>
        <tr r="E173" s="17"/>
        <tr r="AX16" s="17"/>
        <tr r="AX16" s="17"/>
        <tr r="AC56" s="17"/>
        <tr r="AC56" s="17"/>
        <tr r="F196" s="17"/>
        <tr r="E186" s="17"/>
        <tr r="F315" s="17"/>
        <tr r="F91" s="17"/>
        <tr r="E359" s="17"/>
        <tr r="D284" s="17"/>
        <tr r="D231" s="17"/>
        <tr r="D444" s="17"/>
        <tr r="F204" s="17"/>
        <tr r="D331" s="17"/>
        <tr r="F355" s="17"/>
        <tr r="E224" s="17"/>
        <tr r="F295" s="17"/>
        <tr r="E200" s="17"/>
        <tr r="E436" s="17"/>
        <tr r="F98" s="17"/>
        <tr r="AT17" s="17"/>
        <tr r="E261" s="17"/>
        <tr r="E251" s="17"/>
        <tr r="E461" s="17"/>
        <tr r="E131" s="17"/>
        <tr r="E87" s="17"/>
        <tr r="D97" s="17"/>
        <tr r="D352" s="17"/>
        <tr r="F265" s="17"/>
        <tr r="F119" s="17"/>
        <tr r="F378" s="17"/>
        <tr r="E247" s="17"/>
        <tr r="AQ15" s="17"/>
        <tr r="AQ15" s="17"/>
        <tr r="F140" s="17"/>
        <tr r="F390" s="17"/>
        <tr r="D115" s="17"/>
        <tr r="F146" s="17"/>
        <tr r="AC57" s="17"/>
        <tr r="AC57" s="17"/>
        <tr r="F152" s="17"/>
        <tr r="F102" s="17"/>
        <tr r="D252" s="17"/>
        <tr r="D378" s="17"/>
        <tr r="D280" s="17"/>
        <tr r="D315" s="17"/>
        <tr r="F403" s="17"/>
        <tr r="D300" s="17"/>
        <tr r="F328" s="17"/>
        <tr r="F457" s="17"/>
        <tr r="D228" s="17"/>
        <tr r="D371" s="17"/>
        <tr r="D204" s="17"/>
        <tr r="D355" s="17"/>
        <tr r="E138" s="17"/>
        <tr r="F304" s="17"/>
        <tr r="D411" s="17"/>
        <tr r="E125" s="17"/>
        <tr r="D139" s="17"/>
        <tr r="AO13" s="17"/>
        <tr r="F85" s="17"/>
        <tr r="E268" s="17"/>
        <tr r="E183" s="17"/>
        <tr r="E285" s="17"/>
        <tr r="F352" s="17"/>
        <tr r="F99" s="17"/>
        <tr r="E114" s="17"/>
        <tr r="E280" s="17"/>
        <tr r="E197" s="17"/>
        <tr r="E85" s="17"/>
        <tr r="E299" s="17"/>
        <tr r="AB94" s="17"/>
        <tr r="AB89" s="17"/>
        <tr r="F436" s="17"/>
        <tr r="D114" s="17"/>
        <tr r="D439" s="17"/>
        <tr r="E253" s="17"/>
        <tr r="F412" s="17"/>
        <tr r="F202" s="17"/>
        <tr r="F414" s="17"/>
        <tr r="E258" s="17"/>
        <tr r="AO15" s="17"/>
        <tr r="AO15" s="17"/>
        <tr r="D195" s="17"/>
        <tr r="E345" s="17"/>
        <tr r="D363" s="17"/>
        <tr r="E429" s="17"/>
        <tr r="F448" s="17"/>
        <tr r="F203" s="17"/>
        <tr r="D166" s="17"/>
        <tr r="E346" s="17"/>
        <tr r="F324" s="17"/>
        <tr r="F186" s="17"/>
        <tr r="F365" s="17"/>
        <tr r="E157" s="17"/>
        <tr r="F421" s="17"/>
        <tr r="F189" s="17"/>
        <tr r="E107" s="17"/>
        <tr r="E189" s="17"/>
        <tr r="E458" s="17"/>
        <tr r="AI13" s="17"/>
        <tr r="B243" s="17"/>
        <tr r="B94" s="17"/>
        <tr r="C376" s="17"/>
        <tr r="B429" s="17"/>
        <tr r="B379" s="17"/>
        <tr r="C263" s="17"/>
        <tr r="B419" s="17"/>
        <tr r="B120" s="17"/>
        <tr r="C123" s="17"/>
        <tr r="C395" s="17"/>
        <tr r="C453" s="17"/>
        <tr r="B267" s="17"/>
        <tr r="AD18" s="17"/>
        <tr r="C410" s="17"/>
        <tr r="B188" s="17"/>
        <tr r="B102" s="17"/>
        <tr r="C457" s="17"/>
        <tr r="B128" s="17"/>
        <tr r="C150" s="17"/>
        <tr r="E95" s="17"/>
        <tr r="C95" s="17"/>
        <tr r="B420" s="17"/>
        <tr r="B108" s="17"/>
        <tr r="C206" s="17"/>
        <tr r="C375" s="17"/>
        <tr r="B231" s="17"/>
        <tr r="B361" s="17"/>
        <tr r="C352" s="17"/>
        <tr r="E447" s="17"/>
        <tr r="F327" s="17"/>
        <tr r="E211" s="17"/>
        <tr r="E374" s="17"/>
        <tr r="E119" s="17"/>
        <tr r="E223" s="17"/>
        <tr r="D219" s="17"/>
        <tr r="F212" s="17"/>
        <tr r="D425" s="17"/>
        <tr r="D108" s="17"/>
        <tr r="F286" s="17"/>
        <tr r="AC21" s="17"/>
        <tr r="AC21" s="17"/>
        <tr r="D234" s="17"/>
        <tr r="F418" s="17"/>
        <tr r="E88" s="17"/>
        <tr r="D398" s="17"/>
        <tr r="E90" s="17"/>
        <tr r="E111" s="17"/>
        <tr r="F350" s="17"/>
        <tr r="E365" s="17"/>
        <tr r="D308" s="17"/>
        <tr r="F460" s="17"/>
        <tr r="D328" s="17"/>
        <tr r="D207" s="17"/>
        <tr r="E86" s="17"/>
        <tr r="E378" s="17"/>
        <tr r="F392" s="17"/>
        <tr r="F97" s="17"/>
        <tr r="E302" s="17"/>
        <tr r="E176" s="17"/>
        <tr r="E408" s="17"/>
        <tr r="AB88" s="17"/>
        <tr r="E227" s="17"/>
        <tr r="AR13" s="17"/>
        <tr r="D239" s="17"/>
        <tr r="D330" s="17"/>
        <tr r="D149" s="17"/>
        <tr r="F217" s="17"/>
        <tr r="AO16" s="17"/>
        <tr r="AO16" s="17"/>
        <tr r="E135" s="17"/>
        <tr r="F332" s="17"/>
        <tr r="F168" s="17"/>
        <tr r="F312" s="17"/>
        <tr r="D454" s="17"/>
        <tr r="F290" s="17"/>
        <tr r="D379" s="17"/>
        <tr r="D365" s="17"/>
        <tr r="F440" s="17"/>
        <tr r="E381" s="17"/>
        <tr r="D262" s="17"/>
        <tr r="D161" s="17"/>
        <tr r="AN14" s="17"/>
        <tr r="D137" s="17"/>
        <tr r="F313" s="17"/>
        <tr r="E397" s="17"/>
        <tr r="F366" s="17"/>
        <tr r="F259" s="17"/>
        <tr r="E391" s="17"/>
        <tr r="D323" s="17"/>
        <tr r="D401" s="17"/>
        <tr r="D342" s="17"/>
        <tr r="D90" s="17"/>
        <tr r="E120" s="17"/>
        <tr r="D103" s="17"/>
        <tr r="D224" s="17"/>
        <tr r="F398" s="17"/>
        <tr r="F363" s="17"/>
        <tr r="E294" s="17"/>
        <tr r="E307" s="17"/>
        <tr r="AB19" s="17"/>
        <tr r="AB19" s="17"/>
        <tr r="F318" s="17"/>
        <tr r="E132" s="17"/>
        <tr r="F298" s="17"/>
        <tr r="F207" s="17"/>
        <tr r="E366" s="17"/>
        <tr r="AB57" s="17"/>
        <tr r="AB57" s="17"/>
        <tr r="E417" s="17"/>
        <tr r="AR17" s="17"/>
        <tr r="E187" s="17"/>
        <tr r="F325" s="17"/>
        <tr r="E331" s="17"/>
        <tr r="E177" s="17"/>
        <tr r="AP15" s="17"/>
        <tr r="D321" s="17"/>
        <tr r="F407" s="17"/>
        <tr r="D218" s="17"/>
        <tr r="F176" s="17"/>
        <tr r="AC51" s="17"/>
        <tr r="AC51" s="17"/>
        <tr r="D313" s="17"/>
        <tr r="AJ13" s="17"/>
        <tr r="AJ13" s="17"/>
        <tr r="F138" s="17"/>
        <tr r="D290" s="17"/>
        <tr r="D397" s="17"/>
        <tr r="D319" s="17"/>
        <tr r="D442" s="17"/>
        <tr r="F345" s="17"/>
        <tr r="D209" s="17"/>
        <tr r="AB52" s="17"/>
        <tr r="AB52" s="17"/>
        <tr r="E180" s="17"/>
        <tr r="F317" s="17"/>
        <tr r="F397" s="17"/>
        <tr r="F250" s="17"/>
        <tr r="E355" s="17"/>
        <tr r="F249" s="17"/>
        <tr r="F260" s="17"/>
        <tr r="AM17" s="17"/>
        <tr r="E295" s="17"/>
        <tr r="E153" s="17"/>
        <tr r="E332" s="17"/>
        <tr r="B226" s="17"/>
        <tr r="B215" s="17"/>
        <tr r="B140" s="17"/>
        <tr r="C409" s="17"/>
        <tr r="B187" s="17"/>
        <tr r="B436" s="17"/>
        <tr r="B397" s="17"/>
        <tr r="B112" s="17"/>
        <tr r="C241" s="17"/>
        <tr r="C329" s="17"/>
        <tr r="B455" s="17"/>
        <tr r="C178" s="17"/>
        <tr r="B308" s="17"/>
        <tr r="C220" s="17"/>
        <tr r="C369" s="17"/>
        <tr r="C181" s="17"/>
        <tr r="AK12" s="17"/>
        <tr r="B315" s="17"/>
        <tr r="B350" s="17"/>
        <tr r="B229" s="17"/>
        <tr r="C214" s="17"/>
        <tr r="C226" s="17"/>
        <tr r="B183" s="17"/>
        <tr r="B342" s="17"/>
        <tr r="C400" s="17"/>
        <tr r="B259" s="17"/>
        <tr r="B382" s="17"/>
        <tr r="B312" s="17"/>
        <tr r="C113" s="17"/>
        <tr r="F109" s="17"/>
        <tr r="C109" s="17"/>
        <tr r="C173" s="17"/>
        <tr r="C462" s="17"/>
        <tr r="C434" s="17"/>
        <tr r="C315" s="17"/>
        <tr r="F267" s="17"/>
        <tr r="AH16" s="17"/>
        <tr r="F391" s="17"/>
        <tr r="D145" s="17"/>
        <tr r="F321" s="17"/>
        <tr r="E313" s="17"/>
        <tr r="D235" s="17"/>
        <tr r="D297" s="17"/>
        <tr r="F86" s="17"/>
        <tr r="F166" s="17"/>
        <tr r="F408" s="17"/>
        <tr r="F415" s="17"/>
        <tr r="E377" s="17"/>
        <tr r="F201" s="17"/>
        <tr r="E115" s="17"/>
        <tr r="E372" s="17"/>
        <tr r="E254" s="17"/>
        <tr r="E249" s="17"/>
        <tr r="AW17" s="17"/>
        <tr r="AM16" s="17"/>
        <tr r="AM16" s="17"/>
        <tr r="E316" s="17"/>
        <tr r="E338" s="17"/>
        <tr r="D372" s="17"/>
        <tr r="D324" s="17"/>
        <tr r="D147" s="17"/>
        <tr r="AU16" s="17"/>
        <tr r="AU16" s="17"/>
        <tr r="F153" s="17"/>
        <tr r="F289" s="17"/>
        <tr r="D185" s="17"/>
        <tr r="E449" s="17"/>
        <tr r="D309" s="17"/>
        <tr r="E260" s="17"/>
        <tr r="F141" s="17"/>
        <tr r="D429" s="17"/>
        <tr r="E353" s="17"/>
        <tr r="D314" s="17"/>
        <tr r="E146" s="17"/>
        <tr r="F164" s="17"/>
        <tr r="AX14" s="17"/>
        <tr r="AX14" s="17"/>
        <tr r="F423" s="17"/>
        <tr r="D362" s="17"/>
        <tr r="D307" s="17"/>
        <tr r="E99" s="17"/>
        <tr r="D459" s="17"/>
        <tr r="F373" s="17"/>
        <tr r="F282" s="17"/>
        <tr r="E360" s="17"/>
        <tr r="D275" s="17"/>
        <tr r="D169" s="17"/>
        <tr r="D447" s="17"/>
        <tr r="F358" s="17"/>
        <tr r="F300" s="17"/>
        <tr r="F125" s="17"/>
        <tr r="F223" s="17"/>
        <tr r="E455" s="17"/>
        <tr r="E440" s="17"/>
        <tr r="F308" s="17"/>
        <tr r="E163" s="17"/>
        <tr r="E164" s="17"/>
        <tr r="E228" s="17"/>
        <tr r="F394" s="17"/>
        <tr r="AC20" s="17"/>
        <tr r="AC20" s="17"/>
        <tr r="D160" s="17"/>
        <tr r="AR14" s="17"/>
        <tr r="AB61" s="17"/>
        <tr r="AB61" s="17"/>
        <tr r="D274" s="17"/>
        <tr r="D338" s="17"/>
        <tr r="D121" s="17"/>
        <tr r="AX17" s="17"/>
        <tr r="AX17" s="17"/>
        <tr r="AN15" s="17"/>
        <tr r="AN15" s="17"/>
        <tr r="D245" s="17"/>
        <tr r="E192" s="17"/>
        <tr r="D87" s="17"/>
        <tr r="F215" s="17"/>
        <tr r="D205" s="17"/>
        <tr r="E202" s="17"/>
        <tr r="E273" s="17"/>
        <tr r="F450" s="17"/>
        <tr r="E389" s="17"/>
        <tr r="D200" s="17"/>
        <tr r="D287" s="17"/>
        <tr r="E234" s="17"/>
        <tr r="E233" s="17"/>
        <tr r="F162" s="17"/>
        <tr r="F135" s="17"/>
        <tr r="F235" s="17"/>
        <tr r="E364" s="17"/>
        <tr r="E98" s="17"/>
        <tr r="E277" s="17"/>
        <tr r="E160" s="17"/>
        <tr r="AW16" s="17"/>
        <tr r="E239" s="17"/>
        <tr r="E358" s="17"/>
        <tr r="E384" s="17"/>
        <tr r="C148" s="17"/>
        <tr r="B170" s="17"/>
        <tr r="B129" s="17"/>
        <tr r="B442" s="17"/>
        <tr r="C343" s="17"/>
        <tr r="B402" s="17"/>
        <tr r="C333" s="17"/>
        <tr r="C432" s="17"/>
        <tr r="B225" s="17"/>
        <tr r="C406" s="17"/>
        <tr r="B258" s="17"/>
        <tr r="B294" s="17"/>
        <tr r="C437" s="17"/>
        <tr r="B193" s="17"/>
        <tr r="AG18" s="17"/>
        <tr r="B213" s="17"/>
        <tr r="C222" s="17"/>
        <tr r="B104" s="17"/>
        <tr r="C243" s="17"/>
        <tr r="B244" s="17"/>
        <tr r="C205" s="17"/>
        <tr r="C383" s="17"/>
        <tr r="B135" s="17"/>
        <tr r="B116" s="17"/>
        <tr r="C180" s="17"/>
        <tr r="C401" s="17"/>
        <tr r="B390" s="17"/>
        <tr r="AX12" s="17"/>
        <tr r="B426" s="17"/>
        <tr r="B328" s="17"/>
        <tr r="B109" s="17"/>
        <tr r="C435" s="17"/>
        <tr r="B118" s="17"/>
        <tr r="C328" s="17"/>
        <tr r="C141" s="17"/>
        <tr r="C323" s="17"/>
        <tr r="C289" s="17"/>
        <tr r="C142" s="17"/>
        <tr r="C253" s="17"/>
        <tr r="C281" s="17"/>
        <tr r="B372" s="17"/>
        <tr r="B185" s="17"/>
        <tr r="B133" s="17"/>
        <tr r="C441" s="17"/>
        <tr r="B362" s="17"/>
        <tr r="C454" s="17"/>
        <tr r="C116" s="17"/>
        <tr r="B339" s="17"/>
        <tr r="C314" s="17"/>
        <tr r="C326" s="17"/>
        <tr r="B293" s="17"/>
        <tr r="C321" s="17"/>
        <tr r="AG15" s="17"/>
        <tr r="C334" s="17"/>
        <tr r="B408" s="17"/>
        <tr r="B277" s="17"/>
        <tr r="C385" s="17"/>
        <tr r="B179" s="17"/>
        <tr r="B309" s="17"/>
        <tr r="C262" s="17"/>
        <tr r="B180" s="17"/>
        <tr r="C460" s="17"/>
        <tr r="B263" s="17"/>
        <tr r="C419" s="17"/>
        <tr r="C367" s="17"/>
        <tr r="B177" s="17"/>
        <tr r="C89" s="17"/>
        <tr r="B269" s="17"/>
        <tr r="C272" s="17"/>
        <tr r="B115" s="17"/>
        <tr r="C439" s="17"/>
        <tr r="B439" s="17"/>
        <tr r="C117" s="17"/>
        <tr r="C94" s="17"/>
        <tr r="B456" s="17"/>
        <tr r="C92" s="17"/>
        <tr r="C445" s="17"/>
        <tr r="B233" s="17"/>
        <tr r="C296" s="17"/>
        <tr r="C275" s="17"/>
        <tr r="B447" s="17"/>
        <tr r="B357" s="17"/>
        <tr r="C364" s="17"/>
        <tr r="C313" s="17"/>
        <tr r="B232" s="17"/>
        <tr r="C301" s="17"/>
        <tr r="C331" s="17"/>
        <tr r="B409" s="17"/>
        <tr r="B103" s="17"/>
        <tr r="C307" s="17"/>
        <tr r="C330" s="17"/>
        <tr r="B144" s="17"/>
        <tr r="B285" s="17"/>
        <tr r="C147" s="17"/>
        <tr r="C190" s="17"/>
        <tr r="B247" s="17"/>
        <tr r="C235" s="17"/>
        <tr r="B171" s="17"/>
        <tr r="B317" s="17"/>
        <tr r="C397" s="17"/>
        <tr r="C266" s="17"/>
        <tr r="C100" s="17"/>
        <tr r="C258" s="17"/>
        <tr r="B428" s="17"/>
        <tr r="B212" s="17"/>
        <tr r="B98" s="17"/>
        <tr r="B329" s="17"/>
        <tr r="C186" s="17"/>
        <tr r="C277" s="17"/>
        <tr r="AQ12" s="17"/>
        <tr r="C155" s="17"/>
        <tr r="C438" s="17"/>
        <tr r="B113" s="17"/>
        <tr r="C242" s="17"/>
        <tr r="C133" s="17"/>
        <tr r="B96" s="17"/>
        <tr r="C247" s="17"/>
        <tr r="C188" s="17"/>
        <tr r="B366" s="17"/>
        <tr r="B363" s="17"/>
        <tr r="AC18" s="17"/>
        <tr r="B406" s="17"/>
        <tr r="C146" s="17"/>
        <tr r="C167" s="17"/>
        <tr r="C102" s="17"/>
        <tr r="B92" s="17"/>
        <tr r="C426" s="17"/>
        <tr r="B218" s="17"/>
        <tr r="B121" s="17"/>
        <tr r="B260" s="17"/>
        <tr r="AP12" s="17"/>
        <tr r="C342" s="17"/>
        <tr r="B385" s="17"/>
        <tr r="B145" s="17"/>
        <tr r="C310" s="17"/>
        <tr r="D82" s="17"/>
        <tr r="C398" s="17"/>
        <tr r="C93" s="17"/>
        <tr r="B311" s="17"/>
        <tr r="C265" s="17"/>
        <tr r="C363" s="17"/>
        <tr r="B155" s="17"/>
        <tr r="B150" s="17"/>
        <tr r="C264" s="17"/>
        <tr r="C161" s="17"/>
        <tr r="B360" s="17"/>
        <tr r="B341" s="17"/>
        <tr r="B86" s="17"/>
        <tr r="C365" s="17"/>
        <tr r="B146" s="17"/>
        <tr r="B151" s="17"/>
        <tr r="C447" s="17"/>
        <tr r="C202" s="17"/>
        <tr r="C452" s="17"/>
        <tr r="C208" s="17"/>
        <tr r="B417" s="17"/>
        <tr r="B336" s="17"/>
        <tr r="C240" s="17"/>
        <tr r="B97" s="17"/>
        <tr r="B327" s="17"/>
        <tr r="B358" s="17"/>
        <tr r="C351" s="17"/>
        <tr r="B422" s="17"/>
        <tr r="B252" s="17"/>
        <tr r="B238" s="17"/>
        <tr r="B340" s="17"/>
        <tr r="C156" s="17"/>
        <tr r="C402" s="17"/>
        <tr r="C340" s="17"/>
        <tr r="C423" s="17"/>
        <tr r="C140" s="17"/>
        <tr r="C303" s="17"/>
        <tr r="B346" s="17"/>
        <tr r="B147" s="17"/>
        <tr r="B101" s="17"/>
        <tr r="B276" s="17"/>
        <tr r="C373" s="17"/>
        <tr r="AG14" s="17"/>
        <tr r="B411" s="17"/>
        <tr r="C306" s="17"/>
        <tr r="B450" s="17"/>
        <tr r="B383" s="17"/>
        <tr r="C151" s="17"/>
        <tr r="C152" s="17"/>
        <tr r="C411" s="17"/>
        <tr r="C88" s="17"/>
        <tr r="B196" s="17"/>
        <tr r="B270" s="17"/>
        <tr r="C450" s="17"/>
        <tr r="B174" s="17"/>
        <tr r="C128" s="17"/>
        <tr r="B438" s="17"/>
        <tr r="C86" s="17"/>
        <tr r="B234" s="17"/>
        <tr r="C185" s="17"/>
        <tr r="C192" s="17"/>
        <tr r="C403" s="17"/>
        <tr r="B207" s="17"/>
        <tr r="C305" s="17"/>
        <tr r="B235" s="17"/>
        <tr r="C388" s="17"/>
        <tr r="B354" s="17"/>
        <tr r="C377" s="17"/>
        <tr r="B99" s="17"/>
        <tr r="B168" s="17"/>
        <tr r="C390" s="17"/>
        <tr r="B324" s="17"/>
        <tr r="C193" s="17"/>
        <tr r="C295" s="17"/>
        <tr r="C127" s="17"/>
        <tr r="B181" s="17"/>
        <tr r="C356" s="17"/>
        <tr r="C335" s="17"/>
        <tr r="C290" s="17"/>
        <tr r="C358" s="17"/>
        <tr r="C293" s="17"/>
        <tr r="C105" s="17"/>
        <tr r="C111" s="17"/>
        <tr r="AU12" s="17"/>
        <tr r="C300" s="17"/>
        <tr r="B427" s="17"/>
        <tr r="C225" s="17"/>
        <tr r="C144" s="17"/>
        <tr r="AH12" s="17"/>
        <tr r="B386" s="17"/>
        <tr r="B330" s="17"/>
        <tr r="B184" s="17"/>
        <tr r="AV12" s="17"/>
        <tr r="B257" s="17"/>
        <tr r="B407" s="17"/>
        <tr r="B396" s="17"/>
        <tr r="B208" s="17"/>
        <tr r="C257" s="17"/>
        <tr r="F82" s="17"/>
        <tr r="B159" s="17"/>
        <tr r="AO12" s="17"/>
        <tr r="B152" s="17"/>
        <tr r="C287" s="17"/>
        <tr r="C407" s="17"/>
        <tr r="B262" s="17"/>
        <tr r="C444" s="17"/>
        <tr r="C121" s="17"/>
        <tr r="C120" s="17"/>
        <tr r="C270" s="17"/>
        <tr r="B318" s="17"/>
        <tr r="C415" s="17"/>
        <tr r="C412" s="17"/>
        <tr r="C372" s="17"/>
        <tr r="B228" s="17"/>
        <tr r="B266" s="17"/>
        <tr r="B291" s="17"/>
        <tr r="C201" s="17"/>
        <tr r="B251" s="17"/>
        <tr r="AA21" s="17"/>
        <tr r="C182" s="17"/>
        <tr r="B368" s="17"/>
        <tr r="C246" s="17"/>
        <tr r="B261" s="17"/>
        <tr r="C197" s="17"/>
        <tr r="B239" s="17"/>
        <tr r="B125" s="17"/>
        <tr r="C417" s="17"/>
        <tr r="C215" s="17"/>
        <tr r="B160" s="17"/>
        <tr r="C163" s="17"/>
        <tr r="C119" s="17"/>
        <tr r="C176" s="17"/>
        <tr r="C191" s="17"/>
        <tr r="B124" s="17"/>
        <tr r="C230" s="17"/>
        <tr r="B156" s="17"/>
        <tr r="C308" s="17"/>
        <tr r="B173" s="17"/>
        <tr r="C172" s="17"/>
        <tr r="C114" s="17"/>
        <tr r="B201" s="17"/>
        <tr r="C361" s="17"/>
        <tr r="B83" s="17"/>
        <tr r="C312" s="17"/>
        <tr r="B191" s="17"/>
        <tr r="C353" s="17"/>
        <tr r="B220" s="17"/>
        <tr r="B434" s="17"/>
        <tr r="B279" s="17"/>
        <tr r="C285" s="17"/>
        <tr r="B373" s="17"/>
        <tr r="C218" s="17"/>
        <tr r="C345" s="17"/>
        <tr r="B255" s="17"/>
        <tr r="B200" s="17"/>
        <tr r="C122" s="17"/>
        <tr r="B404" s="17"/>
        <tr r="B393" s="17"/>
        <tr r="C359" s="17"/>
        <tr r="C198" s="17"/>
        <tr r="B107" s="17"/>
        <tr r="B305" s="17"/>
        <tr r="C320" s="17"/>
        <tr r="C413" s="17"/>
        <tr r="B287" s="17"/>
        <tr r="C166" s="17"/>
        <tr r="B304" s="17"/>
        <tr r="B161" s="17"/>
        <tr r="C108" s="17"/>
        <tr r="B241" s="17"/>
        <tr r="B380" s="17"/>
        <tr r="B310" s="17"/>
        <tr r="C210" s="17"/>
        <tr r="C271" s="17"/>
        <tr r="B127" s="17"/>
        <tr r="B321" s="17"/>
        <tr r="B189" s="17"/>
        <tr r="B423" s="17"/>
        <tr r="C250" s="17"/>
        <tr r="C381" s="17"/>
        <tr r="B375" s="17"/>
        <tr r="B418" s="17"/>
        <tr r="C101" s="17"/>
        <tr r="C436" s="17"/>
        <tr r="B307" s="17"/>
        <tr r="AS12" s="17"/>
        <tr r="C283" s="17"/>
        <tr r="B345" s="17"/>
        <tr r="B175" s="17"/>
        <tr r="C408" s="17"/>
        <tr r="C339" s="17"/>
        <tr r="C194" s="17"/>
        <tr r="B149" s="17"/>
        <tr r="C451" s="17"/>
        <tr r="C170" s="17"/>
        <tr r="C420" s="17"/>
        <tr r="B371" s="17"/>
        <tr r="B452" s="17"/>
        <tr r="B392" s="17"/>
        <tr r="C425" s="17"/>
        <tr r="C276" s="17"/>
        <tr r="B194" s="17"/>
        <tr r="C168" s="17"/>
        <tr r="B376" s="17"/>
        <tr r="B435" s="17"/>
        <tr r="B296" s="17"/>
        <tr r="B437" s="17"/>
        <tr r="B381" s="17"/>
        <tr r="AB18" s="17"/>
        <tr r="B303" s="17"/>
        <tr r="B369" s="17"/>
        <tr r="C179" s="17"/>
        <tr r="C430" s="17"/>
        <tr r="C355" s="17"/>
        <tr r="B453" s="17"/>
        <tr r="C126" s="17"/>
        <tr r="C115" s="17"/>
        <tr r="B162" s="17"/>
        <tr r="C90" s="17"/>
        <tr r="C294" s="17"/>
        <tr r="C348" s="17"/>
        <tr r="B84" s="17"/>
        <tr r="C145" s="17"/>
        <tr r="C177" s="17"/>
        <tr r="C162" s="17"/>
        <tr r="B457" s="17"/>
        <tr r="B137" s="17"/>
        <tr r="C125" s="17"/>
        <tr r="B337" s="17"/>
        <tr r="B325" s="17"/>
        <tr r="B319" s="17"/>
        <tr r="C382" s="17"/>
        <tr r="C322" s="17"/>
        <tr r="C332" s="17"/>
        <tr r="B141" s="17"/>
        <tr r="C327" s="17"/>
        <tr r="B192" s="17"/>
        <tr r="C149" s="17"/>
        <tr r="B117" s="17"/>
        <tr r="B430" s="17"/>
        <tr r="C325" s="17"/>
        <tr r="C442" s="17"/>
        <tr r="C204" s="17"/>
        <tr r="AA20" s="17"/>
        <tr r="C175" s="17"/>
        <tr r="B462" s="17"/>
        <tr r="C252" s="17"/>
        <tr r="AA96" s="17"/>
        <tr r="B87" s="17"/>
        <tr r="AW12" s="17"/>
        <tr r="B163" s="17"/>
        <tr r="B458" s="17"/>
        <tr r="C268" s="17"/>
        <tr r="C154" s="17"/>
        <tr r="B256" s="17"/>
        <tr r="B190" s="17"/>
        <tr r="B219" s="17"/>
        <tr r="C392" s="17"/>
        <tr r="B89" s="17"/>
        <tr r="B132" s="17"/>
        <tr r="B405" s="17"/>
        <tr r="C379" s="17"/>
        <tr r="C449" s="17"/>
        <tr r="C384" s="17"/>
        <tr r="C207" s="17"/>
        <tr r="C459" s="17"/>
        <tr r="B273" s="17"/>
        <tr r="C245" s="17"/>
        <tr r="B449" s="17"/>
        <tr r="B374" s="17"/>
        <tr r="B344" s="17"/>
        <tr r="B302" s="17"/>
        <tr r="C371" s="17"/>
        <tr r="B347" s="17"/>
        <tr r="B165" s="17"/>
        <tr r="AG13" s="17"/>
        <tr r="C219" s="17"/>
        <tr r="C134" s="17"/>
        <tr r="B349" s="17"/>
        <tr r="C458" s="17"/>
        <tr r="C318" s="17"/>
        <tr r="C103" s="17"/>
        <tr r="B364" s="17"/>
        <tr r="B421" s="17"/>
        <tr r="B176" s="17"/>
        <tr r="AB92" s="17"/>
        <tr r="B253" s="17"/>
        <tr r="C360" s="17"/>
        <tr r="C282" s="17"/>
        <tr r="C97" s="17"/>
        <tr r="B416" s="17"/>
        <tr r="B431" s="17"/>
        <tr r="C431" s="17"/>
        <tr r="B398" s="17"/>
        <tr r="C374" s="17"/>
        <tr r="B415" s="17"/>
        <tr r="B394" s="17"/>
        <tr r="C136" s="17"/>
        <tr r="B203" s="17"/>
        <tr r="C83" s="17"/>
        <tr r="C344" s="17"/>
        <tr r="B331" s="17"/>
        <tr r="C461" s="17"/>
        <tr r="C232" s="17"/>
        <tr r="B122" s="17"/>
        <tr r="B389" s="17"/>
        <tr r="C129" s="17"/>
        <tr r="B240" s="17"/>
        <tr r="C221" s="17"/>
        <tr r="C346" s="17"/>
        <tr r="B282" s="17"/>
        <tr r="B172" s="17"/>
        <tr r="C160" s="17"/>
        <tr r="AA97" s="17"/>
        <tr r="B300" s="17"/>
        <tr r="C216" s="17"/>
        <tr r="C337" s="17"/>
        <tr r="B387" s="17"/>
        <tr r="C224" s="17"/>
        <tr r="B110" s="17"/>
        <tr r="B205" s="17"/>
        <tr r="C399" s="17"/>
        <tr r="AA94" s="17"/>
        <tr r="C98" s="17"/>
        <tr r="C291" s="17"/>
        <tr r="C169" s="17"/>
        <tr r="B320" s="17"/>
        <tr r="C244" s="17"/>
        <tr r="AT12" s="17"/>
        <tr r="C309" s="17"/>
        <tr r="B197" s="17"/>
        <tr r="C386" s="17"/>
        <tr r="C362" s="17"/>
        <tr r="C393" s="17"/>
        <tr r="C171" s="17"/>
        <tr r="C248" s="17"/>
        <tr r="B134" s="17"/>
        <tr r="B335" s="17"/>
        <tr r="B138" s="17"/>
        <tr r="B214" s="17"/>
        <tr r="B353" s="17"/>
        <tr r="C87" s="17"/>
        <tr r="B148" s="17"/>
        <tr r="C96" s="17"/>
        <tr r="B289" s="17"/>
        <tr r="C106" s="17"/>
        <tr r="C183" s="17"/>
        <tr r="B399" s="17"/>
        <tr r="C288" s="17"/>
        <tr r="B217" s="17"/>
        <tr r="B359" s="17"/>
        <tr r="C422" s="17"/>
        <tr r="B242" s="17"/>
        <tr r="B425" s="17"/>
        <tr r="B246" s="17"/>
        <tr r="C189" s="17"/>
        <tr r="B157" s="17"/>
        <tr r="C85" s="17"/>
        <tr r="B167" s="17"/>
        <tr r="C157" s="17"/>
        <tr r="B169" s="17"/>
        <tr r="B446" s="17"/>
        <tr r="B334" s="17"/>
        <tr r="B271" s="17"/>
        <tr r="C187" s="17"/>
        <tr r="B166" s="17"/>
        <tr r="C260" s="17"/>
        <tr r="C421" s="17"/>
        <tr r="C199" s="17"/>
        <tr r="B461" s="17"/>
        <tr r="B284" s="17"/>
        <tr r="B93" s="17"/>
        <tr r="B90" s="17"/>
        <tr r="B224" s="17"/>
        <tr r="C416" s="17"/>
        <tr r="B290" s="17"/>
        <tr r="B227" s="17"/>
        <tr r="B105" s="17"/>
        <tr r="B313" s="17"/>
        <tr r="C249" s="17"/>
        <tr r="B130" s="17"/>
        <tr r="C317" s="17"/>
        <tr r="C280" s="17"/>
        <tr r="C135" s="17"/>
        <tr r="C304" s="17"/>
        <tr r="B448" s="17"/>
        <tr r="B136" s="17"/>
        <tr r="B332" s="17"/>
        <tr r="C391" s="17"/>
        <tr r="C350" s="17"/>
        <tr r="B355" s="17"/>
        <tr r="C292" s="17"/>
        <tr r="B378" s="17"/>
        <tr r="B367" s="17"/>
        <tr r="C336" s="17"/>
        <tr r="B195" s="17"/>
        <tr r="B111" s="17"/>
        <tr r="C227" s="17"/>
        <tr r="B153" s="17"/>
        <tr r="C261" s="17"/>
        <tr r="B119" s="17"/>
        <tr r="B443" s="17"/>
        <tr r="E82" s="17"/>
        <tr r="B343" s="17"/>
        <tr r="B126" s="17"/>
        <tr r="B154" s="17"/>
        <tr r="C427" s="17"/>
        <tr r="C209" s="17"/>
        <tr r="B322" s="17"/>
        <tr r="C233" s="17"/>
        <tr r="B395" s="17"/>
        <tr r="B281" s="17"/>
        <tr r="B410" s="17"/>
        <tr r="C200" s="17"/>
        <tr r="C279" s="17"/>
        <tr r="B348" s="17"/>
        <tr r="B249" s="17"/>
        <tr r="B245" s="17"/>
        <tr r="C131" s="17"/>
        <tr r="C211" s="17"/>
        <tr r="C440" s="17"/>
        <tr r="B326" s="17"/>
        <tr r="B432" s="17"/>
        <tr r="C137" s="17"/>
        <tr r="C231" s="17"/>
        <tr r="B400" s="17"/>
        <tr r="C143" s="17"/>
        <tr r="B323" s="17"/>
        <tr r="C378" s="17"/>
        <tr r="AN12" s="17"/>
        <tr r="C259" s="17"/>
        <tr r="C284" s="17"/>
        <tr r="AG17" s="17"/>
        <tr r="C433" s="17"/>
        <tr r="C104" s="17"/>
        <tr r="C139" s="17"/>
        <tr r="C396" s="17"/>
        <tr r="C165" s="17"/>
        <tr r="B114" s="17"/>
        <tr r="B210" s="17"/>
        <tr r="B356" s="17"/>
        <tr r="B333" s="17"/>
        <tr r="B424" s="17"/>
        <tr r="C255" s="17"/>
        <tr r="C107" s="17"/>
        <tr r="B352" s="17"/>
        <tr r="B222" s="17"/>
        <tr r="B274" s="17"/>
        <tr r="C153" s="17"/>
        <tr r="B178" s="17"/>
        <tr r="C404" s="17"/>
        <tr r="B275" s="17"/>
        <tr r="B268" s="17"/>
        <tr r="C138" s="17"/>
        <tr r="B316" s="17"/>
        <tr r="B158" s="17"/>
        <tr r="B388" s="17"/>
        <tr r="C278" s="17"/>
        <tr r="C234" s="17"/>
        <tr r="C274" s="17"/>
        <tr r="B351" s="17"/>
        <tr r="C357" s="17"/>
        <tr r="C236" s="17"/>
        <tr r="AA93" s="17"/>
        <tr r="B460" s="17"/>
        <tr r="B278" s="17"/>
        <tr r="C91" s="17"/>
        <tr r="B209" s="17"/>
        <tr r="C273" s="17"/>
        <tr r="C389" s="17"/>
        <tr r="B297" s="17"/>
        <tr r="C455" s="17"/>
        <tr r="AI12" s="17"/>
        <tr r="B237" s="17"/>
        <tr r="B182" s="17"/>
        <tr r="C132" s="17"/>
        <tr r="C269" s="17"/>
        <tr r="C254" s="17"/>
        <tr r="B280" s="17"/>
        <tr r="C195" s="17"/>
        <tr r="B206" s="17"/>
        <tr r="C324" s="17"/>
        <tr r="AR12" s="17"/>
        <tr r="B444" s="17"/>
        <tr r="C428" s="17"/>
        <tr r="C387" s="17"/>
        <tr r="C130" s="17"/>
        <tr r="C418" s="17"/>
        <tr r="C251" s="17"/>
        <tr r="C239" s="17"/>
        <tr r="AG16" s="17"/>
        <tr r="C164" s="17"/>
        <tr r="B164" s="17"/>
        <tr r="C424" s="17"/>
        <tr r="C217" s="17"/>
        <tr r="C228" s="17"/>
        <tr r="B211" s="17"/>
        <tr r="B451" s="17"/>
        <tr r="B288" s="17"/>
        <tr r="C196" s="17"/>
        <tr r="B123" s="17"/>
        <tr r="B441" s="17"/>
        <tr r="C238" s="17"/>
        <tr r="B250" s="17"/>
        <tr r="AM12" s="17"/>
        <tr r="C110" s="17"/>
        <tr r="C354" s="17"/>
        <tr r="B131" s="17"/>
        <tr r="C184" s="17"/>
        <tr r="B413" s="17"/>
        <tr r="C429" s="17"/>
        <tr r="C341" s="17"/>
        <tr r="B283" s="17"/>
        <tr r="AG11" s="17"/>
        <tr r="B295" s="17"/>
        <tr r="B85" s="17"/>
        <tr r="C286" s="17"/>
        <tr r="B142" s="17"/>
        <tr r="B143" s="17"/>
        <tr r="B202" s="17"/>
        <tr r="C159" s="17"/>
        <tr r="B286" s="17"/>
        <tr r="B454" s="17"/>
        <tr r="B186" s="17"/>
        <tr r="C414" s="17"/>
        <tr r="C448" s="17"/>
        <tr r="B370" s="17"/>
        <tr r="B204" s="17"/>
        <tr r="C99" s="17"/>
        <tr r="B248" s="17"/>
        <tr r="C297" s="17"/>
        <tr r="B412" s="17"/>
        <tr r="B100" s="17"/>
        <tr r="C212" s="17"/>
        <tr r="B377" s="17"/>
        <tr r="C302" s="17"/>
        <tr r="B95" s="17"/>
        <tr r="B265" s="17"/>
        <tr r="B199" s="17"/>
        <tr r="C203" s="17"/>
        <tr r="C319" s="17"/>
        <tr r="B236" s="17"/>
        <tr r="C124" s="17"/>
        <tr r="B384" s="17"/>
        <tr r="B298" s="17"/>
        <tr r="C267" s="17"/>
        <tr r="B272" s="17"/>
        <tr r="C311" s="17"/>
        <tr r="AA95" s="17"/>
        <tr r="C298" s="17"/>
        <tr r="B223" s="17"/>
        <tr r="B198" s="17"/>
        <tr r="B301" s="17"/>
        <tr r="B401" s="17"/>
        <tr r="B445" s="17"/>
        <tr r="B414" s="17"/>
        <tr r="C394" s="17"/>
        <tr r="C223" s="17"/>
        <tr r="C366" s="17"/>
        <tr r="B106" s="17"/>
        <tr r="B440" s="17"/>
        <tr r="B299" s="17"/>
        <tr r="B264" s="17"/>
        <tr r="AJ12" s="17"/>
        <tr r="B391" s="17"/>
        <tr r="B306" s="17"/>
        <tr r="C299" s="17"/>
        <tr r="C316" s="17"/>
        <tr r="B221" s="17"/>
        <tr r="B230" s="17"/>
        <tr r="C443" s="17"/>
        <tr r="B433" s="17"/>
        <tr r="AL12" s="17"/>
        <tr r="C338" s="17"/>
        <tr r="C118" s="17"/>
        <tr r="B54" s="17"/>
        <tr r="B55" s="17"/>
        <tr r="B62" s="17"/>
        <tr r="B53" s="17"/>
        <tr r="AA59" s="17"/>
        <tr r="B56" s="17"/>
        <tr r="B60" s="17"/>
        <tr r="AA56" s="17"/>
        <tr r="B61" s="17"/>
        <tr r="B59" s="17"/>
        <tr r="AA50" s="17"/>
        <tr r="B58" s="17"/>
        <tr r="AA58" s="17"/>
        <tr r="AA57" s="17"/>
        <tr r="AA53" s="17"/>
        <tr r="AA61" s="17"/>
        <tr r="AA19" s="17"/>
        <tr r="B66" s="17"/>
        <tr r="AA62" s="17"/>
        <tr r="B63" s="17"/>
        <tr r="AA52" s="17"/>
        <tr r="B67" s="17"/>
        <tr r="B57" s="17"/>
        <tr r="B65" s="17"/>
        <tr r="AA55" s="17"/>
        <tr r="AA51" s="17"/>
        <tr r="B52" s="17"/>
        <tr r="AA63" s="17"/>
        <tr r="AA54" s="17"/>
        <tr r="B64" s="17"/>
        <tr r="AA60" s="17"/>
      </tp>
    </main>
  </volType>
</volType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9" Type="http://schemas.openxmlformats.org/officeDocument/2006/relationships/pivotCacheDefinition" Target="pivotCache/pivotCacheDefinition20.xml"/><Relationship Id="rId21" Type="http://schemas.openxmlformats.org/officeDocument/2006/relationships/pivotCacheDefinition" Target="pivotCache/pivotCacheDefinition2.xml"/><Relationship Id="rId34" Type="http://schemas.openxmlformats.org/officeDocument/2006/relationships/pivotCacheDefinition" Target="pivotCache/pivotCacheDefinition15.xml"/><Relationship Id="rId42" Type="http://schemas.openxmlformats.org/officeDocument/2006/relationships/pivotCacheDefinition" Target="pivotCache/pivotCacheDefinition23.xml"/><Relationship Id="rId47" Type="http://schemas.openxmlformats.org/officeDocument/2006/relationships/pivotCacheDefinition" Target="pivotCache/pivotCacheDefinition28.xml"/><Relationship Id="rId50" Type="http://schemas.microsoft.com/office/2007/relationships/slicerCache" Target="slicerCaches/slicerCache3.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10.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openxmlformats.org/officeDocument/2006/relationships/pivotCacheDefinition" Target="pivotCache/pivotCacheDefinition13.xml"/><Relationship Id="rId37" Type="http://schemas.openxmlformats.org/officeDocument/2006/relationships/pivotCacheDefinition" Target="pivotCache/pivotCacheDefinition18.xml"/><Relationship Id="rId40" Type="http://schemas.openxmlformats.org/officeDocument/2006/relationships/pivotCacheDefinition" Target="pivotCache/pivotCacheDefinition21.xml"/><Relationship Id="rId45" Type="http://schemas.openxmlformats.org/officeDocument/2006/relationships/pivotCacheDefinition" Target="pivotCache/pivotCacheDefinition26.xml"/><Relationship Id="rId53" Type="http://schemas.openxmlformats.org/officeDocument/2006/relationships/theme" Target="theme/theme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pivotCacheDefinition" Target="pivotCache/pivotCacheDefinition11.xml"/><Relationship Id="rId35" Type="http://schemas.openxmlformats.org/officeDocument/2006/relationships/pivotCacheDefinition" Target="pivotCache/pivotCacheDefinition16.xml"/><Relationship Id="rId43" Type="http://schemas.openxmlformats.org/officeDocument/2006/relationships/pivotCacheDefinition" Target="pivotCache/pivotCacheDefinition24.xml"/><Relationship Id="rId48" Type="http://schemas.microsoft.com/office/2007/relationships/slicerCache" Target="slicerCaches/slicerCache1.xml"/><Relationship Id="rId56" Type="http://schemas.openxmlformats.org/officeDocument/2006/relationships/sharedStrings" Target="sharedStrings.xml"/><Relationship Id="rId8" Type="http://schemas.openxmlformats.org/officeDocument/2006/relationships/worksheet" Target="worksheets/sheet8.xml"/><Relationship Id="rId51" Type="http://schemas.microsoft.com/office/2007/relationships/slicerCache" Target="slicerCaches/slicerCache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openxmlformats.org/officeDocument/2006/relationships/pivotCacheDefinition" Target="pivotCache/pivotCacheDefinition14.xml"/><Relationship Id="rId38" Type="http://schemas.openxmlformats.org/officeDocument/2006/relationships/pivotCacheDefinition" Target="pivotCache/pivotCacheDefinition19.xml"/><Relationship Id="rId46" Type="http://schemas.openxmlformats.org/officeDocument/2006/relationships/pivotCacheDefinition" Target="pivotCache/pivotCacheDefinition27.xml"/><Relationship Id="rId59" Type="http://schemas.openxmlformats.org/officeDocument/2006/relationships/volatileDependencies" Target="volatileDependencies.xml"/><Relationship Id="rId20" Type="http://schemas.openxmlformats.org/officeDocument/2006/relationships/pivotCacheDefinition" Target="pivotCache/pivotCacheDefinition1.xml"/><Relationship Id="rId41" Type="http://schemas.openxmlformats.org/officeDocument/2006/relationships/pivotCacheDefinition" Target="pivotCache/pivotCacheDefinition22.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36" Type="http://schemas.openxmlformats.org/officeDocument/2006/relationships/pivotCacheDefinition" Target="pivotCache/pivotCacheDefinition17.xml"/><Relationship Id="rId49" Type="http://schemas.microsoft.com/office/2007/relationships/slicerCache" Target="slicerCaches/slicerCache2.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pivotCacheDefinition" Target="pivotCache/pivotCacheDefinition12.xml"/><Relationship Id="rId44" Type="http://schemas.openxmlformats.org/officeDocument/2006/relationships/pivotCacheDefinition" Target="pivotCache/pivotCacheDefinition25.xml"/><Relationship Id="rId52" Type="http://schemas.microsoft.com/office/2007/relationships/slicerCache" Target="slicerCaches/slicerCach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ln>
              <a:noFill/>
            </a:ln>
          </c:spPr>
          <c:invertIfNegative val="0"/>
          <c:dPt>
            <c:idx val="0"/>
            <c:invertIfNegative val="0"/>
            <c:bubble3D val="0"/>
            <c:spPr>
              <a:solidFill>
                <a:srgbClr val="57486B"/>
              </a:solidFill>
              <a:ln>
                <a:noFill/>
              </a:ln>
            </c:spPr>
          </c:dPt>
          <c:dPt>
            <c:idx val="1"/>
            <c:invertIfNegative val="0"/>
            <c:bubble3D val="0"/>
            <c:spPr>
              <a:solidFill>
                <a:srgbClr val="004B88"/>
              </a:solidFill>
              <a:ln>
                <a:noFill/>
              </a:ln>
            </c:spPr>
          </c:dPt>
          <c:dPt>
            <c:idx val="2"/>
            <c:invertIfNegative val="0"/>
            <c:bubble3D val="0"/>
            <c:spPr>
              <a:solidFill>
                <a:srgbClr val="FCBB69"/>
              </a:solidFill>
              <a:ln>
                <a:noFill/>
              </a:ln>
            </c:spPr>
          </c:dPt>
          <c:dPt>
            <c:idx val="3"/>
            <c:invertIfNegative val="0"/>
            <c:bubble3D val="0"/>
            <c:spPr>
              <a:solidFill>
                <a:srgbClr val="7030A0"/>
              </a:solidFill>
              <a:ln>
                <a:noFill/>
              </a:ln>
            </c:spPr>
          </c:dPt>
          <c:dPt>
            <c:idx val="4"/>
            <c:invertIfNegative val="0"/>
            <c:bubble3D val="0"/>
            <c:spPr>
              <a:solidFill>
                <a:srgbClr val="D38173"/>
              </a:solidFill>
              <a:ln>
                <a:noFill/>
              </a:ln>
            </c:spPr>
          </c:dPt>
          <c:dLbls>
            <c:txPr>
              <a:bodyPr/>
              <a:lstStyle/>
              <a:p>
                <a:pPr>
                  <a:defRPr sz="1200" b="1"/>
                </a:pPr>
                <a:endParaRPr lang="en-US"/>
              </a:p>
            </c:txPr>
            <c:dLblPos val="outEnd"/>
            <c:showLegendKey val="0"/>
            <c:showVal val="1"/>
            <c:showCatName val="0"/>
            <c:showSerName val="0"/>
            <c:showPercent val="0"/>
            <c:showBubbleSize val="0"/>
            <c:showLeaderLines val="0"/>
          </c:dLbls>
          <c:cat>
            <c:strRef>
              <c:f>Dashboard!$BB$24:$BB$26</c:f>
              <c:strCache>
                <c:ptCount val="3"/>
                <c:pt idx="0">
                  <c:v>York</c:v>
                </c:pt>
                <c:pt idx="1">
                  <c:v>East Riding of Yorkshire</c:v>
                </c:pt>
                <c:pt idx="2">
                  <c:v>Selby</c:v>
                </c:pt>
              </c:strCache>
            </c:strRef>
          </c:cat>
          <c:val>
            <c:numRef>
              <c:f>Dashboard!$BC$24:$BC$26</c:f>
              <c:numCache>
                <c:formatCode>General</c:formatCode>
                <c:ptCount val="3"/>
                <c:pt idx="0">
                  <c:v>2913</c:v>
                </c:pt>
                <c:pt idx="1">
                  <c:v>161</c:v>
                </c:pt>
                <c:pt idx="2">
                  <c:v>108</c:v>
                </c:pt>
              </c:numCache>
            </c:numRef>
          </c:val>
        </c:ser>
        <c:dLbls>
          <c:showLegendKey val="0"/>
          <c:showVal val="0"/>
          <c:showCatName val="0"/>
          <c:showSerName val="0"/>
          <c:showPercent val="0"/>
          <c:showBubbleSize val="0"/>
        </c:dLbls>
        <c:gapWidth val="150"/>
        <c:axId val="301222912"/>
        <c:axId val="302786816"/>
      </c:barChart>
      <c:catAx>
        <c:axId val="301222912"/>
        <c:scaling>
          <c:orientation val="maxMin"/>
        </c:scaling>
        <c:delete val="0"/>
        <c:axPos val="l"/>
        <c:majorTickMark val="none"/>
        <c:minorTickMark val="none"/>
        <c:tickLblPos val="nextTo"/>
        <c:txPr>
          <a:bodyPr/>
          <a:lstStyle/>
          <a:p>
            <a:pPr>
              <a:defRPr b="1"/>
            </a:pPr>
            <a:endParaRPr lang="en-US"/>
          </a:p>
        </c:txPr>
        <c:crossAx val="302786816"/>
        <c:crosses val="autoZero"/>
        <c:auto val="1"/>
        <c:lblAlgn val="ctr"/>
        <c:lblOffset val="100"/>
        <c:noMultiLvlLbl val="0"/>
      </c:catAx>
      <c:valAx>
        <c:axId val="302786816"/>
        <c:scaling>
          <c:orientation val="minMax"/>
        </c:scaling>
        <c:delete val="0"/>
        <c:axPos val="t"/>
        <c:majorGridlines>
          <c:spPr>
            <a:ln>
              <a:noFill/>
            </a:ln>
          </c:spPr>
        </c:majorGridlines>
        <c:numFmt formatCode="General" sourceLinked="1"/>
        <c:majorTickMark val="none"/>
        <c:minorTickMark val="none"/>
        <c:tickLblPos val="nextTo"/>
        <c:txPr>
          <a:bodyPr/>
          <a:lstStyle/>
          <a:p>
            <a:pPr>
              <a:defRPr b="1"/>
            </a:pPr>
            <a:endParaRPr lang="en-US"/>
          </a:p>
        </c:txPr>
        <c:crossAx val="301222912"/>
        <c:crosses val="autoZero"/>
        <c:crossBetween val="between"/>
      </c:valAx>
    </c:plotArea>
    <c:plotVisOnly val="0"/>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754056776033181"/>
          <c:y val="4.8192771084337366E-2"/>
          <c:w val="0.38413871066383509"/>
          <c:h val="0.9337349397590361"/>
        </c:manualLayout>
      </c:layout>
      <c:pieChart>
        <c:varyColors val="1"/>
        <c:ser>
          <c:idx val="0"/>
          <c:order val="0"/>
          <c:spPr>
            <a:ln>
              <a:noFill/>
            </a:ln>
          </c:spPr>
          <c:dPt>
            <c:idx val="0"/>
            <c:bubble3D val="0"/>
            <c:spPr>
              <a:solidFill>
                <a:srgbClr val="004B88"/>
              </a:solidFill>
              <a:ln>
                <a:noFill/>
              </a:ln>
            </c:spPr>
          </c:dPt>
          <c:dPt>
            <c:idx val="1"/>
            <c:bubble3D val="0"/>
            <c:spPr>
              <a:solidFill>
                <a:srgbClr val="92D050"/>
              </a:solidFill>
              <a:ln>
                <a:noFill/>
              </a:ln>
            </c:spPr>
          </c:dPt>
          <c:dPt>
            <c:idx val="2"/>
            <c:bubble3D val="0"/>
            <c:spPr>
              <a:solidFill>
                <a:srgbClr val="D38173"/>
              </a:solidFill>
              <a:ln>
                <a:noFill/>
              </a:ln>
            </c:spPr>
          </c:dPt>
          <c:dPt>
            <c:idx val="3"/>
            <c:bubble3D val="0"/>
            <c:spPr>
              <a:solidFill>
                <a:srgbClr val="57486B"/>
              </a:solidFill>
              <a:ln>
                <a:noFill/>
              </a:ln>
            </c:spPr>
          </c:dPt>
          <c:dPt>
            <c:idx val="4"/>
            <c:bubble3D val="0"/>
            <c:spPr>
              <a:solidFill>
                <a:srgbClr val="FCBB69"/>
              </a:solidFill>
              <a:ln>
                <a:noFill/>
              </a:ln>
            </c:spPr>
          </c:dPt>
          <c:dLbls>
            <c:txPr>
              <a:bodyPr/>
              <a:lstStyle/>
              <a:p>
                <a:pPr>
                  <a:defRPr sz="1200" b="1">
                    <a:solidFill>
                      <a:schemeClr val="bg1"/>
                    </a:solidFill>
                  </a:defRPr>
                </a:pPr>
                <a:endParaRPr lang="en-US"/>
              </a:p>
            </c:txPr>
            <c:dLblPos val="bestFit"/>
            <c:showLegendKey val="0"/>
            <c:showVal val="1"/>
            <c:showCatName val="0"/>
            <c:showSerName val="0"/>
            <c:showPercent val="0"/>
            <c:showBubbleSize val="0"/>
            <c:showLeaderLines val="1"/>
          </c:dLbls>
          <c:cat>
            <c:strRef>
              <c:f>Ebefs!$U$25:$U$29</c:f>
              <c:strCache>
                <c:ptCount val="5"/>
                <c:pt idx="0">
                  <c:v>Benefits &amp; tax credits</c:v>
                </c:pt>
                <c:pt idx="1">
                  <c:v>Employment</c:v>
                </c:pt>
                <c:pt idx="2">
                  <c:v>Housing</c:v>
                </c:pt>
                <c:pt idx="3">
                  <c:v>Utilities &amp; communications</c:v>
                </c:pt>
                <c:pt idx="4">
                  <c:v>Other</c:v>
                </c:pt>
              </c:strCache>
            </c:strRef>
          </c:cat>
          <c:val>
            <c:numRef>
              <c:f>Ebefs!$V$25:$V$29</c:f>
              <c:numCache>
                <c:formatCode>General</c:formatCode>
                <c:ptCount val="5"/>
                <c:pt idx="0">
                  <c:v>164</c:v>
                </c:pt>
                <c:pt idx="1">
                  <c:v>34</c:v>
                </c:pt>
                <c:pt idx="2">
                  <c:v>20</c:v>
                </c:pt>
                <c:pt idx="3">
                  <c:v>18</c:v>
                </c:pt>
                <c:pt idx="4">
                  <c:v>63</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8037044358507881"/>
          <c:y val="0.15506688170002852"/>
          <c:w val="0.31219461362787942"/>
          <c:h val="0.61757660563513894"/>
        </c:manualLayout>
      </c:layout>
      <c:overlay val="0"/>
      <c:txPr>
        <a:bodyPr/>
        <a:lstStyle/>
        <a:p>
          <a:pPr rtl="0">
            <a:defRPr sz="1200" b="0"/>
          </a:pPr>
          <a:endParaRPr lang="en-US"/>
        </a:p>
      </c:txPr>
    </c:legend>
    <c:plotVisOnly val="0"/>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noFill/>
            </a:ln>
          </c:spPr>
          <c:dPt>
            <c:idx val="0"/>
            <c:bubble3D val="0"/>
            <c:spPr>
              <a:solidFill>
                <a:srgbClr val="004B88"/>
              </a:solidFill>
              <a:ln>
                <a:noFill/>
              </a:ln>
            </c:spPr>
          </c:dPt>
          <c:dPt>
            <c:idx val="2"/>
            <c:bubble3D val="0"/>
            <c:spPr>
              <a:solidFill>
                <a:srgbClr val="FCBB69"/>
              </a:solidFill>
              <a:ln>
                <a:noFill/>
              </a:ln>
            </c:spPr>
          </c:dPt>
          <c:dPt>
            <c:idx val="4"/>
            <c:bubble3D val="0"/>
            <c:spPr>
              <a:solidFill>
                <a:srgbClr val="92D050"/>
              </a:solidFill>
              <a:ln>
                <a:noFill/>
              </a:ln>
            </c:spPr>
          </c:dPt>
          <c:dPt>
            <c:idx val="7"/>
            <c:bubble3D val="0"/>
            <c:spPr>
              <a:solidFill>
                <a:srgbClr val="57486B"/>
              </a:solidFill>
              <a:ln>
                <a:noFill/>
              </a:ln>
            </c:spPr>
          </c:dPt>
          <c:dPt>
            <c:idx val="9"/>
            <c:bubble3D val="0"/>
            <c:spPr>
              <a:solidFill>
                <a:srgbClr val="D38173"/>
              </a:solidFill>
              <a:ln>
                <a:noFill/>
              </a:ln>
            </c:spPr>
          </c:dPt>
          <c:dLbls>
            <c:dLbl>
              <c:idx val="0"/>
              <c:spPr/>
              <c:txPr>
                <a:bodyPr/>
                <a:lstStyle/>
                <a:p>
                  <a:pPr>
                    <a:defRPr sz="1400" b="1">
                      <a:solidFill>
                        <a:schemeClr val="bg1"/>
                      </a:solidFill>
                    </a:defRPr>
                  </a:pPr>
                  <a:endParaRPr lang="en-US"/>
                </a:p>
              </c:txPr>
              <c:dLblPos val="bestFit"/>
              <c:showLegendKey val="0"/>
              <c:showVal val="1"/>
              <c:showCatName val="0"/>
              <c:showSerName val="0"/>
              <c:showPercent val="0"/>
              <c:showBubbleSize val="0"/>
            </c:dLbl>
            <c:dLbl>
              <c:idx val="2"/>
              <c:spPr/>
              <c:txPr>
                <a:bodyPr/>
                <a:lstStyle/>
                <a:p>
                  <a:pPr>
                    <a:defRPr sz="1400" b="1">
                      <a:solidFill>
                        <a:sysClr val="windowText" lastClr="000000"/>
                      </a:solidFill>
                    </a:defRPr>
                  </a:pPr>
                  <a:endParaRPr lang="en-US"/>
                </a:p>
              </c:txPr>
              <c:dLblPos val="bestFit"/>
              <c:showLegendKey val="0"/>
              <c:showVal val="1"/>
              <c:showCatName val="0"/>
              <c:showSerName val="0"/>
              <c:showPercent val="0"/>
              <c:showBubbleSize val="0"/>
            </c:dLbl>
            <c:txPr>
              <a:bodyPr/>
              <a:lstStyle/>
              <a:p>
                <a:pPr>
                  <a:defRPr sz="1400" b="1"/>
                </a:pPr>
                <a:endParaRPr lang="en-US"/>
              </a:p>
            </c:txPr>
            <c:dLblPos val="bestFit"/>
            <c:showLegendKey val="0"/>
            <c:showVal val="1"/>
            <c:showCatName val="0"/>
            <c:showSerName val="0"/>
            <c:showPercent val="0"/>
            <c:showBubbleSize val="0"/>
            <c:showLeaderLines val="1"/>
          </c:dLbls>
          <c:cat>
            <c:strRef>
              <c:f>'AIC1'!$B$21:$B$36</c:f>
              <c:strCache>
                <c:ptCount val="16"/>
                <c:pt idx="0">
                  <c:v>Benefits &amp; tax credits</c:v>
                </c:pt>
                <c:pt idx="1">
                  <c:v>Consumer goods &amp; services</c:v>
                </c:pt>
                <c:pt idx="2">
                  <c:v>Debt</c:v>
                </c:pt>
                <c:pt idx="3">
                  <c:v>Education</c:v>
                </c:pt>
                <c:pt idx="4">
                  <c:v>Employment</c:v>
                </c:pt>
                <c:pt idx="5">
                  <c:v>Financial services &amp; capability</c:v>
                </c:pt>
                <c:pt idx="6">
                  <c:v>Health &amp; community care</c:v>
                </c:pt>
                <c:pt idx="7">
                  <c:v>Housing</c:v>
                </c:pt>
                <c:pt idx="8">
                  <c:v>Immigration &amp; asylum</c:v>
                </c:pt>
                <c:pt idx="9">
                  <c:v>Legal</c:v>
                </c:pt>
                <c:pt idx="10">
                  <c:v>Other</c:v>
                </c:pt>
                <c:pt idx="11">
                  <c:v>Relationships &amp; family</c:v>
                </c:pt>
                <c:pt idx="12">
                  <c:v>Tax</c:v>
                </c:pt>
                <c:pt idx="13">
                  <c:v>Travel &amp; transport</c:v>
                </c:pt>
                <c:pt idx="14">
                  <c:v>Utilities &amp; communications</c:v>
                </c:pt>
                <c:pt idx="15">
                  <c:v>Discrimination</c:v>
                </c:pt>
              </c:strCache>
            </c:strRef>
          </c:cat>
          <c:val>
            <c:numRef>
              <c:f>'AIC1'!$D$21:$D$36</c:f>
              <c:numCache>
                <c:formatCode>0%</c:formatCode>
                <c:ptCount val="16"/>
                <c:pt idx="0">
                  <c:v>0.36594530652007518</c:v>
                </c:pt>
                <c:pt idx="1">
                  <c:v>2.3589172639343122E-2</c:v>
                </c:pt>
                <c:pt idx="2">
                  <c:v>0.25287036392735368</c:v>
                </c:pt>
                <c:pt idx="3">
                  <c:v>2.9225523623964927E-3</c:v>
                </c:pt>
                <c:pt idx="4">
                  <c:v>6.5966181894092271E-2</c:v>
                </c:pt>
                <c:pt idx="5">
                  <c:v>2.8112170343051978E-2</c:v>
                </c:pt>
                <c:pt idx="6">
                  <c:v>1.4056085171525989E-2</c:v>
                </c:pt>
                <c:pt idx="7">
                  <c:v>6.3182798691809899E-2</c:v>
                </c:pt>
                <c:pt idx="8">
                  <c:v>2.0805789437060747E-2</c:v>
                </c:pt>
                <c:pt idx="9">
                  <c:v>3.7436504070697936E-2</c:v>
                </c:pt>
                <c:pt idx="10">
                  <c:v>4.2516178414863263E-2</c:v>
                </c:pt>
                <c:pt idx="11">
                  <c:v>4.230742467469209E-2</c:v>
                </c:pt>
                <c:pt idx="12">
                  <c:v>1.0159348688330665E-2</c:v>
                </c:pt>
                <c:pt idx="13">
                  <c:v>3.2704752626817896E-3</c:v>
                </c:pt>
                <c:pt idx="14">
                  <c:v>2.282374225871547E-2</c:v>
                </c:pt>
                <c:pt idx="15">
                  <c:v>4.0359056433094424E-3</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73488019782651148"/>
          <c:y val="2.0676253892700711E-2"/>
          <c:w val="0.25520244680158771"/>
          <c:h val="0.93613945362938977"/>
        </c:manualLayout>
      </c:layout>
      <c:overlay val="0"/>
      <c:txPr>
        <a:bodyPr/>
        <a:lstStyle/>
        <a:p>
          <a:pPr>
            <a:defRPr sz="1100" b="1"/>
          </a:pPr>
          <a:endParaRPr lang="en-U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132435299820944E-2"/>
          <c:y val="0"/>
          <c:w val="0.7079866227184487"/>
          <c:h val="0.89572407105910579"/>
        </c:manualLayout>
      </c:layout>
      <c:barChart>
        <c:barDir val="bar"/>
        <c:grouping val="percentStacked"/>
        <c:varyColors val="0"/>
        <c:ser>
          <c:idx val="6"/>
          <c:order val="0"/>
          <c:tx>
            <c:strRef>
              <c:f>'Enquiry - Gateway'!$B$24</c:f>
              <c:strCache>
                <c:ptCount val="1"/>
                <c:pt idx="0">
                  <c:v>Gateway not progressed</c:v>
                </c:pt>
              </c:strCache>
            </c:strRef>
          </c:tx>
          <c:spPr>
            <a:solidFill>
              <a:srgbClr val="004B88"/>
            </a:solidFill>
            <a:ln>
              <a:solidFill>
                <a:schemeClr val="tx1"/>
              </a:solidFill>
            </a:ln>
          </c:spPr>
          <c:invertIfNegative val="0"/>
          <c:dLbls>
            <c:txPr>
              <a:bodyPr/>
              <a:lstStyle/>
              <a:p>
                <a:pPr>
                  <a:defRPr b="1">
                    <a:solidFill>
                      <a:schemeClr val="bg1"/>
                    </a:solidFill>
                  </a:defRPr>
                </a:pPr>
                <a:endParaRPr lang="en-US"/>
              </a:p>
            </c:txPr>
            <c:showLegendKey val="0"/>
            <c:showVal val="1"/>
            <c:showCatName val="0"/>
            <c:showSerName val="0"/>
            <c:showPercent val="0"/>
            <c:showBubbleSize val="0"/>
            <c:showLeaderLines val="0"/>
          </c:dLbls>
          <c:val>
            <c:numRef>
              <c:f>'Enquiry - Gateway'!$D$24</c:f>
              <c:numCache>
                <c:formatCode>0%</c:formatCode>
                <c:ptCount val="1"/>
                <c:pt idx="0">
                  <c:v>0.12931961296267855</c:v>
                </c:pt>
              </c:numCache>
            </c:numRef>
          </c:val>
        </c:ser>
        <c:ser>
          <c:idx val="4"/>
          <c:order val="1"/>
          <c:tx>
            <c:strRef>
              <c:f>'Enquiry - Gateway'!$B$22</c:f>
              <c:strCache>
                <c:ptCount val="1"/>
                <c:pt idx="0">
                  <c:v>Information</c:v>
                </c:pt>
              </c:strCache>
            </c:strRef>
          </c:tx>
          <c:spPr>
            <a:solidFill>
              <a:srgbClr val="004B88"/>
            </a:solidFill>
            <a:ln>
              <a:solidFill>
                <a:schemeClr val="tx1"/>
              </a:solid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'Enquiry - Gateway'!$D$22</c:f>
              <c:numCache>
                <c:formatCode>0%</c:formatCode>
                <c:ptCount val="1"/>
                <c:pt idx="0">
                  <c:v>0.23037935800952233</c:v>
                </c:pt>
              </c:numCache>
            </c:numRef>
          </c:val>
        </c:ser>
        <c:ser>
          <c:idx val="0"/>
          <c:order val="2"/>
          <c:tx>
            <c:strRef>
              <c:f>'Enquiry - Gateway'!$B$18</c:f>
              <c:strCache>
                <c:ptCount val="1"/>
                <c:pt idx="0">
                  <c:v>Advice</c:v>
                </c:pt>
              </c:strCache>
            </c:strRef>
          </c:tx>
          <c:spPr>
            <a:solidFill>
              <a:srgbClr val="FCBB69"/>
            </a:solidFill>
            <a:ln>
              <a:solidFill>
                <a:schemeClr val="tx1"/>
              </a:solidFill>
            </a:ln>
          </c:spPr>
          <c:invertIfNegative val="0"/>
          <c:dLbls>
            <c:showLegendKey val="0"/>
            <c:showVal val="1"/>
            <c:showCatName val="0"/>
            <c:showSerName val="0"/>
            <c:showPercent val="0"/>
            <c:showBubbleSize val="0"/>
            <c:showLeaderLines val="0"/>
          </c:dLbls>
          <c:val>
            <c:numRef>
              <c:f>'Enquiry - Gateway'!$D$18</c:f>
              <c:numCache>
                <c:formatCode>0%</c:formatCode>
                <c:ptCount val="1"/>
                <c:pt idx="0">
                  <c:v>0.12486561204116112</c:v>
                </c:pt>
              </c:numCache>
            </c:numRef>
          </c:val>
        </c:ser>
        <c:ser>
          <c:idx val="1"/>
          <c:order val="3"/>
          <c:tx>
            <c:strRef>
              <c:f>'Enquiry - Gateway'!$B$19</c:f>
              <c:strCache>
                <c:ptCount val="1"/>
                <c:pt idx="0">
                  <c:v>Advice and limited action</c:v>
                </c:pt>
              </c:strCache>
            </c:strRef>
          </c:tx>
          <c:spPr>
            <a:solidFill>
              <a:srgbClr val="FCBB69"/>
            </a:solidFill>
            <a:ln>
              <a:solidFill>
                <a:schemeClr val="tx1"/>
              </a:solidFill>
            </a:ln>
          </c:spPr>
          <c:invertIfNegative val="0"/>
          <c:dLbls>
            <c:showLegendKey val="0"/>
            <c:showVal val="1"/>
            <c:showCatName val="0"/>
            <c:showSerName val="0"/>
            <c:showPercent val="0"/>
            <c:showBubbleSize val="0"/>
            <c:showLeaderLines val="0"/>
          </c:dLbls>
          <c:val>
            <c:numRef>
              <c:f>'Enquiry - Gateway'!$D$19</c:f>
              <c:numCache>
                <c:formatCode>0%</c:formatCode>
                <c:ptCount val="1"/>
                <c:pt idx="0">
                  <c:v>0.15926892950391644</c:v>
                </c:pt>
              </c:numCache>
            </c:numRef>
          </c:val>
        </c:ser>
        <c:ser>
          <c:idx val="2"/>
          <c:order val="4"/>
          <c:tx>
            <c:strRef>
              <c:f>'Enquiry - Gateway'!$B$20</c:f>
              <c:strCache>
                <c:ptCount val="1"/>
                <c:pt idx="0">
                  <c:v>Advice and referral</c:v>
                </c:pt>
              </c:strCache>
            </c:strRef>
          </c:tx>
          <c:spPr>
            <a:solidFill>
              <a:srgbClr val="FFC000"/>
            </a:solidFill>
            <a:ln>
              <a:solidFill>
                <a:schemeClr val="tx1"/>
              </a:solid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'Enquiry - Gateway'!$D$20</c:f>
              <c:numCache>
                <c:formatCode>0%</c:formatCode>
                <c:ptCount val="1"/>
                <c:pt idx="0">
                  <c:v>4.9454768852710794E-2</c:v>
                </c:pt>
              </c:numCache>
            </c:numRef>
          </c:val>
        </c:ser>
        <c:ser>
          <c:idx val="3"/>
          <c:order val="5"/>
          <c:tx>
            <c:strRef>
              <c:f>'Enquiry - Gateway'!$B$21</c:f>
              <c:strCache>
                <c:ptCount val="1"/>
                <c:pt idx="0">
                  <c:v>Generalist casework</c:v>
                </c:pt>
              </c:strCache>
            </c:strRef>
          </c:tx>
          <c:spPr>
            <a:solidFill>
              <a:srgbClr val="57486B"/>
            </a:solidFill>
            <a:ln>
              <a:solidFill>
                <a:schemeClr val="tx1"/>
              </a:solid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'Enquiry - Gateway'!$D$21</c:f>
              <c:numCache>
                <c:formatCode>0%</c:formatCode>
                <c:ptCount val="1"/>
                <c:pt idx="0">
                  <c:v>4.5307940408539395E-2</c:v>
                </c:pt>
              </c:numCache>
            </c:numRef>
          </c:val>
        </c:ser>
        <c:ser>
          <c:idx val="5"/>
          <c:order val="6"/>
          <c:tx>
            <c:strRef>
              <c:f>'Enquiry - Gateway'!$B$23</c:f>
              <c:strCache>
                <c:ptCount val="1"/>
                <c:pt idx="0">
                  <c:v>Specialist casework</c:v>
                </c:pt>
              </c:strCache>
            </c:strRef>
          </c:tx>
          <c:spPr>
            <a:solidFill>
              <a:srgbClr val="57486B"/>
            </a:solidFill>
            <a:ln>
              <a:solidFill>
                <a:schemeClr val="tx1"/>
              </a:solidFill>
            </a:ln>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'Enquiry - Gateway'!$D$23</c:f>
              <c:numCache>
                <c:formatCode>0%</c:formatCode>
                <c:ptCount val="1"/>
                <c:pt idx="0">
                  <c:v>0.12302257717708494</c:v>
                </c:pt>
              </c:numCache>
            </c:numRef>
          </c:val>
        </c:ser>
        <c:ser>
          <c:idx val="7"/>
          <c:order val="7"/>
          <c:tx>
            <c:strRef>
              <c:f>'Enquiry - Gateway'!$B$25</c:f>
              <c:strCache>
                <c:ptCount val="1"/>
                <c:pt idx="0">
                  <c:v>Signposting</c:v>
                </c:pt>
              </c:strCache>
            </c:strRef>
          </c:tx>
          <c:spPr>
            <a:solidFill>
              <a:srgbClr val="92D050"/>
            </a:solidFill>
            <a:ln>
              <a:solidFill>
                <a:schemeClr val="tx1"/>
              </a:solidFill>
            </a:ln>
          </c:spPr>
          <c:invertIfNegative val="0"/>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val>
            <c:numRef>
              <c:f>'Enquiry - Gateway'!$D$25</c:f>
              <c:numCache>
                <c:formatCode>0%</c:formatCode>
                <c:ptCount val="1"/>
                <c:pt idx="0">
                  <c:v>0.13838120104438642</c:v>
                </c:pt>
              </c:numCache>
            </c:numRef>
          </c:val>
        </c:ser>
        <c:dLbls>
          <c:showLegendKey val="0"/>
          <c:showVal val="0"/>
          <c:showCatName val="0"/>
          <c:showSerName val="0"/>
          <c:showPercent val="0"/>
          <c:showBubbleSize val="0"/>
        </c:dLbls>
        <c:gapWidth val="150"/>
        <c:overlap val="100"/>
        <c:axId val="309377536"/>
        <c:axId val="308865856"/>
      </c:barChart>
      <c:catAx>
        <c:axId val="309377536"/>
        <c:scaling>
          <c:orientation val="minMax"/>
        </c:scaling>
        <c:delete val="1"/>
        <c:axPos val="l"/>
        <c:majorGridlines/>
        <c:majorTickMark val="out"/>
        <c:minorTickMark val="none"/>
        <c:tickLblPos val="none"/>
        <c:crossAx val="308865856"/>
        <c:crosses val="autoZero"/>
        <c:auto val="1"/>
        <c:lblAlgn val="ctr"/>
        <c:lblOffset val="100"/>
        <c:noMultiLvlLbl val="0"/>
      </c:catAx>
      <c:valAx>
        <c:axId val="308865856"/>
        <c:scaling>
          <c:orientation val="minMax"/>
        </c:scaling>
        <c:delete val="0"/>
        <c:axPos val="b"/>
        <c:majorGridlines>
          <c:spPr>
            <a:ln>
              <a:solidFill>
                <a:schemeClr val="bg1">
                  <a:lumMod val="85000"/>
                </a:schemeClr>
              </a:solidFill>
            </a:ln>
          </c:spPr>
        </c:majorGridlines>
        <c:numFmt formatCode="0%" sourceLinked="1"/>
        <c:majorTickMark val="out"/>
        <c:minorTickMark val="none"/>
        <c:tickLblPos val="nextTo"/>
        <c:txPr>
          <a:bodyPr/>
          <a:lstStyle/>
          <a:p>
            <a:pPr>
              <a:defRPr b="1"/>
            </a:pPr>
            <a:endParaRPr lang="en-US"/>
          </a:p>
        </c:txPr>
        <c:crossAx val="309377536"/>
        <c:crosses val="autoZero"/>
        <c:crossBetween val="between"/>
      </c:valAx>
      <c:spPr>
        <a:noFill/>
        <a:ln>
          <a:noFill/>
        </a:ln>
      </c:spPr>
    </c:plotArea>
    <c:legend>
      <c:legendPos val="r"/>
      <c:layout>
        <c:manualLayout>
          <c:xMode val="edge"/>
          <c:yMode val="edge"/>
          <c:x val="0.7775839543379589"/>
          <c:y val="6.6323073252207113E-2"/>
          <c:w val="0.19891039551289177"/>
          <c:h val="0.77136446967489281"/>
        </c:manualLayout>
      </c:layout>
      <c:overlay val="0"/>
      <c:txPr>
        <a:bodyPr/>
        <a:lstStyle/>
        <a:p>
          <a:pPr>
            <a:defRPr sz="1200" b="0"/>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8768646618458"/>
          <c:y val="6.0024912140219759E-3"/>
          <c:w val="0.70170908376631169"/>
          <c:h val="0.97139863872948096"/>
        </c:manualLayout>
      </c:layout>
      <c:barChart>
        <c:barDir val="bar"/>
        <c:grouping val="percentStacked"/>
        <c:varyColors val="0"/>
        <c:ser>
          <c:idx val="1"/>
          <c:order val="0"/>
          <c:tx>
            <c:strRef>
              <c:f>'Enquiry - Gateway'!$B$33</c:f>
              <c:strCache>
                <c:ptCount val="1"/>
                <c:pt idx="0">
                  <c:v>Face to Face</c:v>
                </c:pt>
              </c:strCache>
            </c:strRef>
          </c:tx>
          <c:spPr>
            <a:solidFill>
              <a:schemeClr val="tx2">
                <a:lumMod val="60000"/>
                <a:lumOff val="40000"/>
              </a:schemeClr>
            </a:solidFill>
            <a:ln w="0">
              <a:solidFill>
                <a:schemeClr val="tx1"/>
              </a:solidFill>
            </a:ln>
          </c:spPr>
          <c:invertIfNegative val="0"/>
          <c:dPt>
            <c:idx val="0"/>
            <c:invertIfNegative val="0"/>
            <c:bubble3D val="0"/>
            <c:spPr>
              <a:solidFill>
                <a:srgbClr val="004B88"/>
              </a:solidFill>
              <a:ln w="0">
                <a:solidFill>
                  <a:schemeClr val="tx1"/>
                </a:solidFill>
              </a:ln>
            </c:spPr>
          </c:dPt>
          <c:dLbls>
            <c:dLbl>
              <c:idx val="0"/>
              <c:showLegendKey val="0"/>
              <c:showVal val="1"/>
              <c:showCatName val="0"/>
              <c:showSerName val="0"/>
              <c:showPercent val="0"/>
              <c:showBubbleSize val="0"/>
            </c:dLbl>
            <c:txPr>
              <a:bodyPr/>
              <a:lstStyle/>
              <a:p>
                <a:pPr>
                  <a:defRPr>
                    <a:solidFill>
                      <a:schemeClr val="bg1"/>
                    </a:solidFill>
                  </a:defRPr>
                </a:pPr>
                <a:endParaRPr lang="en-US"/>
              </a:p>
            </c:txPr>
            <c:showLegendKey val="0"/>
            <c:showVal val="0"/>
            <c:showCatName val="0"/>
            <c:showSerName val="0"/>
            <c:showPercent val="0"/>
            <c:showBubbleSize val="0"/>
          </c:dLbls>
          <c:val>
            <c:numRef>
              <c:f>'Enquiry - Gateway'!$D$33</c:f>
              <c:numCache>
                <c:formatCode>0%</c:formatCode>
                <c:ptCount val="1"/>
                <c:pt idx="0">
                  <c:v>0.91601941747572813</c:v>
                </c:pt>
              </c:numCache>
            </c:numRef>
          </c:val>
        </c:ser>
        <c:ser>
          <c:idx val="4"/>
          <c:order val="1"/>
          <c:tx>
            <c:strRef>
              <c:f>'Enquiry - Gateway'!$B$36</c:f>
              <c:strCache>
                <c:ptCount val="1"/>
                <c:pt idx="0">
                  <c:v>Telephone</c:v>
                </c:pt>
              </c:strCache>
            </c:strRef>
          </c:tx>
          <c:spPr>
            <a:solidFill>
              <a:srgbClr val="FCBB69"/>
            </a:solidFill>
            <a:ln w="0">
              <a:solidFill>
                <a:schemeClr val="tx1"/>
              </a:solidFill>
            </a:ln>
          </c:spPr>
          <c:invertIfNegative val="0"/>
          <c:dLbls>
            <c:showLegendKey val="0"/>
            <c:showVal val="1"/>
            <c:showCatName val="0"/>
            <c:showSerName val="0"/>
            <c:showPercent val="0"/>
            <c:showBubbleSize val="0"/>
            <c:showLeaderLines val="0"/>
          </c:dLbls>
          <c:val>
            <c:numRef>
              <c:f>'Enquiry - Gateway'!$D$36</c:f>
              <c:numCache>
                <c:formatCode>0%</c:formatCode>
                <c:ptCount val="1"/>
                <c:pt idx="0">
                  <c:v>6.3349514563106793E-2</c:v>
                </c:pt>
              </c:numCache>
            </c:numRef>
          </c:val>
        </c:ser>
        <c:ser>
          <c:idx val="2"/>
          <c:order val="2"/>
          <c:tx>
            <c:strRef>
              <c:f>'Enquiry - Gateway'!$B$34</c:f>
              <c:strCache>
                <c:ptCount val="1"/>
                <c:pt idx="0">
                  <c:v>Home Visit</c:v>
                </c:pt>
              </c:strCache>
            </c:strRef>
          </c:tx>
          <c:spPr>
            <a:solidFill>
              <a:srgbClr val="92D050"/>
            </a:solidFill>
            <a:ln w="0">
              <a:solidFill>
                <a:schemeClr val="tx1"/>
              </a:solidFill>
            </a:ln>
          </c:spPr>
          <c:invertIfNegative val="0"/>
          <c:val>
            <c:numRef>
              <c:f>'Enquiry - Gateway'!$D$34</c:f>
              <c:numCache>
                <c:formatCode>0%</c:formatCode>
                <c:ptCount val="1"/>
                <c:pt idx="0">
                  <c:v>1.2135922330097086E-3</c:v>
                </c:pt>
              </c:numCache>
            </c:numRef>
          </c:val>
        </c:ser>
        <c:ser>
          <c:idx val="0"/>
          <c:order val="3"/>
          <c:tx>
            <c:strRef>
              <c:f>'Enquiry - Gateway'!$B$32</c:f>
              <c:strCache>
                <c:ptCount val="1"/>
                <c:pt idx="0">
                  <c:v>E-mail</c:v>
                </c:pt>
              </c:strCache>
            </c:strRef>
          </c:tx>
          <c:spPr>
            <a:solidFill>
              <a:srgbClr val="57486B"/>
            </a:solidFill>
            <a:ln w="0">
              <a:solidFill>
                <a:schemeClr val="tx1"/>
              </a:solidFill>
            </a:ln>
          </c:spPr>
          <c:invertIfNegative val="0"/>
          <c:val>
            <c:numRef>
              <c:f>'Enquiry - Gateway'!$D$32</c:f>
              <c:numCache>
                <c:formatCode>0%</c:formatCode>
                <c:ptCount val="1"/>
                <c:pt idx="0">
                  <c:v>4.6116504854368931E-3</c:v>
                </c:pt>
              </c:numCache>
            </c:numRef>
          </c:val>
        </c:ser>
        <c:ser>
          <c:idx val="3"/>
          <c:order val="4"/>
          <c:tx>
            <c:strRef>
              <c:f>'Enquiry - Gateway'!$B$35</c:f>
              <c:strCache>
                <c:ptCount val="1"/>
                <c:pt idx="0">
                  <c:v>Social Media</c:v>
                </c:pt>
              </c:strCache>
            </c:strRef>
          </c:tx>
          <c:spPr>
            <a:solidFill>
              <a:srgbClr val="C00000"/>
            </a:solidFill>
            <a:ln w="0">
              <a:solidFill>
                <a:schemeClr val="tx1"/>
              </a:solidFill>
            </a:ln>
          </c:spPr>
          <c:invertIfNegative val="0"/>
          <c:val>
            <c:numRef>
              <c:f>'Enquiry - Gateway'!$D$35</c:f>
              <c:numCache>
                <c:formatCode>0%</c:formatCode>
                <c:ptCount val="1"/>
                <c:pt idx="0">
                  <c:v>0</c:v>
                </c:pt>
              </c:numCache>
            </c:numRef>
          </c:val>
        </c:ser>
        <c:ser>
          <c:idx val="5"/>
          <c:order val="5"/>
          <c:tx>
            <c:strRef>
              <c:f>'Enquiry - Gateway'!$B$37</c:f>
              <c:strCache>
                <c:ptCount val="1"/>
                <c:pt idx="0">
                  <c:v>Webchat</c:v>
                </c:pt>
              </c:strCache>
            </c:strRef>
          </c:tx>
          <c:spPr>
            <a:ln w="0">
              <a:solidFill>
                <a:schemeClr val="tx1"/>
              </a:solidFill>
            </a:ln>
          </c:spPr>
          <c:invertIfNegative val="0"/>
          <c:val>
            <c:numRef>
              <c:f>'Enquiry - Gateway'!$D$37</c:f>
              <c:numCache>
                <c:formatCode>0%</c:formatCode>
                <c:ptCount val="1"/>
                <c:pt idx="0">
                  <c:v>0</c:v>
                </c:pt>
              </c:numCache>
            </c:numRef>
          </c:val>
        </c:ser>
        <c:ser>
          <c:idx val="6"/>
          <c:order val="6"/>
          <c:tx>
            <c:strRef>
              <c:f>'Enquiry - Gateway'!$B$39</c:f>
              <c:strCache>
                <c:ptCount val="1"/>
                <c:pt idx="0">
                  <c:v>Letter/Mail</c:v>
                </c:pt>
              </c:strCache>
            </c:strRef>
          </c:tx>
          <c:invertIfNegative val="0"/>
          <c:val>
            <c:numRef>
              <c:f>'Enquiry - Gateway'!$D$39</c:f>
              <c:numCache>
                <c:formatCode>0%</c:formatCode>
                <c:ptCount val="1"/>
                <c:pt idx="0">
                  <c:v>1.116504854368932E-2</c:v>
                </c:pt>
              </c:numCache>
            </c:numRef>
          </c:val>
        </c:ser>
        <c:ser>
          <c:idx val="7"/>
          <c:order val="7"/>
          <c:tx>
            <c:strRef>
              <c:f>'Enquiry - Gateway'!$B$38</c:f>
              <c:strCache>
                <c:ptCount val="1"/>
                <c:pt idx="0">
                  <c:v>Adviceline Phone</c:v>
                </c:pt>
              </c:strCache>
            </c:strRef>
          </c:tx>
          <c:invertIfNegative val="0"/>
          <c:val>
            <c:numRef>
              <c:f>'Enquiry - Gateway'!$D$38</c:f>
              <c:numCache>
                <c:formatCode>0%</c:formatCode>
                <c:ptCount val="1"/>
                <c:pt idx="0">
                  <c:v>3.3980582524271844E-3</c:v>
                </c:pt>
              </c:numCache>
            </c:numRef>
          </c:val>
        </c:ser>
        <c:ser>
          <c:idx val="8"/>
          <c:order val="8"/>
          <c:tx>
            <c:strRef>
              <c:f>'Enquiry - Gateway'!$B$40</c:f>
              <c:strCache>
                <c:ptCount val="1"/>
                <c:pt idx="0">
                  <c:v>Not recorded/not applicable</c:v>
                </c:pt>
              </c:strCache>
            </c:strRef>
          </c:tx>
          <c:invertIfNegative val="0"/>
          <c:val>
            <c:numRef>
              <c:f>'Enquiry - Gateway'!$D$40</c:f>
              <c:numCache>
                <c:formatCode>0%</c:formatCode>
                <c:ptCount val="1"/>
                <c:pt idx="0">
                  <c:v>2.4271844660194174E-4</c:v>
                </c:pt>
              </c:numCache>
            </c:numRef>
          </c:val>
        </c:ser>
        <c:dLbls>
          <c:showLegendKey val="0"/>
          <c:showVal val="0"/>
          <c:showCatName val="0"/>
          <c:showSerName val="0"/>
          <c:showPercent val="0"/>
          <c:showBubbleSize val="0"/>
        </c:dLbls>
        <c:gapWidth val="100"/>
        <c:overlap val="100"/>
        <c:axId val="305320960"/>
        <c:axId val="308868160"/>
      </c:barChart>
      <c:valAx>
        <c:axId val="308868160"/>
        <c:scaling>
          <c:orientation val="minMax"/>
          <c:min val="0"/>
        </c:scaling>
        <c:delete val="0"/>
        <c:axPos val="b"/>
        <c:majorGridlines>
          <c:spPr>
            <a:ln>
              <a:solidFill>
                <a:schemeClr val="bg1">
                  <a:lumMod val="85000"/>
                </a:schemeClr>
              </a:solidFill>
            </a:ln>
          </c:spPr>
        </c:majorGridlines>
        <c:numFmt formatCode="0%" sourceLinked="1"/>
        <c:majorTickMark val="out"/>
        <c:minorTickMark val="none"/>
        <c:tickLblPos val="nextTo"/>
        <c:crossAx val="305320960"/>
        <c:crosses val="autoZero"/>
        <c:crossBetween val="between"/>
      </c:valAx>
      <c:catAx>
        <c:axId val="305320960"/>
        <c:scaling>
          <c:orientation val="minMax"/>
        </c:scaling>
        <c:delete val="1"/>
        <c:axPos val="l"/>
        <c:majorTickMark val="out"/>
        <c:minorTickMark val="none"/>
        <c:tickLblPos val="none"/>
        <c:crossAx val="308868160"/>
        <c:crosses val="autoZero"/>
        <c:auto val="1"/>
        <c:lblAlgn val="ctr"/>
        <c:lblOffset val="100"/>
        <c:noMultiLvlLbl val="0"/>
      </c:catAx>
    </c:plotArea>
    <c:legend>
      <c:legendPos val="r"/>
      <c:layout>
        <c:manualLayout>
          <c:xMode val="edge"/>
          <c:yMode val="edge"/>
          <c:x val="0.80981607765310915"/>
          <c:y val="5.5616663796915461E-2"/>
          <c:w val="0.18671674568068053"/>
          <c:h val="0.9050330714851339"/>
        </c:manualLayout>
      </c:layout>
      <c:overlay val="0"/>
      <c:txPr>
        <a:bodyPr/>
        <a:lstStyle/>
        <a:p>
          <a:pPr>
            <a:defRPr sz="1200" b="0"/>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217441671104509E-2"/>
          <c:y val="0"/>
          <c:w val="0.6694563914334436"/>
          <c:h val="0.92162729658792664"/>
        </c:manualLayout>
      </c:layout>
      <c:barChart>
        <c:barDir val="bar"/>
        <c:grouping val="percentStacked"/>
        <c:varyColors val="0"/>
        <c:ser>
          <c:idx val="2"/>
          <c:order val="0"/>
          <c:tx>
            <c:strRef>
              <c:f>'Enquiry - Gateway'!$B$48</c:f>
              <c:strCache>
                <c:ptCount val="1"/>
                <c:pt idx="0">
                  <c:v>Face to Face</c:v>
                </c:pt>
              </c:strCache>
            </c:strRef>
          </c:tx>
          <c:spPr>
            <a:solidFill>
              <a:schemeClr val="tx2">
                <a:lumMod val="60000"/>
                <a:lumOff val="40000"/>
              </a:schemeClr>
            </a:solidFill>
            <a:ln w="0">
              <a:solidFill>
                <a:schemeClr val="tx1"/>
              </a:solidFill>
            </a:ln>
          </c:spPr>
          <c:invertIfNegative val="0"/>
          <c:dPt>
            <c:idx val="0"/>
            <c:invertIfNegative val="0"/>
            <c:bubble3D val="0"/>
            <c:spPr>
              <a:solidFill>
                <a:srgbClr val="004B88"/>
              </a:solidFill>
              <a:ln w="0">
                <a:solidFill>
                  <a:schemeClr val="tx1"/>
                </a:solidFill>
              </a:ln>
            </c:spPr>
          </c:dPt>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'Enquiry - Gateway'!$D$48</c:f>
              <c:numCache>
                <c:formatCode>0%</c:formatCode>
                <c:ptCount val="1"/>
                <c:pt idx="0">
                  <c:v>0.23615160349854228</c:v>
                </c:pt>
              </c:numCache>
            </c:numRef>
          </c:val>
        </c:ser>
        <c:ser>
          <c:idx val="0"/>
          <c:order val="1"/>
          <c:tx>
            <c:strRef>
              <c:f>'Enquiry - Gateway'!$B$46</c:f>
              <c:strCache>
                <c:ptCount val="1"/>
                <c:pt idx="0">
                  <c:v>Adviceline Phone</c:v>
                </c:pt>
              </c:strCache>
            </c:strRef>
          </c:tx>
          <c:spPr>
            <a:solidFill>
              <a:srgbClr val="FCBB69"/>
            </a:solidFill>
            <a:ln w="0">
              <a:solidFill>
                <a:schemeClr val="tx1"/>
              </a:solidFill>
            </a:ln>
          </c:spPr>
          <c:invertIfNegative val="0"/>
          <c:dLbls>
            <c:txPr>
              <a:bodyPr/>
              <a:lstStyle/>
              <a:p>
                <a:pPr>
                  <a:defRPr sz="1000" b="0"/>
                </a:pPr>
                <a:endParaRPr lang="en-US"/>
              </a:p>
            </c:txPr>
            <c:showLegendKey val="0"/>
            <c:showVal val="1"/>
            <c:showCatName val="0"/>
            <c:showSerName val="0"/>
            <c:showPercent val="0"/>
            <c:showBubbleSize val="0"/>
            <c:showLeaderLines val="0"/>
          </c:dLbls>
          <c:val>
            <c:numRef>
              <c:f>'Enquiry - Gateway'!$D$46</c:f>
              <c:numCache>
                <c:formatCode>0%</c:formatCode>
                <c:ptCount val="1"/>
                <c:pt idx="0">
                  <c:v>0.59475218658892126</c:v>
                </c:pt>
              </c:numCache>
            </c:numRef>
          </c:val>
        </c:ser>
        <c:ser>
          <c:idx val="5"/>
          <c:order val="2"/>
          <c:tx>
            <c:strRef>
              <c:f>'Enquiry - Gateway'!$B$51</c:f>
              <c:strCache>
                <c:ptCount val="1"/>
                <c:pt idx="0">
                  <c:v>Telephone</c:v>
                </c:pt>
              </c:strCache>
            </c:strRef>
          </c:tx>
          <c:spPr>
            <a:solidFill>
              <a:srgbClr val="FCBB69"/>
            </a:solidFill>
            <a:ln w="0">
              <a:solidFill>
                <a:schemeClr val="tx1"/>
              </a:solidFill>
            </a:ln>
          </c:spPr>
          <c:invertIfNegative val="0"/>
          <c:dLbls>
            <c:showLegendKey val="0"/>
            <c:showVal val="1"/>
            <c:showCatName val="0"/>
            <c:showSerName val="0"/>
            <c:showPercent val="0"/>
            <c:showBubbleSize val="0"/>
            <c:showLeaderLines val="0"/>
          </c:dLbls>
          <c:val>
            <c:numRef>
              <c:f>'Enquiry - Gateway'!$D$51</c:f>
              <c:numCache>
                <c:formatCode>0%</c:formatCode>
                <c:ptCount val="1"/>
                <c:pt idx="0">
                  <c:v>0.16253644314868804</c:v>
                </c:pt>
              </c:numCache>
            </c:numRef>
          </c:val>
        </c:ser>
        <c:ser>
          <c:idx val="3"/>
          <c:order val="3"/>
          <c:tx>
            <c:strRef>
              <c:f>'Enquiry - Gateway'!$B$49</c:f>
              <c:strCache>
                <c:ptCount val="1"/>
                <c:pt idx="0">
                  <c:v>Letter/Mail</c:v>
                </c:pt>
              </c:strCache>
            </c:strRef>
          </c:tx>
          <c:spPr>
            <a:solidFill>
              <a:srgbClr val="92D050"/>
            </a:solidFill>
            <a:ln w="0">
              <a:solidFill>
                <a:schemeClr val="tx1"/>
              </a:solidFill>
            </a:ln>
          </c:spPr>
          <c:invertIfNegative val="0"/>
          <c:val>
            <c:numRef>
              <c:f>'Enquiry - Gateway'!$D$49</c:f>
              <c:numCache>
                <c:formatCode>0%</c:formatCode>
                <c:ptCount val="1"/>
                <c:pt idx="0">
                  <c:v>2.9154518950437317E-3</c:v>
                </c:pt>
              </c:numCache>
            </c:numRef>
          </c:val>
        </c:ser>
        <c:ser>
          <c:idx val="1"/>
          <c:order val="4"/>
          <c:tx>
            <c:strRef>
              <c:f>'Enquiry - Gateway'!$B$47</c:f>
              <c:strCache>
                <c:ptCount val="1"/>
                <c:pt idx="0">
                  <c:v>Email</c:v>
                </c:pt>
              </c:strCache>
            </c:strRef>
          </c:tx>
          <c:spPr>
            <a:solidFill>
              <a:srgbClr val="57486B"/>
            </a:solidFill>
            <a:ln w="0">
              <a:solidFill>
                <a:schemeClr val="tx1"/>
              </a:solidFill>
            </a:ln>
          </c:spPr>
          <c:invertIfNegative val="0"/>
          <c:val>
            <c:numRef>
              <c:f>'Enquiry - Gateway'!$D$47</c:f>
              <c:numCache>
                <c:formatCode>0%</c:formatCode>
                <c:ptCount val="1"/>
                <c:pt idx="0">
                  <c:v>3.6443148688046646E-3</c:v>
                </c:pt>
              </c:numCache>
            </c:numRef>
          </c:val>
        </c:ser>
        <c:ser>
          <c:idx val="4"/>
          <c:order val="5"/>
          <c:tx>
            <c:strRef>
              <c:f>'Enquiry - Gateway'!$B$50</c:f>
              <c:strCache>
                <c:ptCount val="1"/>
                <c:pt idx="0">
                  <c:v>Social Media</c:v>
                </c:pt>
              </c:strCache>
            </c:strRef>
          </c:tx>
          <c:spPr>
            <a:solidFill>
              <a:srgbClr val="7030A0"/>
            </a:solidFill>
            <a:ln w="0">
              <a:solidFill>
                <a:schemeClr val="tx1"/>
              </a:solidFill>
            </a:ln>
          </c:spPr>
          <c:invertIfNegative val="0"/>
          <c:val>
            <c:numRef>
              <c:f>'Enquiry - Gateway'!$D$50</c:f>
              <c:numCache>
                <c:formatCode>0%</c:formatCode>
                <c:ptCount val="1"/>
                <c:pt idx="0">
                  <c:v>0</c:v>
                </c:pt>
              </c:numCache>
            </c:numRef>
          </c:val>
        </c:ser>
        <c:ser>
          <c:idx val="6"/>
          <c:order val="6"/>
          <c:tx>
            <c:strRef>
              <c:f>'Enquiry - Gateway'!$B$52</c:f>
              <c:strCache>
                <c:ptCount val="1"/>
                <c:pt idx="0">
                  <c:v>Webchat</c:v>
                </c:pt>
              </c:strCache>
            </c:strRef>
          </c:tx>
          <c:spPr>
            <a:solidFill>
              <a:schemeClr val="accent6">
                <a:lumMod val="75000"/>
              </a:schemeClr>
            </a:solidFill>
            <a:ln w="0">
              <a:solidFill>
                <a:schemeClr val="tx1"/>
              </a:solidFill>
            </a:ln>
          </c:spPr>
          <c:invertIfNegative val="0"/>
          <c:val>
            <c:numRef>
              <c:f>'Enquiry - Gateway'!$D$52</c:f>
              <c:numCache>
                <c:formatCode>0%</c:formatCode>
                <c:ptCount val="1"/>
                <c:pt idx="0">
                  <c:v>0</c:v>
                </c:pt>
              </c:numCache>
            </c:numRef>
          </c:val>
        </c:ser>
        <c:dLbls>
          <c:showLegendKey val="0"/>
          <c:showVal val="0"/>
          <c:showCatName val="0"/>
          <c:showSerName val="0"/>
          <c:showPercent val="0"/>
          <c:showBubbleSize val="0"/>
        </c:dLbls>
        <c:gapWidth val="100"/>
        <c:overlap val="100"/>
        <c:axId val="305322496"/>
        <c:axId val="308870464"/>
      </c:barChart>
      <c:valAx>
        <c:axId val="308870464"/>
        <c:scaling>
          <c:orientation val="minMax"/>
        </c:scaling>
        <c:delete val="0"/>
        <c:axPos val="b"/>
        <c:majorGridlines>
          <c:spPr>
            <a:ln>
              <a:solidFill>
                <a:schemeClr val="bg1">
                  <a:lumMod val="85000"/>
                </a:schemeClr>
              </a:solidFill>
            </a:ln>
          </c:spPr>
        </c:majorGridlines>
        <c:numFmt formatCode="0%" sourceLinked="1"/>
        <c:majorTickMark val="out"/>
        <c:minorTickMark val="none"/>
        <c:tickLblPos val="nextTo"/>
        <c:crossAx val="305322496"/>
        <c:crosses val="autoZero"/>
        <c:crossBetween val="between"/>
      </c:valAx>
      <c:catAx>
        <c:axId val="305322496"/>
        <c:scaling>
          <c:orientation val="minMax"/>
        </c:scaling>
        <c:delete val="1"/>
        <c:axPos val="l"/>
        <c:majorTickMark val="out"/>
        <c:minorTickMark val="none"/>
        <c:tickLblPos val="none"/>
        <c:crossAx val="308870464"/>
        <c:crosses val="autoZero"/>
        <c:auto val="1"/>
        <c:lblAlgn val="ctr"/>
        <c:lblOffset val="100"/>
        <c:noMultiLvlLbl val="0"/>
      </c:catAx>
    </c:plotArea>
    <c:legend>
      <c:legendPos val="r"/>
      <c:layout>
        <c:manualLayout>
          <c:xMode val="edge"/>
          <c:yMode val="edge"/>
          <c:x val="0.81397384133482997"/>
          <c:y val="1.9947827422034454E-2"/>
          <c:w val="0.14537042515859816"/>
          <c:h val="0.92944583413600701"/>
        </c:manualLayout>
      </c:layout>
      <c:overlay val="0"/>
      <c:txPr>
        <a:bodyPr/>
        <a:lstStyle/>
        <a:p>
          <a:pPr>
            <a:defRPr sz="1200" b="0"/>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barChart>
        <c:barDir val="bar"/>
        <c:grouping val="percentStacked"/>
        <c:varyColors val="0"/>
        <c:ser>
          <c:idx val="2"/>
          <c:order val="0"/>
          <c:tx>
            <c:strRef>
              <c:f>Contacts!$B$40</c:f>
              <c:strCache>
                <c:ptCount val="1"/>
                <c:pt idx="0">
                  <c:v>Face to Face</c:v>
                </c:pt>
              </c:strCache>
            </c:strRef>
          </c:tx>
          <c:spPr>
            <a:solidFill>
              <a:srgbClr val="57486B">
                <a:alpha val="50000"/>
              </a:srgbClr>
            </a:solidFill>
            <a:ln>
              <a:noFill/>
            </a:ln>
          </c:spPr>
          <c:invertIfNegative val="0"/>
          <c:cat>
            <c:strRef>
              <c:f>Contacts!$C$39:$E$39</c:f>
              <c:strCache>
                <c:ptCount val="3"/>
                <c:pt idx="0">
                  <c:v>Client</c:v>
                </c:pt>
                <c:pt idx="1">
                  <c:v>Third Party</c:v>
                </c:pt>
                <c:pt idx="2">
                  <c:v>Casework Prep</c:v>
                </c:pt>
              </c:strCache>
            </c:strRef>
          </c:cat>
          <c:val>
            <c:numRef>
              <c:f>Contacts!$C$40:$E$40</c:f>
              <c:numCache>
                <c:formatCode>#,##0</c:formatCode>
                <c:ptCount val="3"/>
                <c:pt idx="0">
                  <c:v>6898</c:v>
                </c:pt>
                <c:pt idx="1">
                  <c:v>70</c:v>
                </c:pt>
                <c:pt idx="2">
                  <c:v>30</c:v>
                </c:pt>
              </c:numCache>
            </c:numRef>
          </c:val>
        </c:ser>
        <c:ser>
          <c:idx val="0"/>
          <c:order val="1"/>
          <c:tx>
            <c:strRef>
              <c:f>Contacts!$B$41</c:f>
              <c:strCache>
                <c:ptCount val="1"/>
                <c:pt idx="0">
                  <c:v>Adviceline Phone</c:v>
                </c:pt>
              </c:strCache>
            </c:strRef>
          </c:tx>
          <c:spPr>
            <a:solidFill>
              <a:srgbClr val="FBF09F"/>
            </a:solidFill>
            <a:ln>
              <a:noFill/>
            </a:ln>
          </c:spPr>
          <c:invertIfNegative val="0"/>
          <c:cat>
            <c:strRef>
              <c:f>Contacts!$C$39:$E$39</c:f>
              <c:strCache>
                <c:ptCount val="3"/>
                <c:pt idx="0">
                  <c:v>Client</c:v>
                </c:pt>
                <c:pt idx="1">
                  <c:v>Third Party</c:v>
                </c:pt>
                <c:pt idx="2">
                  <c:v>Casework Prep</c:v>
                </c:pt>
              </c:strCache>
            </c:strRef>
          </c:cat>
          <c:val>
            <c:numRef>
              <c:f>Contacts!$C$41:$E$41</c:f>
              <c:numCache>
                <c:formatCode>#,##0</c:formatCode>
                <c:ptCount val="3"/>
                <c:pt idx="0">
                  <c:v>906</c:v>
                </c:pt>
                <c:pt idx="1">
                  <c:v>0</c:v>
                </c:pt>
                <c:pt idx="2">
                  <c:v>0</c:v>
                </c:pt>
              </c:numCache>
            </c:numRef>
          </c:val>
        </c:ser>
        <c:ser>
          <c:idx val="5"/>
          <c:order val="2"/>
          <c:tx>
            <c:strRef>
              <c:f>Contacts!$B$42</c:f>
              <c:strCache>
                <c:ptCount val="1"/>
                <c:pt idx="0">
                  <c:v>Telephone</c:v>
                </c:pt>
              </c:strCache>
            </c:strRef>
          </c:tx>
          <c:spPr>
            <a:solidFill>
              <a:srgbClr val="FCBB69"/>
            </a:solidFill>
            <a:ln>
              <a:noFill/>
            </a:ln>
          </c:spPr>
          <c:invertIfNegative val="0"/>
          <c:cat>
            <c:strRef>
              <c:f>Contacts!$C$39:$E$39</c:f>
              <c:strCache>
                <c:ptCount val="3"/>
                <c:pt idx="0">
                  <c:v>Client</c:v>
                </c:pt>
                <c:pt idx="1">
                  <c:v>Third Party</c:v>
                </c:pt>
                <c:pt idx="2">
                  <c:v>Casework Prep</c:v>
                </c:pt>
              </c:strCache>
            </c:strRef>
          </c:cat>
          <c:val>
            <c:numRef>
              <c:f>Contacts!$C$42:$E$42</c:f>
              <c:numCache>
                <c:formatCode>#,##0</c:formatCode>
                <c:ptCount val="3"/>
                <c:pt idx="0">
                  <c:v>3259</c:v>
                </c:pt>
                <c:pt idx="1">
                  <c:v>1475</c:v>
                </c:pt>
                <c:pt idx="2">
                  <c:v>135</c:v>
                </c:pt>
              </c:numCache>
            </c:numRef>
          </c:val>
        </c:ser>
        <c:ser>
          <c:idx val="3"/>
          <c:order val="3"/>
          <c:tx>
            <c:strRef>
              <c:f>Contacts!$B$43</c:f>
              <c:strCache>
                <c:ptCount val="1"/>
                <c:pt idx="0">
                  <c:v>Letter/Mail</c:v>
                </c:pt>
              </c:strCache>
            </c:strRef>
          </c:tx>
          <c:spPr>
            <a:solidFill>
              <a:srgbClr val="004B88"/>
            </a:solidFill>
            <a:ln>
              <a:noFill/>
            </a:ln>
          </c:spPr>
          <c:invertIfNegative val="0"/>
          <c:cat>
            <c:strRef>
              <c:f>Contacts!$C$39:$E$39</c:f>
              <c:strCache>
                <c:ptCount val="3"/>
                <c:pt idx="0">
                  <c:v>Client</c:v>
                </c:pt>
                <c:pt idx="1">
                  <c:v>Third Party</c:v>
                </c:pt>
                <c:pt idx="2">
                  <c:v>Casework Prep</c:v>
                </c:pt>
              </c:strCache>
            </c:strRef>
          </c:cat>
          <c:val>
            <c:numRef>
              <c:f>Contacts!$C$43:$E$43</c:f>
              <c:numCache>
                <c:formatCode>#,##0</c:formatCode>
                <c:ptCount val="3"/>
                <c:pt idx="0">
                  <c:v>6959</c:v>
                </c:pt>
                <c:pt idx="1">
                  <c:v>2378</c:v>
                </c:pt>
                <c:pt idx="2">
                  <c:v>2314</c:v>
                </c:pt>
              </c:numCache>
            </c:numRef>
          </c:val>
        </c:ser>
        <c:ser>
          <c:idx val="1"/>
          <c:order val="4"/>
          <c:tx>
            <c:strRef>
              <c:f>Contacts!$B$44</c:f>
              <c:strCache>
                <c:ptCount val="1"/>
                <c:pt idx="0">
                  <c:v>Email</c:v>
                </c:pt>
              </c:strCache>
            </c:strRef>
          </c:tx>
          <c:spPr>
            <a:solidFill>
              <a:srgbClr val="92D050"/>
            </a:solidFill>
            <a:ln>
              <a:noFill/>
            </a:ln>
          </c:spPr>
          <c:invertIfNegative val="0"/>
          <c:cat>
            <c:strRef>
              <c:f>Contacts!$C$39:$E$39</c:f>
              <c:strCache>
                <c:ptCount val="3"/>
                <c:pt idx="0">
                  <c:v>Client</c:v>
                </c:pt>
                <c:pt idx="1">
                  <c:v>Third Party</c:v>
                </c:pt>
                <c:pt idx="2">
                  <c:v>Casework Prep</c:v>
                </c:pt>
              </c:strCache>
            </c:strRef>
          </c:cat>
          <c:val>
            <c:numRef>
              <c:f>Contacts!$C$44:$E$44</c:f>
              <c:numCache>
                <c:formatCode>#,##0</c:formatCode>
                <c:ptCount val="3"/>
                <c:pt idx="0">
                  <c:v>948</c:v>
                </c:pt>
                <c:pt idx="1">
                  <c:v>1118</c:v>
                </c:pt>
                <c:pt idx="2">
                  <c:v>163</c:v>
                </c:pt>
              </c:numCache>
            </c:numRef>
          </c:val>
        </c:ser>
        <c:ser>
          <c:idx val="4"/>
          <c:order val="5"/>
          <c:tx>
            <c:strRef>
              <c:f>Contacts!$B$45</c:f>
              <c:strCache>
                <c:ptCount val="1"/>
                <c:pt idx="0">
                  <c:v>Social Media</c:v>
                </c:pt>
              </c:strCache>
            </c:strRef>
          </c:tx>
          <c:spPr>
            <a:solidFill>
              <a:schemeClr val="accent6">
                <a:lumMod val="75000"/>
              </a:schemeClr>
            </a:solidFill>
            <a:ln>
              <a:noFill/>
            </a:ln>
          </c:spPr>
          <c:invertIfNegative val="0"/>
          <c:cat>
            <c:strRef>
              <c:f>Contacts!$C$39:$E$39</c:f>
              <c:strCache>
                <c:ptCount val="3"/>
                <c:pt idx="0">
                  <c:v>Client</c:v>
                </c:pt>
                <c:pt idx="1">
                  <c:v>Third Party</c:v>
                </c:pt>
                <c:pt idx="2">
                  <c:v>Casework Prep</c:v>
                </c:pt>
              </c:strCache>
            </c:strRef>
          </c:cat>
          <c:val>
            <c:numRef>
              <c:f>Contacts!$C$45:$E$45</c:f>
              <c:numCache>
                <c:formatCode>#,##0</c:formatCode>
                <c:ptCount val="3"/>
                <c:pt idx="0">
                  <c:v>0</c:v>
                </c:pt>
                <c:pt idx="1">
                  <c:v>0</c:v>
                </c:pt>
                <c:pt idx="2">
                  <c:v>0</c:v>
                </c:pt>
              </c:numCache>
            </c:numRef>
          </c:val>
        </c:ser>
        <c:ser>
          <c:idx val="6"/>
          <c:order val="6"/>
          <c:tx>
            <c:strRef>
              <c:f>Contacts!$B$46</c:f>
              <c:strCache>
                <c:ptCount val="1"/>
                <c:pt idx="0">
                  <c:v>Webchat</c:v>
                </c:pt>
              </c:strCache>
            </c:strRef>
          </c:tx>
          <c:spPr>
            <a:solidFill>
              <a:schemeClr val="bg2">
                <a:lumMod val="25000"/>
              </a:schemeClr>
            </a:solidFill>
            <a:ln>
              <a:noFill/>
            </a:ln>
          </c:spPr>
          <c:invertIfNegative val="0"/>
          <c:cat>
            <c:strRef>
              <c:f>Contacts!$C$39:$E$39</c:f>
              <c:strCache>
                <c:ptCount val="3"/>
                <c:pt idx="0">
                  <c:v>Client</c:v>
                </c:pt>
                <c:pt idx="1">
                  <c:v>Third Party</c:v>
                </c:pt>
                <c:pt idx="2">
                  <c:v>Casework Prep</c:v>
                </c:pt>
              </c:strCache>
            </c:strRef>
          </c:cat>
          <c:val>
            <c:numRef>
              <c:f>Contacts!$C$46:$E$46</c:f>
              <c:numCache>
                <c:formatCode>#,##0</c:formatCode>
                <c:ptCount val="3"/>
                <c:pt idx="0">
                  <c:v>0</c:v>
                </c:pt>
                <c:pt idx="1">
                  <c:v>0</c:v>
                </c:pt>
                <c:pt idx="2">
                  <c:v>0</c:v>
                </c:pt>
              </c:numCache>
            </c:numRef>
          </c:val>
        </c:ser>
        <c:dLbls>
          <c:showLegendKey val="0"/>
          <c:showVal val="0"/>
          <c:showCatName val="0"/>
          <c:showSerName val="0"/>
          <c:showPercent val="0"/>
          <c:showBubbleSize val="0"/>
        </c:dLbls>
        <c:gapWidth val="150"/>
        <c:overlap val="100"/>
        <c:axId val="309989888"/>
        <c:axId val="306415296"/>
      </c:barChart>
      <c:catAx>
        <c:axId val="309989888"/>
        <c:scaling>
          <c:orientation val="minMax"/>
        </c:scaling>
        <c:delete val="0"/>
        <c:axPos val="l"/>
        <c:majorTickMark val="out"/>
        <c:minorTickMark val="none"/>
        <c:tickLblPos val="nextTo"/>
        <c:txPr>
          <a:bodyPr/>
          <a:lstStyle/>
          <a:p>
            <a:pPr>
              <a:defRPr sz="1200" b="1"/>
            </a:pPr>
            <a:endParaRPr lang="en-US"/>
          </a:p>
        </c:txPr>
        <c:crossAx val="306415296"/>
        <c:crosses val="autoZero"/>
        <c:auto val="1"/>
        <c:lblAlgn val="ctr"/>
        <c:lblOffset val="100"/>
        <c:noMultiLvlLbl val="0"/>
      </c:catAx>
      <c:valAx>
        <c:axId val="306415296"/>
        <c:scaling>
          <c:orientation val="minMax"/>
        </c:scaling>
        <c:delete val="0"/>
        <c:axPos val="b"/>
        <c:majorGridlines>
          <c:spPr>
            <a:ln>
              <a:noFill/>
            </a:ln>
          </c:spPr>
        </c:majorGridlines>
        <c:numFmt formatCode="0%" sourceLinked="1"/>
        <c:majorTickMark val="out"/>
        <c:minorTickMark val="none"/>
        <c:tickLblPos val="nextTo"/>
        <c:txPr>
          <a:bodyPr/>
          <a:lstStyle/>
          <a:p>
            <a:pPr>
              <a:defRPr b="1"/>
            </a:pPr>
            <a:endParaRPr lang="en-US"/>
          </a:p>
        </c:txPr>
        <c:crossAx val="309989888"/>
        <c:crosses val="autoZero"/>
        <c:crossBetween val="between"/>
      </c:valAx>
      <c:spPr>
        <a:noFill/>
      </c:spPr>
    </c:plotArea>
    <c:legend>
      <c:legendPos val="r"/>
      <c:layout>
        <c:manualLayout>
          <c:xMode val="edge"/>
          <c:yMode val="edge"/>
          <c:x val="0.90512082052326137"/>
          <c:y val="0.16069335083114611"/>
          <c:w val="9.1227607112491227E-2"/>
          <c:h val="0.62532261592300964"/>
        </c:manualLayout>
      </c:layout>
      <c:overlay val="0"/>
      <c:txPr>
        <a:bodyPr/>
        <a:lstStyle/>
        <a:p>
          <a:pPr>
            <a:defRPr sz="1100" b="1"/>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1"/>
    <c:plotArea>
      <c:layout>
        <c:manualLayout>
          <c:layoutTarget val="inner"/>
          <c:xMode val="edge"/>
          <c:yMode val="edge"/>
          <c:x val="6.0812335958005281E-2"/>
          <c:y val="5.0925925925925923E-2"/>
          <c:w val="0.55555555555555569"/>
          <c:h val="0.92592592592592582"/>
        </c:manualLayout>
      </c:layout>
      <c:pieChart>
        <c:varyColors val="1"/>
        <c:ser>
          <c:idx val="0"/>
          <c:order val="0"/>
          <c:tx>
            <c:strRef>
              <c:f>Client_Profile!$C$16</c:f>
              <c:strCache>
                <c:ptCount val="1"/>
                <c:pt idx="0">
                  <c:v>Clients</c:v>
                </c:pt>
              </c:strCache>
            </c:strRef>
          </c:tx>
          <c:spPr>
            <a:ln>
              <a:noFill/>
            </a:ln>
          </c:spPr>
          <c:dPt>
            <c:idx val="0"/>
            <c:bubble3D val="0"/>
            <c:spPr>
              <a:solidFill>
                <a:srgbClr val="004B88"/>
              </a:solidFill>
              <a:ln>
                <a:noFill/>
              </a:ln>
            </c:spPr>
          </c:dPt>
          <c:dPt>
            <c:idx val="1"/>
            <c:bubble3D val="0"/>
            <c:spPr>
              <a:solidFill>
                <a:srgbClr val="FCBB69"/>
              </a:solidFill>
              <a:ln>
                <a:noFill/>
              </a:ln>
            </c:spPr>
          </c:dPt>
          <c:dLbls>
            <c:txPr>
              <a:bodyPr/>
              <a:lstStyle/>
              <a:p>
                <a:pPr>
                  <a:defRPr sz="1100" b="1"/>
                </a:pPr>
                <a:endParaRPr lang="en-US"/>
              </a:p>
            </c:txPr>
            <c:showLegendKey val="0"/>
            <c:showVal val="0"/>
            <c:showCatName val="0"/>
            <c:showSerName val="0"/>
            <c:showPercent val="1"/>
            <c:showBubbleSize val="0"/>
            <c:showLeaderLines val="1"/>
          </c:dLbls>
          <c:cat>
            <c:strRef>
              <c:f>Client_Profile!$B$17:$B$21</c:f>
              <c:strCache>
                <c:ptCount val="5"/>
                <c:pt idx="0">
                  <c:v>Female</c:v>
                </c:pt>
                <c:pt idx="1">
                  <c:v>Male</c:v>
                </c:pt>
                <c:pt idx="2">
                  <c:v>Trans</c:v>
                </c:pt>
                <c:pt idx="3">
                  <c:v>Trans - Female</c:v>
                </c:pt>
                <c:pt idx="4">
                  <c:v>Trans - Male</c:v>
                </c:pt>
              </c:strCache>
            </c:strRef>
          </c:cat>
          <c:val>
            <c:numRef>
              <c:f>Client_Profile!$C$17:$C$21</c:f>
              <c:numCache>
                <c:formatCode>#,##0</c:formatCode>
                <c:ptCount val="5"/>
                <c:pt idx="0">
                  <c:v>2494</c:v>
                </c:pt>
                <c:pt idx="1">
                  <c:v>1560</c:v>
                </c:pt>
                <c:pt idx="2">
                  <c:v>6</c:v>
                </c:pt>
                <c:pt idx="3">
                  <c:v>0</c:v>
                </c:pt>
                <c:pt idx="4">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008257563793068"/>
          <c:y val="2.8901468397531386E-2"/>
          <c:w val="0.37478839525320418"/>
          <c:h val="0.90514109384975538"/>
        </c:manualLayout>
      </c:layout>
      <c:overlay val="0"/>
      <c:txPr>
        <a:bodyPr/>
        <a:lstStyle/>
        <a:p>
          <a:pPr>
            <a:defRPr sz="1200" b="1"/>
          </a:pPr>
          <a:endParaRPr lang="en-U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1"/>
    <c:plotArea>
      <c:layout/>
      <c:barChart>
        <c:barDir val="col"/>
        <c:grouping val="clustered"/>
        <c:varyColors val="0"/>
        <c:ser>
          <c:idx val="0"/>
          <c:order val="0"/>
          <c:spPr>
            <a:solidFill>
              <a:srgbClr val="004B88"/>
            </a:solidFill>
            <a:ln>
              <a:noFill/>
            </a:ln>
          </c:spPr>
          <c:invertIfNegative val="0"/>
          <c:cat>
            <c:strRef>
              <c:f>Client_Profile!$B$31:$B$48</c:f>
              <c:strCache>
                <c:ptCount val="18"/>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85-89</c:v>
                </c:pt>
                <c:pt idx="16">
                  <c:v>90-94</c:v>
                </c:pt>
                <c:pt idx="17">
                  <c:v>95-99</c:v>
                </c:pt>
              </c:strCache>
            </c:strRef>
          </c:cat>
          <c:val>
            <c:numRef>
              <c:f>Client_Profile!$C$31:$C$49</c:f>
              <c:numCache>
                <c:formatCode>#,##0</c:formatCode>
                <c:ptCount val="19"/>
                <c:pt idx="0">
                  <c:v>0</c:v>
                </c:pt>
                <c:pt idx="1">
                  <c:v>44</c:v>
                </c:pt>
                <c:pt idx="2">
                  <c:v>259</c:v>
                </c:pt>
                <c:pt idx="3">
                  <c:v>455</c:v>
                </c:pt>
                <c:pt idx="4">
                  <c:v>455</c:v>
                </c:pt>
                <c:pt idx="5">
                  <c:v>451</c:v>
                </c:pt>
                <c:pt idx="6">
                  <c:v>374</c:v>
                </c:pt>
                <c:pt idx="7">
                  <c:v>449</c:v>
                </c:pt>
                <c:pt idx="8">
                  <c:v>427</c:v>
                </c:pt>
                <c:pt idx="9">
                  <c:v>363</c:v>
                </c:pt>
                <c:pt idx="10">
                  <c:v>299</c:v>
                </c:pt>
                <c:pt idx="11">
                  <c:v>196</c:v>
                </c:pt>
                <c:pt idx="12">
                  <c:v>93</c:v>
                </c:pt>
                <c:pt idx="13">
                  <c:v>88</c:v>
                </c:pt>
                <c:pt idx="14">
                  <c:v>33</c:v>
                </c:pt>
                <c:pt idx="15">
                  <c:v>28</c:v>
                </c:pt>
                <c:pt idx="16">
                  <c:v>3</c:v>
                </c:pt>
                <c:pt idx="17">
                  <c:v>3</c:v>
                </c:pt>
                <c:pt idx="18">
                  <c:v>0</c:v>
                </c:pt>
              </c:numCache>
            </c:numRef>
          </c:val>
        </c:ser>
        <c:dLbls>
          <c:showLegendKey val="0"/>
          <c:showVal val="0"/>
          <c:showCatName val="0"/>
          <c:showSerName val="0"/>
          <c:showPercent val="0"/>
          <c:showBubbleSize val="0"/>
        </c:dLbls>
        <c:gapWidth val="150"/>
        <c:axId val="310353920"/>
        <c:axId val="306419904"/>
      </c:barChart>
      <c:catAx>
        <c:axId val="310353920"/>
        <c:scaling>
          <c:orientation val="minMax"/>
        </c:scaling>
        <c:delete val="0"/>
        <c:axPos val="b"/>
        <c:numFmt formatCode="General" sourceLinked="1"/>
        <c:majorTickMark val="out"/>
        <c:minorTickMark val="none"/>
        <c:tickLblPos val="nextTo"/>
        <c:txPr>
          <a:bodyPr/>
          <a:lstStyle/>
          <a:p>
            <a:pPr>
              <a:defRPr b="1"/>
            </a:pPr>
            <a:endParaRPr lang="en-US"/>
          </a:p>
        </c:txPr>
        <c:crossAx val="306419904"/>
        <c:crosses val="autoZero"/>
        <c:auto val="1"/>
        <c:lblAlgn val="ctr"/>
        <c:lblOffset val="100"/>
        <c:noMultiLvlLbl val="0"/>
      </c:catAx>
      <c:valAx>
        <c:axId val="306419904"/>
        <c:scaling>
          <c:orientation val="minMax"/>
        </c:scaling>
        <c:delete val="0"/>
        <c:axPos val="l"/>
        <c:majorGridlines>
          <c:spPr>
            <a:ln>
              <a:noFill/>
            </a:ln>
          </c:spPr>
        </c:majorGridlines>
        <c:numFmt formatCode="#,##0" sourceLinked="1"/>
        <c:majorTickMark val="out"/>
        <c:minorTickMark val="none"/>
        <c:tickLblPos val="nextTo"/>
        <c:txPr>
          <a:bodyPr/>
          <a:lstStyle/>
          <a:p>
            <a:pPr>
              <a:defRPr b="1"/>
            </a:pPr>
            <a:endParaRPr lang="en-US"/>
          </a:p>
        </c:txPr>
        <c:crossAx val="310353920"/>
        <c:crosses val="autoZero"/>
        <c:crossBetween val="between"/>
      </c:valAx>
      <c:spPr>
        <a:noFill/>
      </c:spPr>
    </c:plotArea>
    <c:plotVisOnly val="0"/>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1"/>
    <c:plotArea>
      <c:layout>
        <c:manualLayout>
          <c:layoutTarget val="inner"/>
          <c:xMode val="edge"/>
          <c:yMode val="edge"/>
          <c:x val="0.1032298923369221"/>
          <c:y val="2.0602232413256144E-3"/>
          <c:w val="0.47981158325512313"/>
          <c:h val="0.97939603703383249"/>
        </c:manualLayout>
      </c:layout>
      <c:pieChart>
        <c:varyColors val="1"/>
        <c:ser>
          <c:idx val="0"/>
          <c:order val="0"/>
          <c:spPr>
            <a:ln>
              <a:noFill/>
            </a:ln>
          </c:spPr>
          <c:dPt>
            <c:idx val="0"/>
            <c:bubble3D val="0"/>
            <c:spPr>
              <a:solidFill>
                <a:srgbClr val="004B88"/>
              </a:solidFill>
              <a:ln>
                <a:noFill/>
              </a:ln>
            </c:spPr>
          </c:dPt>
          <c:dPt>
            <c:idx val="1"/>
            <c:bubble3D val="0"/>
            <c:spPr>
              <a:solidFill>
                <a:srgbClr val="FCBB69"/>
              </a:solidFill>
              <a:ln>
                <a:noFill/>
              </a:ln>
            </c:spPr>
          </c:dPt>
          <c:dPt>
            <c:idx val="2"/>
            <c:bubble3D val="0"/>
            <c:spPr>
              <a:solidFill>
                <a:schemeClr val="tx2">
                  <a:lumMod val="60000"/>
                  <a:lumOff val="40000"/>
                </a:schemeClr>
              </a:solidFill>
              <a:ln>
                <a:noFill/>
              </a:ln>
            </c:spPr>
          </c:dPt>
          <c:dLbls>
            <c:dLbl>
              <c:idx val="0"/>
              <c:spPr/>
              <c:txPr>
                <a:bodyPr/>
                <a:lstStyle/>
                <a:p>
                  <a:pPr>
                    <a:defRPr sz="1100" b="1">
                      <a:solidFill>
                        <a:schemeClr val="bg1"/>
                      </a:solidFill>
                    </a:defRPr>
                  </a:pPr>
                  <a:endParaRPr lang="en-US"/>
                </a:p>
              </c:txPr>
              <c:showLegendKey val="0"/>
              <c:showVal val="0"/>
              <c:showCatName val="0"/>
              <c:showSerName val="0"/>
              <c:showPercent val="1"/>
              <c:showBubbleSize val="0"/>
            </c:dLbl>
            <c:txPr>
              <a:bodyPr/>
              <a:lstStyle/>
              <a:p>
                <a:pPr>
                  <a:defRPr sz="1100" b="1"/>
                </a:pPr>
                <a:endParaRPr lang="en-US"/>
              </a:p>
            </c:txPr>
            <c:showLegendKey val="0"/>
            <c:showVal val="0"/>
            <c:showCatName val="0"/>
            <c:showSerName val="0"/>
            <c:showPercent val="1"/>
            <c:showBubbleSize val="0"/>
            <c:showLeaderLines val="1"/>
          </c:dLbls>
          <c:cat>
            <c:strRef>
              <c:f>Dashboard!$CB$18:$CB$19</c:f>
              <c:strCache>
                <c:ptCount val="2"/>
                <c:pt idx="0">
                  <c:v>Disabled or LTH condition</c:v>
                </c:pt>
                <c:pt idx="1">
                  <c:v>Not disabled/no health problems</c:v>
                </c:pt>
              </c:strCache>
            </c:strRef>
          </c:cat>
          <c:val>
            <c:numRef>
              <c:f>Dashboard!$CD$18:$CD$19</c:f>
              <c:numCache>
                <c:formatCode>0%</c:formatCode>
                <c:ptCount val="2"/>
                <c:pt idx="0">
                  <c:v>0.49635886979318378</c:v>
                </c:pt>
                <c:pt idx="1">
                  <c:v>0.50364113020681622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a:defRPr b="1"/>
          </a:pPr>
          <a:endParaRPr lang="en-US"/>
        </a:p>
      </c:txPr>
    </c:legend>
    <c:plotVisOnly val="0"/>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5.8277698014885825E-2"/>
          <c:y val="5.1400554097404488E-2"/>
          <c:w val="0.51019266665768981"/>
          <c:h val="0.89719889180519108"/>
        </c:manualLayout>
      </c:layout>
      <c:barChart>
        <c:barDir val="col"/>
        <c:grouping val="clustered"/>
        <c:varyColors val="0"/>
        <c:ser>
          <c:idx val="0"/>
          <c:order val="0"/>
          <c:tx>
            <c:strRef>
              <c:f>Client_Profile!$B$100</c:f>
              <c:strCache>
                <c:ptCount val="1"/>
                <c:pt idx="0">
                  <c:v>Cognitive Impairment</c:v>
                </c:pt>
              </c:strCache>
            </c:strRef>
          </c:tx>
          <c:spPr>
            <a:solidFill>
              <a:schemeClr val="accent2">
                <a:lumMod val="75000"/>
                <a:alpha val="50000"/>
              </a:schemeClr>
            </a:solidFill>
            <a:ln>
              <a:noFill/>
            </a:ln>
          </c:spPr>
          <c:invertIfNegative val="0"/>
          <c:dLbls>
            <c:txPr>
              <a:bodyPr/>
              <a:lstStyle/>
              <a:p>
                <a:pPr>
                  <a:defRPr b="1"/>
                </a:pPr>
                <a:endParaRPr lang="en-US"/>
              </a:p>
            </c:txPr>
            <c:showLegendKey val="0"/>
            <c:showVal val="1"/>
            <c:showCatName val="0"/>
            <c:showSerName val="0"/>
            <c:showPercent val="0"/>
            <c:showBubbleSize val="0"/>
            <c:showLeaderLines val="0"/>
          </c:dLbls>
          <c:val>
            <c:numRef>
              <c:f>Client_Profile!$C$100</c:f>
              <c:numCache>
                <c:formatCode>#,##0</c:formatCode>
                <c:ptCount val="1"/>
                <c:pt idx="0">
                  <c:v>10</c:v>
                </c:pt>
              </c:numCache>
            </c:numRef>
          </c:val>
        </c:ser>
        <c:ser>
          <c:idx val="1"/>
          <c:order val="1"/>
          <c:tx>
            <c:strRef>
              <c:f>Client_Profile!$B$101</c:f>
              <c:strCache>
                <c:ptCount val="1"/>
                <c:pt idx="0">
                  <c:v>Deaf</c:v>
                </c:pt>
              </c:strCache>
            </c:strRef>
          </c:tx>
          <c:spPr>
            <a:solidFill>
              <a:schemeClr val="accent3">
                <a:lumMod val="75000"/>
                <a:alpha val="50000"/>
              </a:schemeClr>
            </a:solidFill>
            <a:ln>
              <a:noFill/>
            </a:ln>
          </c:spPr>
          <c:invertIfNegative val="0"/>
          <c:dLbls>
            <c:txPr>
              <a:bodyPr/>
              <a:lstStyle/>
              <a:p>
                <a:pPr>
                  <a:defRPr b="1"/>
                </a:pPr>
                <a:endParaRPr lang="en-US"/>
              </a:p>
            </c:txPr>
            <c:showLegendKey val="0"/>
            <c:showVal val="1"/>
            <c:showCatName val="0"/>
            <c:showSerName val="0"/>
            <c:showPercent val="0"/>
            <c:showBubbleSize val="0"/>
            <c:showLeaderLines val="0"/>
          </c:dLbls>
          <c:val>
            <c:numRef>
              <c:f>Client_Profile!$C$101</c:f>
              <c:numCache>
                <c:formatCode>#,##0</c:formatCode>
                <c:ptCount val="1"/>
                <c:pt idx="0">
                  <c:v>7</c:v>
                </c:pt>
              </c:numCache>
            </c:numRef>
          </c:val>
        </c:ser>
        <c:ser>
          <c:idx val="2"/>
          <c:order val="2"/>
          <c:tx>
            <c:strRef>
              <c:f>Client_Profile!$B$102</c:f>
              <c:strCache>
                <c:ptCount val="1"/>
                <c:pt idx="0">
                  <c:v>Hearing Impairment</c:v>
                </c:pt>
              </c:strCache>
            </c:strRef>
          </c:tx>
          <c:spPr>
            <a:solidFill>
              <a:schemeClr val="bg2">
                <a:lumMod val="75000"/>
              </a:schemeClr>
            </a:solidFill>
            <a:ln>
              <a:noFill/>
            </a:ln>
          </c:spPr>
          <c:invertIfNegative val="0"/>
          <c:dLbls>
            <c:txPr>
              <a:bodyPr/>
              <a:lstStyle/>
              <a:p>
                <a:pPr>
                  <a:defRPr b="1"/>
                </a:pPr>
                <a:endParaRPr lang="en-US"/>
              </a:p>
            </c:txPr>
            <c:showLegendKey val="0"/>
            <c:showVal val="1"/>
            <c:showCatName val="0"/>
            <c:showSerName val="0"/>
            <c:showPercent val="0"/>
            <c:showBubbleSize val="0"/>
            <c:showLeaderLines val="0"/>
          </c:dLbls>
          <c:val>
            <c:numRef>
              <c:f>Client_Profile!$C$102</c:f>
              <c:numCache>
                <c:formatCode>#,##0</c:formatCode>
                <c:ptCount val="1"/>
                <c:pt idx="0">
                  <c:v>25</c:v>
                </c:pt>
              </c:numCache>
            </c:numRef>
          </c:val>
        </c:ser>
        <c:ser>
          <c:idx val="3"/>
          <c:order val="3"/>
          <c:tx>
            <c:strRef>
              <c:f>Client_Profile!$B$103</c:f>
              <c:strCache>
                <c:ptCount val="1"/>
                <c:pt idx="0">
                  <c:v>Learning Difficulty</c:v>
                </c:pt>
              </c:strCache>
            </c:strRef>
          </c:tx>
          <c:spPr>
            <a:solidFill>
              <a:schemeClr val="accent6">
                <a:lumMod val="60000"/>
                <a:lumOff val="40000"/>
              </a:schemeClr>
            </a:solidFill>
            <a:ln>
              <a:noFill/>
            </a:ln>
          </c:spPr>
          <c:invertIfNegative val="0"/>
          <c:dLbls>
            <c:txPr>
              <a:bodyPr/>
              <a:lstStyle/>
              <a:p>
                <a:pPr>
                  <a:defRPr b="1"/>
                </a:pPr>
                <a:endParaRPr lang="en-US"/>
              </a:p>
            </c:txPr>
            <c:showLegendKey val="0"/>
            <c:showVal val="1"/>
            <c:showCatName val="0"/>
            <c:showSerName val="0"/>
            <c:showPercent val="0"/>
            <c:showBubbleSize val="0"/>
            <c:showLeaderLines val="0"/>
          </c:dLbls>
          <c:val>
            <c:numRef>
              <c:f>Client_Profile!$C$103</c:f>
              <c:numCache>
                <c:formatCode>#,##0</c:formatCode>
                <c:ptCount val="1"/>
                <c:pt idx="0">
                  <c:v>29</c:v>
                </c:pt>
              </c:numCache>
            </c:numRef>
          </c:val>
        </c:ser>
        <c:ser>
          <c:idx val="4"/>
          <c:order val="4"/>
          <c:tx>
            <c:strRef>
              <c:f>Client_Profile!$B$104</c:f>
              <c:strCache>
                <c:ptCount val="1"/>
                <c:pt idx="0">
                  <c:v>Mental Health</c:v>
                </c:pt>
              </c:strCache>
            </c:strRef>
          </c:tx>
          <c:spPr>
            <a:solidFill>
              <a:srgbClr val="FCBB69"/>
            </a:solidFill>
            <a:ln>
              <a:noFill/>
            </a:ln>
          </c:spPr>
          <c:invertIfNegative val="0"/>
          <c:dLbls>
            <c:txPr>
              <a:bodyPr/>
              <a:lstStyle/>
              <a:p>
                <a:pPr>
                  <a:defRPr b="1"/>
                </a:pPr>
                <a:endParaRPr lang="en-US"/>
              </a:p>
            </c:txPr>
            <c:showLegendKey val="0"/>
            <c:showVal val="1"/>
            <c:showCatName val="0"/>
            <c:showSerName val="0"/>
            <c:showPercent val="0"/>
            <c:showBubbleSize val="0"/>
            <c:showLeaderLines val="0"/>
          </c:dLbls>
          <c:val>
            <c:numRef>
              <c:f>Client_Profile!$C$104</c:f>
              <c:numCache>
                <c:formatCode>#,##0</c:formatCode>
                <c:ptCount val="1"/>
                <c:pt idx="0">
                  <c:v>445</c:v>
                </c:pt>
              </c:numCache>
            </c:numRef>
          </c:val>
        </c:ser>
        <c:ser>
          <c:idx val="5"/>
          <c:order val="5"/>
          <c:tx>
            <c:strRef>
              <c:f>Client_Profile!$B$105</c:f>
              <c:strCache>
                <c:ptCount val="1"/>
                <c:pt idx="0">
                  <c:v>Physical Impairment (non-sensory)</c:v>
                </c:pt>
              </c:strCache>
            </c:strRef>
          </c:tx>
          <c:spPr>
            <a:solidFill>
              <a:srgbClr val="92D050"/>
            </a:solidFill>
            <a:ln>
              <a:noFill/>
            </a:ln>
          </c:spPr>
          <c:invertIfNegative val="0"/>
          <c:dLbls>
            <c:txPr>
              <a:bodyPr/>
              <a:lstStyle/>
              <a:p>
                <a:pPr>
                  <a:defRPr b="1"/>
                </a:pPr>
                <a:endParaRPr lang="en-US"/>
              </a:p>
            </c:txPr>
            <c:showLegendKey val="0"/>
            <c:showVal val="1"/>
            <c:showCatName val="0"/>
            <c:showSerName val="0"/>
            <c:showPercent val="0"/>
            <c:showBubbleSize val="0"/>
            <c:showLeaderLines val="0"/>
          </c:dLbls>
          <c:val>
            <c:numRef>
              <c:f>Client_Profile!$C$105</c:f>
              <c:numCache>
                <c:formatCode>#,##0</c:formatCode>
                <c:ptCount val="1"/>
                <c:pt idx="0">
                  <c:v>310</c:v>
                </c:pt>
              </c:numCache>
            </c:numRef>
          </c:val>
        </c:ser>
        <c:ser>
          <c:idx val="6"/>
          <c:order val="6"/>
          <c:tx>
            <c:strRef>
              <c:f>Client_Profile!$B$106</c:f>
              <c:strCache>
                <c:ptCount val="1"/>
                <c:pt idx="0">
                  <c:v>Visual Impairment</c:v>
                </c:pt>
              </c:strCache>
            </c:strRef>
          </c:tx>
          <c:spPr>
            <a:solidFill>
              <a:schemeClr val="accent6">
                <a:lumMod val="75000"/>
              </a:schemeClr>
            </a:solidFill>
            <a:ln>
              <a:noFill/>
            </a:ln>
          </c:spPr>
          <c:invertIfNegative val="0"/>
          <c:dLbls>
            <c:txPr>
              <a:bodyPr/>
              <a:lstStyle/>
              <a:p>
                <a:pPr>
                  <a:defRPr b="1"/>
                </a:pPr>
                <a:endParaRPr lang="en-US"/>
              </a:p>
            </c:txPr>
            <c:showLegendKey val="0"/>
            <c:showVal val="1"/>
            <c:showCatName val="0"/>
            <c:showSerName val="0"/>
            <c:showPercent val="0"/>
            <c:showBubbleSize val="0"/>
            <c:showLeaderLines val="0"/>
          </c:dLbls>
          <c:val>
            <c:numRef>
              <c:f>Client_Profile!$C$106</c:f>
              <c:numCache>
                <c:formatCode>#,##0</c:formatCode>
                <c:ptCount val="1"/>
                <c:pt idx="0">
                  <c:v>20</c:v>
                </c:pt>
              </c:numCache>
            </c:numRef>
          </c:val>
        </c:ser>
        <c:ser>
          <c:idx val="7"/>
          <c:order val="7"/>
          <c:tx>
            <c:strRef>
              <c:f>Client_Profile!$B$107</c:f>
              <c:strCache>
                <c:ptCount val="1"/>
                <c:pt idx="0">
                  <c:v>Long-Term Health Condition</c:v>
                </c:pt>
              </c:strCache>
            </c:strRef>
          </c:tx>
          <c:spPr>
            <a:solidFill>
              <a:schemeClr val="tx2">
                <a:lumMod val="60000"/>
                <a:lumOff val="40000"/>
              </a:schemeClr>
            </a:solidFill>
            <a:ln>
              <a:noFill/>
            </a:ln>
          </c:spPr>
          <c:invertIfNegative val="0"/>
          <c:dPt>
            <c:idx val="0"/>
            <c:invertIfNegative val="0"/>
            <c:bubble3D val="0"/>
            <c:spPr>
              <a:solidFill>
                <a:srgbClr val="004B88"/>
              </a:solidFill>
              <a:ln>
                <a:noFill/>
              </a:ln>
            </c:spPr>
          </c:dPt>
          <c:dLbls>
            <c:txPr>
              <a:bodyPr/>
              <a:lstStyle/>
              <a:p>
                <a:pPr>
                  <a:defRPr b="1"/>
                </a:pPr>
                <a:endParaRPr lang="en-US"/>
              </a:p>
            </c:txPr>
            <c:showLegendKey val="0"/>
            <c:showVal val="1"/>
            <c:showCatName val="0"/>
            <c:showSerName val="0"/>
            <c:showPercent val="0"/>
            <c:showBubbleSize val="0"/>
            <c:showLeaderLines val="0"/>
          </c:dLbls>
          <c:val>
            <c:numRef>
              <c:f>Client_Profile!$C$107</c:f>
              <c:numCache>
                <c:formatCode>#,##0</c:formatCode>
                <c:ptCount val="1"/>
                <c:pt idx="0">
                  <c:v>667</c:v>
                </c:pt>
              </c:numCache>
            </c:numRef>
          </c:val>
        </c:ser>
        <c:ser>
          <c:idx val="8"/>
          <c:order val="8"/>
          <c:tx>
            <c:strRef>
              <c:f>Client_Profile!$B$108</c:f>
              <c:strCache>
                <c:ptCount val="1"/>
                <c:pt idx="0">
                  <c:v>Multiple Impairments</c:v>
                </c:pt>
              </c:strCache>
            </c:strRef>
          </c:tx>
          <c:spPr>
            <a:solidFill>
              <a:srgbClr val="8064A2"/>
            </a:solidFill>
            <a:ln>
              <a:noFill/>
            </a:ln>
          </c:spPr>
          <c:invertIfNegative val="0"/>
          <c:dLbls>
            <c:txPr>
              <a:bodyPr/>
              <a:lstStyle/>
              <a:p>
                <a:pPr>
                  <a:defRPr b="1"/>
                </a:pPr>
                <a:endParaRPr lang="en-US"/>
              </a:p>
            </c:txPr>
            <c:showLegendKey val="0"/>
            <c:showVal val="1"/>
            <c:showCatName val="0"/>
            <c:showSerName val="0"/>
            <c:showPercent val="0"/>
            <c:showBubbleSize val="0"/>
            <c:showLeaderLines val="0"/>
          </c:dLbls>
          <c:val>
            <c:numRef>
              <c:f>Client_Profile!$C$108</c:f>
              <c:numCache>
                <c:formatCode>#,##0</c:formatCode>
                <c:ptCount val="1"/>
                <c:pt idx="0">
                  <c:v>93</c:v>
                </c:pt>
              </c:numCache>
            </c:numRef>
          </c:val>
        </c:ser>
        <c:ser>
          <c:idx val="9"/>
          <c:order val="9"/>
          <c:tx>
            <c:strRef>
              <c:f>Client_Profile!$B$109</c:f>
              <c:strCache>
                <c:ptCount val="1"/>
                <c:pt idx="0">
                  <c:v>Other Disability or Type Not Given</c:v>
                </c:pt>
              </c:strCache>
            </c:strRef>
          </c:tx>
          <c:spPr>
            <a:solidFill>
              <a:srgbClr val="D38173"/>
            </a:solidFill>
            <a:ln>
              <a:noFill/>
            </a:ln>
          </c:spPr>
          <c:invertIfNegative val="0"/>
          <c:dLbls>
            <c:txPr>
              <a:bodyPr/>
              <a:lstStyle/>
              <a:p>
                <a:pPr>
                  <a:defRPr b="1"/>
                </a:pPr>
                <a:endParaRPr lang="en-US"/>
              </a:p>
            </c:txPr>
            <c:showLegendKey val="0"/>
            <c:showVal val="1"/>
            <c:showCatName val="0"/>
            <c:showSerName val="0"/>
            <c:showPercent val="0"/>
            <c:showBubbleSize val="0"/>
            <c:showLeaderLines val="0"/>
          </c:dLbls>
          <c:val>
            <c:numRef>
              <c:f>Client_Profile!$C$109</c:f>
              <c:numCache>
                <c:formatCode>#,##0</c:formatCode>
                <c:ptCount val="1"/>
                <c:pt idx="0">
                  <c:v>99</c:v>
                </c:pt>
              </c:numCache>
            </c:numRef>
          </c:val>
        </c:ser>
        <c:dLbls>
          <c:showLegendKey val="0"/>
          <c:showVal val="1"/>
          <c:showCatName val="0"/>
          <c:showSerName val="0"/>
          <c:showPercent val="0"/>
          <c:showBubbleSize val="0"/>
        </c:dLbls>
        <c:gapWidth val="150"/>
        <c:axId val="310355456"/>
        <c:axId val="311297152"/>
      </c:barChart>
      <c:catAx>
        <c:axId val="310355456"/>
        <c:scaling>
          <c:orientation val="minMax"/>
        </c:scaling>
        <c:delete val="1"/>
        <c:axPos val="b"/>
        <c:majorTickMark val="out"/>
        <c:minorTickMark val="none"/>
        <c:tickLblPos val="none"/>
        <c:crossAx val="311297152"/>
        <c:crosses val="autoZero"/>
        <c:auto val="1"/>
        <c:lblAlgn val="ctr"/>
        <c:lblOffset val="100"/>
        <c:noMultiLvlLbl val="0"/>
      </c:catAx>
      <c:valAx>
        <c:axId val="311297152"/>
        <c:scaling>
          <c:orientation val="minMax"/>
        </c:scaling>
        <c:delete val="0"/>
        <c:axPos val="l"/>
        <c:majorGridlines>
          <c:spPr>
            <a:ln>
              <a:noFill/>
            </a:ln>
          </c:spPr>
        </c:majorGridlines>
        <c:numFmt formatCode="#,##0" sourceLinked="1"/>
        <c:majorTickMark val="out"/>
        <c:minorTickMark val="none"/>
        <c:tickLblPos val="nextTo"/>
        <c:txPr>
          <a:bodyPr/>
          <a:lstStyle/>
          <a:p>
            <a:pPr>
              <a:defRPr b="1"/>
            </a:pPr>
            <a:endParaRPr lang="en-US"/>
          </a:p>
        </c:txPr>
        <c:crossAx val="310355456"/>
        <c:crosses val="autoZero"/>
        <c:crossBetween val="between"/>
      </c:valAx>
      <c:spPr>
        <a:noFill/>
      </c:spPr>
    </c:plotArea>
    <c:legend>
      <c:legendPos val="r"/>
      <c:layout>
        <c:manualLayout>
          <c:xMode val="edge"/>
          <c:yMode val="edge"/>
          <c:x val="0.55228440034201731"/>
          <c:y val="8.6043671624380272E-2"/>
          <c:w val="0.41297946802171942"/>
          <c:h val="0.8371719160104989"/>
        </c:manualLayout>
      </c:layout>
      <c:overlay val="0"/>
      <c:txPr>
        <a:bodyPr/>
        <a:lstStyle/>
        <a:p>
          <a:pPr>
            <a:defRPr b="1"/>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58998558244086"/>
          <c:y val="1.8633540372670808E-2"/>
          <c:w val="0.41466863935422843"/>
          <c:h val="0.91304347826086962"/>
        </c:manualLayout>
      </c:layout>
      <c:pieChart>
        <c:varyColors val="1"/>
        <c:ser>
          <c:idx val="0"/>
          <c:order val="0"/>
          <c:spPr>
            <a:solidFill>
              <a:srgbClr val="FCBB69"/>
            </a:solidFill>
            <a:ln>
              <a:noFill/>
            </a:ln>
          </c:spPr>
          <c:dPt>
            <c:idx val="0"/>
            <c:bubble3D val="0"/>
            <c:spPr>
              <a:solidFill>
                <a:srgbClr val="004B88"/>
              </a:solidFill>
              <a:ln>
                <a:noFill/>
              </a:ln>
            </c:spPr>
          </c:dPt>
          <c:dPt>
            <c:idx val="2"/>
            <c:bubble3D val="0"/>
            <c:spPr>
              <a:solidFill>
                <a:srgbClr val="F0F452"/>
              </a:solidFill>
              <a:ln>
                <a:noFill/>
              </a:ln>
            </c:spPr>
          </c:dPt>
          <c:dPt>
            <c:idx val="3"/>
            <c:bubble3D val="0"/>
            <c:spPr>
              <a:solidFill>
                <a:srgbClr val="8064A2"/>
              </a:solidFill>
              <a:ln>
                <a:noFill/>
              </a:ln>
            </c:spPr>
          </c:dPt>
          <c:dPt>
            <c:idx val="4"/>
            <c:bubble3D val="0"/>
            <c:spPr>
              <a:solidFill>
                <a:srgbClr val="D38173"/>
              </a:solidFill>
              <a:ln>
                <a:noFill/>
              </a:ln>
            </c:spPr>
          </c:dPt>
          <c:dLbls>
            <c:txPr>
              <a:bodyPr/>
              <a:lstStyle/>
              <a:p>
                <a:pPr>
                  <a:defRPr sz="1200" b="1">
                    <a:solidFill>
                      <a:schemeClr val="bg1"/>
                    </a:solidFill>
                  </a:defRPr>
                </a:pPr>
                <a:endParaRPr lang="en-US"/>
              </a:p>
            </c:txPr>
            <c:dLblPos val="ctr"/>
            <c:showLegendKey val="0"/>
            <c:showVal val="1"/>
            <c:showCatName val="0"/>
            <c:showSerName val="0"/>
            <c:showPercent val="0"/>
            <c:showBubbleSize val="0"/>
            <c:showLeaderLines val="1"/>
          </c:dLbls>
          <c:cat>
            <c:strRef>
              <c:f>Client_Profile!$B$17:$B$21</c:f>
              <c:strCache>
                <c:ptCount val="5"/>
                <c:pt idx="0">
                  <c:v>Female</c:v>
                </c:pt>
                <c:pt idx="1">
                  <c:v>Male</c:v>
                </c:pt>
                <c:pt idx="2">
                  <c:v>Trans</c:v>
                </c:pt>
                <c:pt idx="3">
                  <c:v>Trans - Female</c:v>
                </c:pt>
                <c:pt idx="4">
                  <c:v>Trans - Male</c:v>
                </c:pt>
              </c:strCache>
            </c:strRef>
          </c:cat>
          <c:val>
            <c:numRef>
              <c:f>Client_Profile!$D$17:$D$21</c:f>
              <c:numCache>
                <c:formatCode>0%</c:formatCode>
                <c:ptCount val="5"/>
                <c:pt idx="0">
                  <c:v>0.61428571428571432</c:v>
                </c:pt>
                <c:pt idx="1">
                  <c:v>0.38423645320197042</c:v>
                </c:pt>
                <c:pt idx="2">
                  <c:v>1.477832512315271E-3</c:v>
                </c:pt>
                <c:pt idx="3">
                  <c:v>0</c:v>
                </c:pt>
                <c:pt idx="4">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9455517798278101"/>
          <c:y val="3.6317999621591698E-2"/>
          <c:w val="0.37067742538063497"/>
          <c:h val="0.84986344015192383"/>
        </c:manualLayout>
      </c:layout>
      <c:overlay val="0"/>
      <c:txPr>
        <a:bodyPr/>
        <a:lstStyle/>
        <a:p>
          <a:pPr>
            <a:defRPr sz="1200" b="0"/>
          </a:pPr>
          <a:endParaRPr lang="en-U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3.5729223674928576E-2"/>
          <c:y val="0.13197615041009655"/>
          <c:w val="0.47706421063802784"/>
          <c:h val="0.86001636197157683"/>
        </c:manualLayout>
      </c:layout>
      <c:pieChart>
        <c:varyColors val="1"/>
        <c:ser>
          <c:idx val="0"/>
          <c:order val="0"/>
          <c:spPr>
            <a:ln>
              <a:noFill/>
            </a:ln>
          </c:spPr>
          <c:dPt>
            <c:idx val="0"/>
            <c:bubble3D val="0"/>
            <c:spPr>
              <a:solidFill>
                <a:srgbClr val="FCBB69"/>
              </a:solidFill>
              <a:ln>
                <a:noFill/>
              </a:ln>
            </c:spPr>
          </c:dPt>
          <c:dPt>
            <c:idx val="1"/>
            <c:bubble3D val="0"/>
            <c:spPr>
              <a:solidFill>
                <a:srgbClr val="92D050"/>
              </a:solidFill>
              <a:ln>
                <a:noFill/>
              </a:ln>
            </c:spPr>
          </c:dPt>
          <c:dPt>
            <c:idx val="2"/>
            <c:bubble3D val="0"/>
            <c:spPr>
              <a:solidFill>
                <a:srgbClr val="57486B"/>
              </a:solidFill>
              <a:ln>
                <a:noFill/>
              </a:ln>
            </c:spPr>
          </c:dPt>
          <c:dPt>
            <c:idx val="3"/>
            <c:bubble3D val="0"/>
            <c:spPr>
              <a:solidFill>
                <a:srgbClr val="D38173"/>
              </a:solidFill>
              <a:ln>
                <a:noFill/>
              </a:ln>
            </c:spPr>
          </c:dPt>
          <c:dPt>
            <c:idx val="4"/>
            <c:bubble3D val="0"/>
            <c:spPr>
              <a:solidFill>
                <a:srgbClr val="004B88"/>
              </a:solidFill>
              <a:ln>
                <a:noFill/>
              </a:ln>
            </c:spPr>
          </c:dPt>
          <c:dLbls>
            <c:dLbl>
              <c:idx val="4"/>
              <c:spPr/>
              <c:txPr>
                <a:bodyPr/>
                <a:lstStyle/>
                <a:p>
                  <a:pPr>
                    <a:defRPr sz="1400" b="1">
                      <a:solidFill>
                        <a:schemeClr val="bg1"/>
                      </a:solidFill>
                    </a:defRPr>
                  </a:pPr>
                  <a:endParaRPr lang="en-US"/>
                </a:p>
              </c:txPr>
              <c:showLegendKey val="0"/>
              <c:showVal val="0"/>
              <c:showCatName val="0"/>
              <c:showSerName val="0"/>
              <c:showPercent val="1"/>
              <c:showBubbleSize val="0"/>
            </c:dLbl>
            <c:txPr>
              <a:bodyPr/>
              <a:lstStyle/>
              <a:p>
                <a:pPr>
                  <a:defRPr sz="1400" b="1"/>
                </a:pPr>
                <a:endParaRPr lang="en-US"/>
              </a:p>
            </c:txPr>
            <c:showLegendKey val="0"/>
            <c:showVal val="0"/>
            <c:showCatName val="0"/>
            <c:showSerName val="0"/>
            <c:showPercent val="1"/>
            <c:showBubbleSize val="0"/>
            <c:showLeaderLines val="1"/>
          </c:dLbls>
          <c:cat>
            <c:strRef>
              <c:f>Client_Profile!$AG$57:$AG$61</c:f>
              <c:strCache>
                <c:ptCount val="5"/>
                <c:pt idx="0">
                  <c:v>Asian or Asian British</c:v>
                </c:pt>
                <c:pt idx="1">
                  <c:v>Black or Black British</c:v>
                </c:pt>
                <c:pt idx="2">
                  <c:v>Mixed</c:v>
                </c:pt>
                <c:pt idx="3">
                  <c:v>Other</c:v>
                </c:pt>
                <c:pt idx="4">
                  <c:v>White</c:v>
                </c:pt>
              </c:strCache>
            </c:strRef>
          </c:cat>
          <c:val>
            <c:numRef>
              <c:f>Client_Profile!$AI$57:$AI$61</c:f>
              <c:numCache>
                <c:formatCode>0%</c:formatCode>
                <c:ptCount val="5"/>
                <c:pt idx="0">
                  <c:v>2.5006379178361827E-2</c:v>
                </c:pt>
                <c:pt idx="1">
                  <c:v>1.1482521051288594E-2</c:v>
                </c:pt>
                <c:pt idx="2">
                  <c:v>7.3998468997193163E-3</c:v>
                </c:pt>
                <c:pt idx="3">
                  <c:v>1.0206685378923195E-2</c:v>
                </c:pt>
                <c:pt idx="4">
                  <c:v>0.94590456749170704</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1108798988955226"/>
          <c:y val="6.9585270599312701E-2"/>
          <c:w val="0.28584610144990874"/>
          <c:h val="0.84762046478127828"/>
        </c:manualLayout>
      </c:layout>
      <c:overlay val="0"/>
      <c:txPr>
        <a:bodyPr/>
        <a:lstStyle/>
        <a:p>
          <a:pPr>
            <a:defRPr sz="1200"/>
          </a:pPr>
          <a:endParaRPr lang="en-US"/>
        </a:p>
      </c:txPr>
    </c:legend>
    <c:plotVisOnly val="0"/>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noFill/>
            </a:ln>
          </c:spPr>
          <c:dPt>
            <c:idx val="0"/>
            <c:bubble3D val="0"/>
            <c:spPr>
              <a:solidFill>
                <a:srgbClr val="004B88"/>
              </a:solidFill>
              <a:ln>
                <a:noFill/>
              </a:ln>
            </c:spPr>
          </c:dPt>
          <c:dPt>
            <c:idx val="1"/>
            <c:bubble3D val="0"/>
            <c:spPr>
              <a:solidFill>
                <a:srgbClr val="57486B"/>
              </a:solidFill>
              <a:ln>
                <a:noFill/>
              </a:ln>
            </c:spPr>
          </c:dPt>
          <c:dPt>
            <c:idx val="2"/>
            <c:bubble3D val="0"/>
            <c:spPr>
              <a:solidFill>
                <a:srgbClr val="92D050"/>
              </a:solidFill>
              <a:ln>
                <a:noFill/>
              </a:ln>
            </c:spPr>
          </c:dPt>
          <c:dPt>
            <c:idx val="3"/>
            <c:bubble3D val="0"/>
            <c:spPr>
              <a:solidFill>
                <a:srgbClr val="D38173"/>
              </a:solidFill>
              <a:ln>
                <a:noFill/>
              </a:ln>
            </c:spPr>
          </c:dPt>
          <c:dPt>
            <c:idx val="4"/>
            <c:bubble3D val="0"/>
            <c:spPr>
              <a:solidFill>
                <a:srgbClr val="FCBB69"/>
              </a:solidFill>
              <a:ln>
                <a:noFill/>
              </a:ln>
            </c:spPr>
          </c:dPt>
          <c:dLbls>
            <c:txPr>
              <a:bodyPr/>
              <a:lstStyle/>
              <a:p>
                <a:pPr>
                  <a:defRPr sz="1200" b="1"/>
                </a:pPr>
                <a:endParaRPr lang="en-US"/>
              </a:p>
            </c:txPr>
            <c:dLblPos val="bestFit"/>
            <c:showLegendKey val="0"/>
            <c:showVal val="1"/>
            <c:showCatName val="0"/>
            <c:showSerName val="0"/>
            <c:showPercent val="0"/>
            <c:showBubbleSize val="0"/>
            <c:showLeaderLines val="1"/>
          </c:dLbls>
          <c:cat>
            <c:strRef>
              <c:f>Ebefs!$U$25:$U$29</c:f>
              <c:strCache>
                <c:ptCount val="5"/>
                <c:pt idx="0">
                  <c:v>Benefits &amp; tax credits</c:v>
                </c:pt>
                <c:pt idx="1">
                  <c:v>Employment</c:v>
                </c:pt>
                <c:pt idx="2">
                  <c:v>Housing</c:v>
                </c:pt>
                <c:pt idx="3">
                  <c:v>Utilities &amp; communications</c:v>
                </c:pt>
                <c:pt idx="4">
                  <c:v>Other</c:v>
                </c:pt>
              </c:strCache>
            </c:strRef>
          </c:cat>
          <c:val>
            <c:numRef>
              <c:f>Ebefs!$V$25:$V$29</c:f>
              <c:numCache>
                <c:formatCode>General</c:formatCode>
                <c:ptCount val="5"/>
                <c:pt idx="0">
                  <c:v>164</c:v>
                </c:pt>
                <c:pt idx="1">
                  <c:v>34</c:v>
                </c:pt>
                <c:pt idx="2">
                  <c:v>20</c:v>
                </c:pt>
                <c:pt idx="3">
                  <c:v>18</c:v>
                </c:pt>
                <c:pt idx="4">
                  <c:v>63</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71083167675382475"/>
          <c:y val="0.37027178054356102"/>
          <c:w val="0.22080724591534626"/>
          <c:h val="0.46851998459431715"/>
        </c:manualLayout>
      </c:layout>
      <c:overlay val="0"/>
      <c:txPr>
        <a:bodyPr/>
        <a:lstStyle/>
        <a:p>
          <a:pPr>
            <a:defRPr sz="1200" b="1"/>
          </a:pPr>
          <a:endParaRPr lang="en-US"/>
        </a:p>
      </c:txPr>
    </c:legend>
    <c:plotVisOnly val="0"/>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noFill/>
            </a:ln>
          </c:spPr>
          <c:dPt>
            <c:idx val="0"/>
            <c:bubble3D val="0"/>
            <c:spPr>
              <a:solidFill>
                <a:srgbClr val="004B88"/>
              </a:solidFill>
              <a:ln>
                <a:noFill/>
              </a:ln>
            </c:spPr>
          </c:dPt>
          <c:dPt>
            <c:idx val="2"/>
            <c:bubble3D val="0"/>
            <c:spPr>
              <a:solidFill>
                <a:srgbClr val="FFCC66"/>
              </a:solidFill>
              <a:ln>
                <a:noFill/>
              </a:ln>
            </c:spPr>
          </c:dPt>
          <c:dPt>
            <c:idx val="7"/>
            <c:bubble3D val="0"/>
            <c:spPr>
              <a:solidFill>
                <a:srgbClr val="92D050"/>
              </a:solidFill>
              <a:ln>
                <a:noFill/>
              </a:ln>
            </c:spPr>
          </c:dPt>
          <c:dPt>
            <c:idx val="10"/>
            <c:bubble3D val="0"/>
            <c:spPr>
              <a:solidFill>
                <a:srgbClr val="8064A2"/>
              </a:solidFill>
              <a:ln>
                <a:noFill/>
              </a:ln>
            </c:spPr>
          </c:dPt>
          <c:dLbls>
            <c:dLbl>
              <c:idx val="0"/>
              <c:spPr/>
              <c:txPr>
                <a:bodyPr/>
                <a:lstStyle/>
                <a:p>
                  <a:pPr>
                    <a:defRPr>
                      <a:solidFill>
                        <a:schemeClr val="bg1"/>
                      </a:solidFill>
                    </a:defRPr>
                  </a:pPr>
                  <a:endParaRPr lang="en-US"/>
                </a:p>
              </c:txPr>
              <c:showLegendKey val="0"/>
              <c:showVal val="0"/>
              <c:showCatName val="0"/>
              <c:showSerName val="0"/>
              <c:showPercent val="1"/>
              <c:showBubbleSize val="0"/>
            </c:dLbl>
            <c:showLegendKey val="0"/>
            <c:showVal val="0"/>
            <c:showCatName val="0"/>
            <c:showSerName val="0"/>
            <c:showPercent val="1"/>
            <c:showBubbleSize val="0"/>
            <c:showLeaderLines val="1"/>
          </c:dLbls>
          <c:cat>
            <c:strRef>
              <c:f>Outcomes!$B$52:$B$66</c:f>
              <c:strCache>
                <c:ptCount val="15"/>
                <c:pt idx="0">
                  <c:v>Benefits &amp; tax credits</c:v>
                </c:pt>
                <c:pt idx="1">
                  <c:v>Consumer goods &amp; services</c:v>
                </c:pt>
                <c:pt idx="2">
                  <c:v>Debt</c:v>
                </c:pt>
                <c:pt idx="3">
                  <c:v>Education</c:v>
                </c:pt>
                <c:pt idx="4">
                  <c:v>Employment</c:v>
                </c:pt>
                <c:pt idx="5">
                  <c:v>Financial services &amp; capability</c:v>
                </c:pt>
                <c:pt idx="6">
                  <c:v>Health &amp; community care</c:v>
                </c:pt>
                <c:pt idx="7">
                  <c:v>Housing</c:v>
                </c:pt>
                <c:pt idx="8">
                  <c:v>Immigration &amp; asylum</c:v>
                </c:pt>
                <c:pt idx="9">
                  <c:v>Legal</c:v>
                </c:pt>
                <c:pt idx="10">
                  <c:v>Other</c:v>
                </c:pt>
                <c:pt idx="11">
                  <c:v>Relationships &amp; family</c:v>
                </c:pt>
                <c:pt idx="12">
                  <c:v>Tax</c:v>
                </c:pt>
                <c:pt idx="13">
                  <c:v>Travel &amp; transport</c:v>
                </c:pt>
                <c:pt idx="14">
                  <c:v>Utilities &amp; communications</c:v>
                </c:pt>
              </c:strCache>
            </c:strRef>
          </c:cat>
          <c:val>
            <c:numRef>
              <c:f>Outcomes!$C$52:$C$66</c:f>
              <c:numCache>
                <c:formatCode>#,##0</c:formatCode>
                <c:ptCount val="15"/>
                <c:pt idx="0">
                  <c:v>449</c:v>
                </c:pt>
                <c:pt idx="1">
                  <c:v>9</c:v>
                </c:pt>
                <c:pt idx="2">
                  <c:v>434</c:v>
                </c:pt>
                <c:pt idx="3">
                  <c:v>3</c:v>
                </c:pt>
                <c:pt idx="4">
                  <c:v>17</c:v>
                </c:pt>
                <c:pt idx="5">
                  <c:v>78</c:v>
                </c:pt>
                <c:pt idx="6">
                  <c:v>34</c:v>
                </c:pt>
                <c:pt idx="7">
                  <c:v>37</c:v>
                </c:pt>
                <c:pt idx="8">
                  <c:v>0</c:v>
                </c:pt>
                <c:pt idx="9">
                  <c:v>13</c:v>
                </c:pt>
                <c:pt idx="10">
                  <c:v>127</c:v>
                </c:pt>
                <c:pt idx="11">
                  <c:v>8</c:v>
                </c:pt>
                <c:pt idx="12">
                  <c:v>16</c:v>
                </c:pt>
                <c:pt idx="13">
                  <c:v>11</c:v>
                </c:pt>
                <c:pt idx="14">
                  <c:v>55</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6009696371995308"/>
          <c:y val="6.5604135009439624E-2"/>
          <c:w val="0.32461641514290296"/>
          <c:h val="0.88341161302205651"/>
        </c:manualLayout>
      </c:layout>
      <c:overlay val="0"/>
      <c:txPr>
        <a:bodyPr/>
        <a:lstStyle/>
        <a:p>
          <a:pPr>
            <a:defRPr sz="900" b="1"/>
          </a:pPr>
          <a:endParaRPr lang="en-U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33103748672859"/>
          <c:y val="3.125E-2"/>
          <c:w val="0.37214871883289941"/>
          <c:h val="0.96273291925465843"/>
        </c:manualLayout>
      </c:layout>
      <c:pieChart>
        <c:varyColors val="1"/>
        <c:ser>
          <c:idx val="0"/>
          <c:order val="0"/>
          <c:spPr>
            <a:ln>
              <a:noFill/>
            </a:ln>
          </c:spPr>
          <c:dPt>
            <c:idx val="0"/>
            <c:bubble3D val="0"/>
            <c:spPr>
              <a:solidFill>
                <a:srgbClr val="004B88"/>
              </a:solidFill>
              <a:ln>
                <a:noFill/>
              </a:ln>
            </c:spPr>
          </c:dPt>
          <c:dPt>
            <c:idx val="1"/>
            <c:bubble3D val="0"/>
            <c:spPr>
              <a:solidFill>
                <a:srgbClr val="FCBB69"/>
              </a:solidFill>
              <a:ln>
                <a:noFill/>
              </a:ln>
            </c:spPr>
          </c:dPt>
          <c:dPt>
            <c:idx val="2"/>
            <c:bubble3D val="0"/>
            <c:spPr>
              <a:solidFill>
                <a:srgbClr val="92D050"/>
              </a:solidFill>
              <a:ln>
                <a:noFill/>
              </a:ln>
            </c:spPr>
          </c:dPt>
          <c:dPt>
            <c:idx val="3"/>
            <c:bubble3D val="0"/>
            <c:spPr>
              <a:solidFill>
                <a:srgbClr val="8064A2"/>
              </a:solidFill>
              <a:ln>
                <a:noFill/>
              </a:ln>
            </c:spPr>
          </c:dPt>
          <c:dPt>
            <c:idx val="4"/>
            <c:bubble3D val="0"/>
            <c:spPr>
              <a:solidFill>
                <a:srgbClr val="D38173"/>
              </a:solidFill>
              <a:ln>
                <a:noFill/>
              </a:ln>
            </c:spPr>
          </c:dPt>
          <c:dPt>
            <c:idx val="5"/>
            <c:bubble3D val="0"/>
            <c:spPr>
              <a:solidFill>
                <a:srgbClr val="57486B"/>
              </a:solidFill>
              <a:ln>
                <a:noFill/>
              </a:ln>
            </c:spPr>
          </c:dPt>
          <c:dLbls>
            <c:txPr>
              <a:bodyPr/>
              <a:lstStyle/>
              <a:p>
                <a:pPr>
                  <a:defRPr sz="1200" b="1">
                    <a:solidFill>
                      <a:schemeClr val="bg1"/>
                    </a:solidFill>
                  </a:defRPr>
                </a:pPr>
                <a:endParaRPr lang="en-US"/>
              </a:p>
            </c:txPr>
            <c:dLblPos val="bestFit"/>
            <c:showLegendKey val="0"/>
            <c:showVal val="0"/>
            <c:showCatName val="0"/>
            <c:showSerName val="0"/>
            <c:showPercent val="1"/>
            <c:showBubbleSize val="0"/>
            <c:showLeaderLines val="1"/>
          </c:dLbls>
          <c:cat>
            <c:strRef>
              <c:f>Dashboard!$AH$18:$AH$23</c:f>
              <c:strCache>
                <c:ptCount val="6"/>
                <c:pt idx="0">
                  <c:v>Benefits &amp; tax credits</c:v>
                </c:pt>
                <c:pt idx="1">
                  <c:v>Debt</c:v>
                </c:pt>
                <c:pt idx="2">
                  <c:v>Employment</c:v>
                </c:pt>
                <c:pt idx="3">
                  <c:v>Housing</c:v>
                </c:pt>
                <c:pt idx="4">
                  <c:v>Other</c:v>
                </c:pt>
                <c:pt idx="5">
                  <c:v>all other</c:v>
                </c:pt>
              </c:strCache>
            </c:strRef>
          </c:cat>
          <c:val>
            <c:numRef>
              <c:f>Dashboard!$AI$18:$AI$23</c:f>
              <c:numCache>
                <c:formatCode>#,##0</c:formatCode>
                <c:ptCount val="6"/>
                <c:pt idx="0">
                  <c:v>5259</c:v>
                </c:pt>
                <c:pt idx="1">
                  <c:v>3634</c:v>
                </c:pt>
                <c:pt idx="2">
                  <c:v>948</c:v>
                </c:pt>
                <c:pt idx="3">
                  <c:v>908</c:v>
                </c:pt>
                <c:pt idx="4">
                  <c:v>611</c:v>
                </c:pt>
                <c:pt idx="5">
                  <c:v>3011</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1229435028280665"/>
          <c:y val="4.6079204119888417E-2"/>
          <c:w val="0.38530329366797594"/>
          <c:h val="0.92340144000065338"/>
        </c:manualLayout>
      </c:layout>
      <c:overlay val="0"/>
      <c:txPr>
        <a:bodyPr/>
        <a:lstStyle/>
        <a:p>
          <a:pPr>
            <a:defRPr sz="1200" b="0"/>
          </a:pPr>
          <a:endParaRPr lang="en-US"/>
        </a:p>
      </c:txPr>
    </c:legend>
    <c:plotVisOnly val="0"/>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ln>
              <a:noFill/>
            </a:ln>
          </c:spPr>
          <c:invertIfNegative val="0"/>
          <c:dPt>
            <c:idx val="0"/>
            <c:invertIfNegative val="0"/>
            <c:bubble3D val="0"/>
            <c:spPr>
              <a:solidFill>
                <a:srgbClr val="004B88"/>
              </a:solidFill>
              <a:ln>
                <a:noFill/>
              </a:ln>
            </c:spPr>
          </c:dPt>
          <c:dPt>
            <c:idx val="1"/>
            <c:invertIfNegative val="0"/>
            <c:bubble3D val="0"/>
            <c:spPr>
              <a:solidFill>
                <a:srgbClr val="FCBB69"/>
              </a:solidFill>
              <a:ln>
                <a:noFill/>
              </a:ln>
            </c:spPr>
          </c:dPt>
          <c:dPt>
            <c:idx val="2"/>
            <c:invertIfNegative val="0"/>
            <c:bubble3D val="0"/>
            <c:spPr>
              <a:solidFill>
                <a:srgbClr val="57486B"/>
              </a:solidFill>
              <a:ln>
                <a:noFill/>
              </a:ln>
            </c:spPr>
          </c:dPt>
          <c:dLbls>
            <c:txPr>
              <a:bodyPr/>
              <a:lstStyle/>
              <a:p>
                <a:pPr>
                  <a:defRPr sz="1200" b="1"/>
                </a:pPr>
                <a:endParaRPr lang="en-US"/>
              </a:p>
            </c:txPr>
            <c:dLblPos val="outEnd"/>
            <c:showLegendKey val="0"/>
            <c:showVal val="1"/>
            <c:showCatName val="0"/>
            <c:showSerName val="0"/>
            <c:showPercent val="0"/>
            <c:showBubbleSize val="0"/>
            <c:showLeaderLines val="0"/>
          </c:dLbls>
          <c:cat>
            <c:strRef>
              <c:f>Dashboard!$BV$24:$BV$26</c:f>
              <c:strCache>
                <c:ptCount val="3"/>
                <c:pt idx="0">
                  <c:v>York Central</c:v>
                </c:pt>
                <c:pt idx="1">
                  <c:v>York Outer</c:v>
                </c:pt>
                <c:pt idx="2">
                  <c:v>Selby and Ainsty</c:v>
                </c:pt>
              </c:strCache>
            </c:strRef>
          </c:cat>
          <c:val>
            <c:numRef>
              <c:f>Dashboard!$BW$24:$BW$26</c:f>
              <c:numCache>
                <c:formatCode>General</c:formatCode>
                <c:ptCount val="3"/>
                <c:pt idx="0">
                  <c:v>2061</c:v>
                </c:pt>
                <c:pt idx="1">
                  <c:v>861</c:v>
                </c:pt>
                <c:pt idx="2">
                  <c:v>121</c:v>
                </c:pt>
              </c:numCache>
            </c:numRef>
          </c:val>
        </c:ser>
        <c:dLbls>
          <c:showLegendKey val="0"/>
          <c:showVal val="0"/>
          <c:showCatName val="0"/>
          <c:showSerName val="0"/>
          <c:showPercent val="0"/>
          <c:showBubbleSize val="0"/>
        </c:dLbls>
        <c:gapWidth val="150"/>
        <c:axId val="305364992"/>
        <c:axId val="302790848"/>
      </c:barChart>
      <c:catAx>
        <c:axId val="305364992"/>
        <c:scaling>
          <c:orientation val="maxMin"/>
        </c:scaling>
        <c:delete val="0"/>
        <c:axPos val="l"/>
        <c:numFmt formatCode="General" sourceLinked="1"/>
        <c:majorTickMark val="out"/>
        <c:minorTickMark val="none"/>
        <c:tickLblPos val="nextTo"/>
        <c:txPr>
          <a:bodyPr/>
          <a:lstStyle/>
          <a:p>
            <a:pPr>
              <a:defRPr b="1"/>
            </a:pPr>
            <a:endParaRPr lang="en-US"/>
          </a:p>
        </c:txPr>
        <c:crossAx val="302790848"/>
        <c:crosses val="autoZero"/>
        <c:auto val="1"/>
        <c:lblAlgn val="ctr"/>
        <c:lblOffset val="100"/>
        <c:noMultiLvlLbl val="0"/>
      </c:catAx>
      <c:valAx>
        <c:axId val="302790848"/>
        <c:scaling>
          <c:orientation val="minMax"/>
        </c:scaling>
        <c:delete val="0"/>
        <c:axPos val="t"/>
        <c:majorGridlines>
          <c:spPr>
            <a:ln>
              <a:noFill/>
            </a:ln>
          </c:spPr>
        </c:majorGridlines>
        <c:numFmt formatCode="General" sourceLinked="1"/>
        <c:majorTickMark val="out"/>
        <c:minorTickMark val="none"/>
        <c:tickLblPos val="nextTo"/>
        <c:txPr>
          <a:bodyPr/>
          <a:lstStyle/>
          <a:p>
            <a:pPr>
              <a:defRPr b="1"/>
            </a:pPr>
            <a:endParaRPr lang="en-US"/>
          </a:p>
        </c:txPr>
        <c:crossAx val="305364992"/>
        <c:crosses val="autoZero"/>
        <c:crossBetween val="between"/>
      </c:valAx>
    </c:plotArea>
    <c:plotVisOnly val="0"/>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38282478966021"/>
          <c:y val="4.6511627906976764E-2"/>
          <c:w val="0.37271612826375977"/>
          <c:h val="0.88953488372093015"/>
        </c:manualLayout>
      </c:layout>
      <c:pieChart>
        <c:varyColors val="1"/>
        <c:ser>
          <c:idx val="0"/>
          <c:order val="0"/>
          <c:spPr>
            <a:ln>
              <a:noFill/>
            </a:ln>
          </c:spPr>
          <c:dPt>
            <c:idx val="0"/>
            <c:bubble3D val="0"/>
            <c:spPr>
              <a:solidFill>
                <a:srgbClr val="FCBB69"/>
              </a:solidFill>
              <a:ln>
                <a:noFill/>
              </a:ln>
            </c:spPr>
          </c:dPt>
          <c:dPt>
            <c:idx val="1"/>
            <c:bubble3D val="0"/>
            <c:spPr>
              <a:solidFill>
                <a:srgbClr val="57486B"/>
              </a:solidFill>
              <a:ln>
                <a:noFill/>
              </a:ln>
            </c:spPr>
          </c:dPt>
          <c:dPt>
            <c:idx val="2"/>
            <c:bubble3D val="0"/>
            <c:spPr>
              <a:solidFill>
                <a:srgbClr val="92D050"/>
              </a:solidFill>
              <a:ln>
                <a:noFill/>
              </a:ln>
            </c:spPr>
          </c:dPt>
          <c:dPt>
            <c:idx val="3"/>
            <c:bubble3D val="0"/>
            <c:spPr>
              <a:solidFill>
                <a:srgbClr val="D38173"/>
              </a:solidFill>
              <a:ln>
                <a:noFill/>
              </a:ln>
            </c:spPr>
          </c:dPt>
          <c:dPt>
            <c:idx val="4"/>
            <c:bubble3D val="0"/>
            <c:spPr>
              <a:solidFill>
                <a:srgbClr val="004B88"/>
              </a:solidFill>
              <a:ln>
                <a:noFill/>
              </a:ln>
            </c:spPr>
          </c:dPt>
          <c:dLbls>
            <c:txPr>
              <a:bodyPr/>
              <a:lstStyle/>
              <a:p>
                <a:pPr>
                  <a:defRPr sz="1200" b="1">
                    <a:solidFill>
                      <a:schemeClr val="bg1"/>
                    </a:solidFill>
                  </a:defRPr>
                </a:pPr>
                <a:endParaRPr lang="en-US"/>
              </a:p>
            </c:txPr>
            <c:dLblPos val="bestFit"/>
            <c:showLegendKey val="0"/>
            <c:showVal val="1"/>
            <c:showCatName val="0"/>
            <c:showSerName val="0"/>
            <c:showPercent val="0"/>
            <c:showBubbleSize val="0"/>
            <c:showLeaderLines val="1"/>
          </c:dLbls>
          <c:cat>
            <c:strRef>
              <c:f>Client_Profile!$AG$57:$AG$61</c:f>
              <c:strCache>
                <c:ptCount val="5"/>
                <c:pt idx="0">
                  <c:v>Asian or Asian British</c:v>
                </c:pt>
                <c:pt idx="1">
                  <c:v>Black or Black British</c:v>
                </c:pt>
                <c:pt idx="2">
                  <c:v>Mixed</c:v>
                </c:pt>
                <c:pt idx="3">
                  <c:v>Other</c:v>
                </c:pt>
                <c:pt idx="4">
                  <c:v>White</c:v>
                </c:pt>
              </c:strCache>
            </c:strRef>
          </c:cat>
          <c:val>
            <c:numRef>
              <c:f>Client_Profile!$AI$57:$AI$61</c:f>
              <c:numCache>
                <c:formatCode>0%</c:formatCode>
                <c:ptCount val="5"/>
                <c:pt idx="0">
                  <c:v>2.5006379178361827E-2</c:v>
                </c:pt>
                <c:pt idx="1">
                  <c:v>1.1482521051288594E-2</c:v>
                </c:pt>
                <c:pt idx="2">
                  <c:v>7.3998468997193163E-3</c:v>
                </c:pt>
                <c:pt idx="3">
                  <c:v>1.0206685378923195E-2</c:v>
                </c:pt>
                <c:pt idx="4">
                  <c:v>0.94590456749170704</c:v>
                </c:pt>
              </c:numCache>
            </c:numRef>
          </c:val>
        </c:ser>
        <c:dLbls>
          <c:showLegendKey val="0"/>
          <c:showVal val="0"/>
          <c:showCatName val="0"/>
          <c:showSerName val="0"/>
          <c:showPercent val="0"/>
          <c:showBubbleSize val="0"/>
          <c:showLeaderLines val="1"/>
        </c:dLbls>
        <c:firstSliceAng val="0"/>
      </c:pieChart>
    </c:plotArea>
    <c:legend>
      <c:legendPos val="r"/>
      <c:layout/>
      <c:overlay val="0"/>
      <c:txPr>
        <a:bodyPr/>
        <a:lstStyle/>
        <a:p>
          <a:pPr>
            <a:defRPr sz="1200" b="0"/>
          </a:pPr>
          <a:endParaRPr lang="en-US"/>
        </a:p>
      </c:txPr>
    </c:legend>
    <c:plotVisOnly val="0"/>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2"/>
          <c:order val="0"/>
          <c:tx>
            <c:strRef>
              <c:f>Dashboard!$AL$15</c:f>
              <c:strCache>
                <c:ptCount val="1"/>
                <c:pt idx="0">
                  <c:v>Face to Face</c:v>
                </c:pt>
              </c:strCache>
            </c:strRef>
          </c:tx>
          <c:spPr>
            <a:solidFill>
              <a:srgbClr val="004B88"/>
            </a:solidFill>
            <a:ln>
              <a:noFill/>
            </a:ln>
          </c:spPr>
          <c:invertIfNegative val="0"/>
          <c:dLbls>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val>
            <c:numRef>
              <c:f>Dashboard!$AN$15</c:f>
              <c:numCache>
                <c:formatCode>0%</c:formatCode>
                <c:ptCount val="1"/>
                <c:pt idx="0">
                  <c:v>0.36362677912493413</c:v>
                </c:pt>
              </c:numCache>
            </c:numRef>
          </c:val>
        </c:ser>
        <c:ser>
          <c:idx val="0"/>
          <c:order val="1"/>
          <c:tx>
            <c:strRef>
              <c:f>Dashboard!$AL$13</c:f>
              <c:strCache>
                <c:ptCount val="1"/>
                <c:pt idx="0">
                  <c:v>Adviceline Phone</c:v>
                </c:pt>
              </c:strCache>
            </c:strRef>
          </c:tx>
          <c:spPr>
            <a:solidFill>
              <a:srgbClr val="57486B"/>
            </a:solidFill>
            <a:ln>
              <a:noFill/>
            </a:ln>
          </c:spPr>
          <c:invertIfNegative val="0"/>
          <c:dLbls>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val>
            <c:numRef>
              <c:f>Dashboard!$AN$13</c:f>
              <c:numCache>
                <c:formatCode>0%</c:formatCode>
                <c:ptCount val="1"/>
                <c:pt idx="0">
                  <c:v>4.775962045334739E-2</c:v>
                </c:pt>
              </c:numCache>
            </c:numRef>
          </c:val>
        </c:ser>
        <c:ser>
          <c:idx val="4"/>
          <c:order val="2"/>
          <c:tx>
            <c:strRef>
              <c:f>Dashboard!$AL$17</c:f>
              <c:strCache>
                <c:ptCount val="1"/>
                <c:pt idx="0">
                  <c:v>Telephone</c:v>
                </c:pt>
              </c:strCache>
            </c:strRef>
          </c:tx>
          <c:spPr>
            <a:solidFill>
              <a:srgbClr val="FCBB69"/>
            </a:solidFill>
            <a:ln>
              <a:noFill/>
            </a:ln>
          </c:spPr>
          <c:invertIfNegative val="0"/>
          <c:dLbls>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val>
            <c:numRef>
              <c:f>Dashboard!$AN$17</c:f>
              <c:numCache>
                <c:formatCode>0%</c:formatCode>
                <c:ptCount val="1"/>
                <c:pt idx="0">
                  <c:v>0.17179757511860833</c:v>
                </c:pt>
              </c:numCache>
            </c:numRef>
          </c:val>
        </c:ser>
        <c:ser>
          <c:idx val="3"/>
          <c:order val="3"/>
          <c:tx>
            <c:strRef>
              <c:f>Dashboard!$AL$16</c:f>
              <c:strCache>
                <c:ptCount val="1"/>
                <c:pt idx="0">
                  <c:v>Letter/Mail</c:v>
                </c:pt>
              </c:strCache>
            </c:strRef>
          </c:tx>
          <c:spPr>
            <a:solidFill>
              <a:srgbClr val="92D050"/>
            </a:solidFill>
            <a:ln>
              <a:noFill/>
            </a:ln>
          </c:spPr>
          <c:invertIfNegative val="0"/>
          <c:dLbls>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val>
            <c:numRef>
              <c:f>Dashboard!$AN$16</c:f>
              <c:numCache>
                <c:formatCode>0%</c:formatCode>
                <c:ptCount val="1"/>
                <c:pt idx="0">
                  <c:v>0.36684238270954139</c:v>
                </c:pt>
              </c:numCache>
            </c:numRef>
          </c:val>
        </c:ser>
        <c:ser>
          <c:idx val="1"/>
          <c:order val="4"/>
          <c:tx>
            <c:strRef>
              <c:f>Dashboard!$AL$14</c:f>
              <c:strCache>
                <c:ptCount val="1"/>
                <c:pt idx="0">
                  <c:v>Email/Web</c:v>
                </c:pt>
              </c:strCache>
            </c:strRef>
          </c:tx>
          <c:spPr>
            <a:solidFill>
              <a:srgbClr val="D38173"/>
            </a:solidFill>
            <a:ln>
              <a:noFill/>
            </a:ln>
          </c:spPr>
          <c:invertIfNegative val="0"/>
          <c:dLbls>
            <c:txPr>
              <a:bodyPr/>
              <a:lstStyle/>
              <a:p>
                <a:pPr>
                  <a:defRPr sz="1200" b="1"/>
                </a:pPr>
                <a:endParaRPr lang="en-US"/>
              </a:p>
            </c:txPr>
            <c:dLblPos val="ctr"/>
            <c:showLegendKey val="0"/>
            <c:showVal val="1"/>
            <c:showCatName val="0"/>
            <c:showSerName val="0"/>
            <c:showPercent val="0"/>
            <c:showBubbleSize val="0"/>
            <c:showLeaderLines val="0"/>
          </c:dLbls>
          <c:val>
            <c:numRef>
              <c:f>Dashboard!$AN$14</c:f>
              <c:numCache>
                <c:formatCode>0%</c:formatCode>
                <c:ptCount val="1"/>
                <c:pt idx="0">
                  <c:v>4.997364259356879E-2</c:v>
                </c:pt>
              </c:numCache>
            </c:numRef>
          </c:val>
        </c:ser>
        <c:dLbls>
          <c:showLegendKey val="0"/>
          <c:showVal val="1"/>
          <c:showCatName val="0"/>
          <c:showSerName val="0"/>
          <c:showPercent val="0"/>
          <c:showBubbleSize val="0"/>
        </c:dLbls>
        <c:gapWidth val="55"/>
        <c:overlap val="100"/>
        <c:axId val="305366016"/>
        <c:axId val="308152000"/>
      </c:barChart>
      <c:catAx>
        <c:axId val="305366016"/>
        <c:scaling>
          <c:orientation val="minMax"/>
        </c:scaling>
        <c:delete val="1"/>
        <c:axPos val="l"/>
        <c:majorTickMark val="none"/>
        <c:minorTickMark val="none"/>
        <c:tickLblPos val="none"/>
        <c:crossAx val="308152000"/>
        <c:crosses val="autoZero"/>
        <c:auto val="1"/>
        <c:lblAlgn val="ctr"/>
        <c:lblOffset val="100"/>
        <c:noMultiLvlLbl val="0"/>
      </c:catAx>
      <c:valAx>
        <c:axId val="308152000"/>
        <c:scaling>
          <c:orientation val="minMax"/>
        </c:scaling>
        <c:delete val="0"/>
        <c:axPos val="b"/>
        <c:majorGridlines>
          <c:spPr>
            <a:ln>
              <a:noFill/>
            </a:ln>
          </c:spPr>
        </c:majorGridlines>
        <c:numFmt formatCode="0%" sourceLinked="1"/>
        <c:majorTickMark val="none"/>
        <c:minorTickMark val="none"/>
        <c:tickLblPos val="nextTo"/>
        <c:txPr>
          <a:bodyPr/>
          <a:lstStyle/>
          <a:p>
            <a:pPr>
              <a:defRPr sz="1000" b="1"/>
            </a:pPr>
            <a:endParaRPr lang="en-US"/>
          </a:p>
        </c:txPr>
        <c:crossAx val="305366016"/>
        <c:crosses val="autoZero"/>
        <c:crossBetween val="between"/>
      </c:valAx>
      <c:spPr>
        <a:ln>
          <a:noFill/>
        </a:ln>
      </c:spPr>
    </c:plotArea>
    <c:legend>
      <c:legendPos val="r"/>
      <c:layout>
        <c:manualLayout>
          <c:xMode val="edge"/>
          <c:yMode val="edge"/>
          <c:x val="0.7626453096289747"/>
          <c:y val="0.12276964540506263"/>
          <c:w val="0.23735469037102574"/>
          <c:h val="0.68803836600961787"/>
        </c:manualLayout>
      </c:layout>
      <c:overlay val="0"/>
      <c:spPr>
        <a:ln>
          <a:noFill/>
        </a:ln>
      </c:spPr>
      <c:txPr>
        <a:bodyPr/>
        <a:lstStyle/>
        <a:p>
          <a:pPr>
            <a:defRPr sz="1200" b="0"/>
          </a:pPr>
          <a:endParaRPr lang="en-US"/>
        </a:p>
      </c:txPr>
    </c:legend>
    <c:plotVisOnly val="0"/>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4265411945458"/>
          <c:y val="4.7619047619047623E-2"/>
          <c:w val="0.37804878048780494"/>
          <c:h val="0.92261904761904778"/>
        </c:manualLayout>
      </c:layout>
      <c:pieChart>
        <c:varyColors val="1"/>
        <c:ser>
          <c:idx val="0"/>
          <c:order val="0"/>
          <c:spPr>
            <a:ln>
              <a:noFill/>
            </a:ln>
          </c:spPr>
          <c:dPt>
            <c:idx val="0"/>
            <c:bubble3D val="0"/>
            <c:spPr>
              <a:solidFill>
                <a:srgbClr val="FCBB69"/>
              </a:solidFill>
              <a:ln>
                <a:noFill/>
              </a:ln>
            </c:spPr>
          </c:dPt>
          <c:dPt>
            <c:idx val="1"/>
            <c:bubble3D val="0"/>
            <c:spPr>
              <a:solidFill>
                <a:srgbClr val="004B88"/>
              </a:solidFill>
              <a:ln>
                <a:noFill/>
              </a:ln>
            </c:spPr>
          </c:dPt>
          <c:dPt>
            <c:idx val="2"/>
            <c:bubble3D val="0"/>
            <c:spPr>
              <a:solidFill>
                <a:schemeClr val="tx2">
                  <a:lumMod val="60000"/>
                  <a:lumOff val="40000"/>
                </a:schemeClr>
              </a:solidFill>
              <a:ln>
                <a:noFill/>
              </a:ln>
            </c:spPr>
          </c:dPt>
          <c:dLbls>
            <c:txPr>
              <a:bodyPr/>
              <a:lstStyle/>
              <a:p>
                <a:pPr>
                  <a:defRPr sz="1200" b="1">
                    <a:solidFill>
                      <a:schemeClr val="bg1"/>
                    </a:solidFill>
                  </a:defRPr>
                </a:pPr>
                <a:endParaRPr lang="en-US"/>
              </a:p>
            </c:txPr>
            <c:dLblPos val="bestFit"/>
            <c:showLegendKey val="0"/>
            <c:showVal val="1"/>
            <c:showCatName val="0"/>
            <c:showSerName val="0"/>
            <c:showPercent val="0"/>
            <c:showBubbleSize val="0"/>
            <c:showLeaderLines val="1"/>
          </c:dLbls>
          <c:cat>
            <c:strRef>
              <c:f>Dashboard!$CB$18:$CB$19</c:f>
              <c:strCache>
                <c:ptCount val="2"/>
                <c:pt idx="0">
                  <c:v>Disabled or LTH condition</c:v>
                </c:pt>
                <c:pt idx="1">
                  <c:v>Not disabled/no health problems</c:v>
                </c:pt>
              </c:strCache>
            </c:strRef>
          </c:cat>
          <c:val>
            <c:numRef>
              <c:f>Dashboard!$CD$18:$CD$19</c:f>
              <c:numCache>
                <c:formatCode>0%</c:formatCode>
                <c:ptCount val="2"/>
                <c:pt idx="0">
                  <c:v>0.49635886979318378</c:v>
                </c:pt>
                <c:pt idx="1">
                  <c:v>0.50364113020681622</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5802400614557366"/>
          <c:y val="0.26637654668166483"/>
          <c:w val="0.31270770117149999"/>
          <c:h val="0.4672469066366704"/>
        </c:manualLayout>
      </c:layout>
      <c:overlay val="0"/>
      <c:txPr>
        <a:bodyPr/>
        <a:lstStyle/>
        <a:p>
          <a:pPr>
            <a:defRPr sz="1200" b="0"/>
          </a:pPr>
          <a:endParaRPr lang="en-US"/>
        </a:p>
      </c:txPr>
    </c:legend>
    <c:plotVisOnly val="0"/>
    <c:dispBlanksAs val="zero"/>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4B88"/>
            </a:solidFill>
            <a:ln>
              <a:noFill/>
            </a:ln>
          </c:spPr>
          <c:invertIfNegative val="0"/>
          <c:dLbls>
            <c:numFmt formatCode="#,##0" sourceLinked="0"/>
            <c:showLegendKey val="0"/>
            <c:showVal val="1"/>
            <c:showCatName val="0"/>
            <c:showSerName val="0"/>
            <c:showPercent val="0"/>
            <c:showBubbleSize val="0"/>
            <c:showLeaderLines val="0"/>
          </c:dLbls>
          <c:cat>
            <c:strRef>
              <c:f>Client_Profile!$B$31:$B$48</c:f>
              <c:strCache>
                <c:ptCount val="18"/>
                <c:pt idx="0">
                  <c:v>10-14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85-89</c:v>
                </c:pt>
                <c:pt idx="16">
                  <c:v>90-94</c:v>
                </c:pt>
                <c:pt idx="17">
                  <c:v>95-99</c:v>
                </c:pt>
              </c:strCache>
            </c:strRef>
          </c:cat>
          <c:val>
            <c:numRef>
              <c:f>Client_Profile!$C$31:$C$49</c:f>
              <c:numCache>
                <c:formatCode>#,##0</c:formatCode>
                <c:ptCount val="19"/>
                <c:pt idx="0">
                  <c:v>0</c:v>
                </c:pt>
                <c:pt idx="1">
                  <c:v>44</c:v>
                </c:pt>
                <c:pt idx="2">
                  <c:v>259</c:v>
                </c:pt>
                <c:pt idx="3">
                  <c:v>455</c:v>
                </c:pt>
                <c:pt idx="4">
                  <c:v>455</c:v>
                </c:pt>
                <c:pt idx="5">
                  <c:v>451</c:v>
                </c:pt>
                <c:pt idx="6">
                  <c:v>374</c:v>
                </c:pt>
                <c:pt idx="7">
                  <c:v>449</c:v>
                </c:pt>
                <c:pt idx="8">
                  <c:v>427</c:v>
                </c:pt>
                <c:pt idx="9">
                  <c:v>363</c:v>
                </c:pt>
                <c:pt idx="10">
                  <c:v>299</c:v>
                </c:pt>
                <c:pt idx="11">
                  <c:v>196</c:v>
                </c:pt>
                <c:pt idx="12">
                  <c:v>93</c:v>
                </c:pt>
                <c:pt idx="13">
                  <c:v>88</c:v>
                </c:pt>
                <c:pt idx="14">
                  <c:v>33</c:v>
                </c:pt>
                <c:pt idx="15">
                  <c:v>28</c:v>
                </c:pt>
                <c:pt idx="16">
                  <c:v>3</c:v>
                </c:pt>
                <c:pt idx="17">
                  <c:v>3</c:v>
                </c:pt>
                <c:pt idx="18">
                  <c:v>0</c:v>
                </c:pt>
              </c:numCache>
            </c:numRef>
          </c:val>
        </c:ser>
        <c:dLbls>
          <c:showLegendKey val="0"/>
          <c:showVal val="0"/>
          <c:showCatName val="0"/>
          <c:showSerName val="0"/>
          <c:showPercent val="0"/>
          <c:showBubbleSize val="0"/>
        </c:dLbls>
        <c:gapWidth val="150"/>
        <c:axId val="305366528"/>
        <c:axId val="308155456"/>
      </c:barChart>
      <c:catAx>
        <c:axId val="305366528"/>
        <c:scaling>
          <c:orientation val="minMax"/>
        </c:scaling>
        <c:delete val="0"/>
        <c:axPos val="b"/>
        <c:numFmt formatCode="General" sourceLinked="1"/>
        <c:majorTickMark val="out"/>
        <c:minorTickMark val="none"/>
        <c:tickLblPos val="nextTo"/>
        <c:txPr>
          <a:bodyPr/>
          <a:lstStyle/>
          <a:p>
            <a:pPr>
              <a:defRPr b="1"/>
            </a:pPr>
            <a:endParaRPr lang="en-US"/>
          </a:p>
        </c:txPr>
        <c:crossAx val="308155456"/>
        <c:crosses val="autoZero"/>
        <c:auto val="1"/>
        <c:lblAlgn val="ctr"/>
        <c:lblOffset val="100"/>
        <c:noMultiLvlLbl val="0"/>
      </c:catAx>
      <c:valAx>
        <c:axId val="308155456"/>
        <c:scaling>
          <c:orientation val="minMax"/>
        </c:scaling>
        <c:delete val="0"/>
        <c:axPos val="l"/>
        <c:majorGridlines>
          <c:spPr>
            <a:ln>
              <a:noFill/>
            </a:ln>
          </c:spPr>
        </c:majorGridlines>
        <c:numFmt formatCode="#,##0" sourceLinked="1"/>
        <c:majorTickMark val="out"/>
        <c:minorTickMark val="none"/>
        <c:tickLblPos val="nextTo"/>
        <c:txPr>
          <a:bodyPr/>
          <a:lstStyle/>
          <a:p>
            <a:pPr>
              <a:defRPr b="1"/>
            </a:pPr>
            <a:endParaRPr lang="en-US"/>
          </a:p>
        </c:txPr>
        <c:crossAx val="305366528"/>
        <c:crosses val="autoZero"/>
        <c:crossBetween val="between"/>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Dashboard!$AL$24</c:f>
              <c:strCache>
                <c:ptCount val="1"/>
                <c:pt idx="0">
                  <c:v>Gateway (inc information)</c:v>
                </c:pt>
              </c:strCache>
            </c:strRef>
          </c:tx>
          <c:spPr>
            <a:solidFill>
              <a:srgbClr val="004B88"/>
            </a:solidFill>
            <a:ln>
              <a:noFill/>
            </a:ln>
          </c:spPr>
          <c:invertIfNegative val="0"/>
          <c:dLbls>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val>
            <c:numRef>
              <c:f>Dashboard!$AN$24</c:f>
              <c:numCache>
                <c:formatCode>0%</c:formatCode>
                <c:ptCount val="1"/>
                <c:pt idx="0">
                  <c:v>0.41746880570409983</c:v>
                </c:pt>
              </c:numCache>
            </c:numRef>
          </c:val>
        </c:ser>
        <c:ser>
          <c:idx val="1"/>
          <c:order val="1"/>
          <c:tx>
            <c:strRef>
              <c:f>Dashboard!$AL$23</c:f>
              <c:strCache>
                <c:ptCount val="1"/>
                <c:pt idx="0">
                  <c:v>Advice</c:v>
                </c:pt>
              </c:strCache>
            </c:strRef>
          </c:tx>
          <c:spPr>
            <a:solidFill>
              <a:srgbClr val="FCBB69"/>
            </a:solidFill>
            <a:ln>
              <a:noFill/>
            </a:ln>
          </c:spPr>
          <c:invertIfNegative val="0"/>
          <c:dLbls>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val>
            <c:numRef>
              <c:f>Dashboard!$AN$23</c:f>
              <c:numCache>
                <c:formatCode>0%</c:formatCode>
                <c:ptCount val="1"/>
                <c:pt idx="0">
                  <c:v>0.3871657754010695</c:v>
                </c:pt>
              </c:numCache>
            </c:numRef>
          </c:val>
        </c:ser>
        <c:ser>
          <c:idx val="2"/>
          <c:order val="2"/>
          <c:tx>
            <c:strRef>
              <c:f>Dashboard!$AL$22</c:f>
              <c:strCache>
                <c:ptCount val="1"/>
                <c:pt idx="0">
                  <c:v>Casework</c:v>
                </c:pt>
              </c:strCache>
            </c:strRef>
          </c:tx>
          <c:spPr>
            <a:solidFill>
              <a:srgbClr val="57486B"/>
            </a:solidFill>
            <a:ln>
              <a:noFill/>
            </a:ln>
          </c:spPr>
          <c:invertIfNegative val="0"/>
          <c:dLbls>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val>
            <c:numRef>
              <c:f>Dashboard!$AN$22</c:f>
              <c:numCache>
                <c:formatCode>0%</c:formatCode>
                <c:ptCount val="1"/>
                <c:pt idx="0">
                  <c:v>0.19536541889483067</c:v>
                </c:pt>
              </c:numCache>
            </c:numRef>
          </c:val>
        </c:ser>
        <c:dLbls>
          <c:showLegendKey val="0"/>
          <c:showVal val="1"/>
          <c:showCatName val="0"/>
          <c:showSerName val="0"/>
          <c:showPercent val="0"/>
          <c:showBubbleSize val="0"/>
        </c:dLbls>
        <c:gapWidth val="150"/>
        <c:overlap val="100"/>
        <c:axId val="305367040"/>
        <c:axId val="308157184"/>
      </c:barChart>
      <c:catAx>
        <c:axId val="305367040"/>
        <c:scaling>
          <c:orientation val="minMax"/>
        </c:scaling>
        <c:delete val="1"/>
        <c:axPos val="b"/>
        <c:majorTickMark val="out"/>
        <c:minorTickMark val="none"/>
        <c:tickLblPos val="none"/>
        <c:crossAx val="308157184"/>
        <c:crosses val="autoZero"/>
        <c:auto val="1"/>
        <c:lblAlgn val="ctr"/>
        <c:lblOffset val="100"/>
        <c:noMultiLvlLbl val="0"/>
      </c:catAx>
      <c:valAx>
        <c:axId val="308157184"/>
        <c:scaling>
          <c:orientation val="minMax"/>
        </c:scaling>
        <c:delete val="0"/>
        <c:axPos val="l"/>
        <c:majorGridlines>
          <c:spPr>
            <a:ln>
              <a:noFill/>
            </a:ln>
          </c:spPr>
        </c:majorGridlines>
        <c:numFmt formatCode="0%" sourceLinked="1"/>
        <c:majorTickMark val="out"/>
        <c:minorTickMark val="none"/>
        <c:tickLblPos val="nextTo"/>
        <c:txPr>
          <a:bodyPr/>
          <a:lstStyle/>
          <a:p>
            <a:pPr>
              <a:defRPr b="1"/>
            </a:pPr>
            <a:endParaRPr lang="en-US"/>
          </a:p>
        </c:txPr>
        <c:crossAx val="305367040"/>
        <c:crosses val="autoZero"/>
        <c:crossBetween val="between"/>
      </c:valAx>
    </c:plotArea>
    <c:legend>
      <c:legendPos val="r"/>
      <c:layout>
        <c:manualLayout>
          <c:xMode val="edge"/>
          <c:yMode val="edge"/>
          <c:x val="0.61785502803292869"/>
          <c:y val="0.23244872168756686"/>
          <c:w val="0.36963664801317403"/>
          <c:h val="0.51197058700995701"/>
        </c:manualLayout>
      </c:layout>
      <c:overlay val="0"/>
      <c:txPr>
        <a:bodyPr/>
        <a:lstStyle/>
        <a:p>
          <a:pPr>
            <a:defRPr sz="1200" b="0"/>
          </a:pPr>
          <a:endParaRPr lang="en-US"/>
        </a:p>
      </c:txPr>
    </c:legend>
    <c:plotVisOnly val="0"/>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hyperlink" Target="#Dashboard!A1"/><Relationship Id="rId4" Type="http://schemas.openxmlformats.org/officeDocument/2006/relationships/hyperlink" Target="#'Index-Summary'!A1"/></Relationships>
</file>

<file path=xl/drawings/_rels/drawing11.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Index-Summary'!A1"/><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hyperlink" Target="#Dashboard!A1"/><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Index-Summary'!A1"/></Relationships>
</file>

<file path=xl/drawings/_rels/drawing14.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Index-Summary'!A1"/><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Index-Summary'!A1"/></Relationships>
</file>

<file path=xl/drawings/_rels/drawing16.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Index-Summary'!A1"/></Relationships>
</file>

<file path=xl/drawings/_rels/drawing17.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Index-Summary'!A1"/></Relationships>
</file>

<file path=xl/drawings/_rels/drawing18.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Index-Summary'!A1"/><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Enter Parameters'!A1"/></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7.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hyperlink" Target="#'Parameter Summary'!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Enter Parameters'!A1"/><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hyperlink" Target="#Dashboard!A1"/><Relationship Id="rId1" Type="http://schemas.openxmlformats.org/officeDocument/2006/relationships/hyperlink" Target="#'Index-Summary'!A1"/></Relationships>
</file>

<file path=xl/drawings/_rels/drawing8.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Index-Summary'!A1"/></Relationships>
</file>

<file path=xl/drawings/_rels/drawing9.xml.rels><?xml version="1.0" encoding="UTF-8" standalone="yes"?>
<Relationships xmlns="http://schemas.openxmlformats.org/package/2006/relationships"><Relationship Id="rId2" Type="http://schemas.openxmlformats.org/officeDocument/2006/relationships/hyperlink" Target="#Dashboard!A1"/><Relationship Id="rId1" Type="http://schemas.openxmlformats.org/officeDocument/2006/relationships/hyperlink" Target="#'Index-Summary'!A1"/></Relationships>
</file>

<file path=xl/drawings/drawing1.xml><?xml version="1.0" encoding="utf-8"?>
<xdr:wsDr xmlns:xdr="http://schemas.openxmlformats.org/drawingml/2006/spreadsheetDrawing" xmlns:a="http://schemas.openxmlformats.org/drawingml/2006/main">
  <xdr:twoCellAnchor editAs="oneCell">
    <xdr:from>
      <xdr:col>3</xdr:col>
      <xdr:colOff>304800</xdr:colOff>
      <xdr:row>2</xdr:row>
      <xdr:rowOff>47625</xdr:rowOff>
    </xdr:from>
    <xdr:to>
      <xdr:col>5</xdr:col>
      <xdr:colOff>609600</xdr:colOff>
      <xdr:row>16</xdr:row>
      <xdr:rowOff>47625</xdr:rowOff>
    </xdr:to>
    <mc:AlternateContent xmlns:mc="http://schemas.openxmlformats.org/markup-compatibility/2006" xmlns:a14="http://schemas.microsoft.com/office/drawing/2010/main">
      <mc:Choice Requires="a14">
        <xdr:graphicFrame macro="">
          <xdr:nvGraphicFramePr>
            <xdr:cNvPr id="8"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2" name="Rectangle 1"/>
            <xdr:cNvSpPr>
              <a:spLocks noTextEdit="1"/>
            </xdr:cNvSpPr>
          </xdr:nvSpPr>
          <xdr:spPr>
            <a:xfrm>
              <a:off x="2590800" y="42862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66675</xdr:colOff>
      <xdr:row>3</xdr:row>
      <xdr:rowOff>133350</xdr:rowOff>
    </xdr:from>
    <xdr:to>
      <xdr:col>6</xdr:col>
      <xdr:colOff>371475</xdr:colOff>
      <xdr:row>17</xdr:row>
      <xdr:rowOff>133350</xdr:rowOff>
    </xdr:to>
    <mc:AlternateContent xmlns:mc="http://schemas.openxmlformats.org/markup-compatibility/2006" xmlns:a14="http://schemas.microsoft.com/office/drawing/2010/main">
      <mc:Choice Requires="a14">
        <xdr:graphicFrame macro="">
          <xdr:nvGraphicFramePr>
            <xdr:cNvPr id="9" name="Quarte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3" name="Rectangle 2"/>
            <xdr:cNvSpPr>
              <a:spLocks noTextEdit="1"/>
            </xdr:cNvSpPr>
          </xdr:nvSpPr>
          <xdr:spPr>
            <a:xfrm>
              <a:off x="3114675" y="704850"/>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695325</xdr:colOff>
      <xdr:row>5</xdr:row>
      <xdr:rowOff>19050</xdr:rowOff>
    </xdr:from>
    <xdr:to>
      <xdr:col>7</xdr:col>
      <xdr:colOff>238125</xdr:colOff>
      <xdr:row>19</xdr:row>
      <xdr:rowOff>19050</xdr:rowOff>
    </xdr:to>
    <mc:AlternateContent xmlns:mc="http://schemas.openxmlformats.org/markup-compatibility/2006" xmlns:a14="http://schemas.microsoft.com/office/drawing/2010/main">
      <mc:Choice Requires="a14">
        <xdr:graphicFrame macro="">
          <xdr:nvGraphicFramePr>
            <xdr:cNvPr id="10" name="Month Name"/>
            <xdr:cNvGraphicFramePr/>
          </xdr:nvGraphicFramePr>
          <xdr:xfrm>
            <a:off x="0" y="0"/>
            <a:ext cx="0" cy="0"/>
          </xdr:xfrm>
          <a:graphic>
            <a:graphicData uri="http://schemas.microsoft.com/office/drawing/2010/slicer">
              <sle:slicer xmlns:sle="http://schemas.microsoft.com/office/drawing/2010/slicer" name="Month Name"/>
            </a:graphicData>
          </a:graphic>
        </xdr:graphicFrame>
      </mc:Choice>
      <mc:Fallback xmlns="">
        <xdr:sp macro="" textlink="">
          <xdr:nvSpPr>
            <xdr:cNvPr id="4" name="Rectangle 3"/>
            <xdr:cNvSpPr>
              <a:spLocks noTextEdit="1"/>
            </xdr:cNvSpPr>
          </xdr:nvSpPr>
          <xdr:spPr>
            <a:xfrm>
              <a:off x="3743325" y="971550"/>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19050</xdr:colOff>
      <xdr:row>20</xdr:row>
      <xdr:rowOff>152400</xdr:rowOff>
    </xdr:from>
    <xdr:to>
      <xdr:col>7</xdr:col>
      <xdr:colOff>323850</xdr:colOff>
      <xdr:row>34</xdr:row>
      <xdr:rowOff>152400</xdr:rowOff>
    </xdr:to>
    <mc:AlternateContent xmlns:mc="http://schemas.openxmlformats.org/markup-compatibility/2006" xmlns:a14="http://schemas.microsoft.com/office/drawing/2010/main">
      <mc:Choice Requires="a14">
        <xdr:graphicFrame macro="">
          <xdr:nvGraphicFramePr>
            <xdr:cNvPr id="11" name="Funder"/>
            <xdr:cNvGraphicFramePr/>
          </xdr:nvGraphicFramePr>
          <xdr:xfrm>
            <a:off x="0" y="0"/>
            <a:ext cx="0" cy="0"/>
          </xdr:xfrm>
          <a:graphic>
            <a:graphicData uri="http://schemas.microsoft.com/office/drawing/2010/slicer">
              <sle:slicer xmlns:sle="http://schemas.microsoft.com/office/drawing/2010/slicer" name="Funder"/>
            </a:graphicData>
          </a:graphic>
        </xdr:graphicFrame>
      </mc:Choice>
      <mc:Fallback xmlns="">
        <xdr:sp macro="" textlink="">
          <xdr:nvSpPr>
            <xdr:cNvPr id="5" name="Rectangle 4"/>
            <xdr:cNvSpPr>
              <a:spLocks noTextEdit="1"/>
            </xdr:cNvSpPr>
          </xdr:nvSpPr>
          <xdr:spPr>
            <a:xfrm>
              <a:off x="3829050" y="3962400"/>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85725</xdr:colOff>
      <xdr:row>1</xdr:row>
      <xdr:rowOff>133350</xdr:rowOff>
    </xdr:from>
    <xdr:to>
      <xdr:col>15</xdr:col>
      <xdr:colOff>390525</xdr:colOff>
      <xdr:row>15</xdr:row>
      <xdr:rowOff>133350</xdr:rowOff>
    </xdr:to>
    <mc:AlternateContent xmlns:mc="http://schemas.openxmlformats.org/markup-compatibility/2006" xmlns:a14="http://schemas.microsoft.com/office/drawing/2010/main">
      <mc:Choice Requires="a14">
        <xdr:graphicFrame macro="">
          <xdr:nvGraphicFramePr>
            <xdr:cNvPr id="2" name="Government Region"/>
            <xdr:cNvGraphicFramePr/>
          </xdr:nvGraphicFramePr>
          <xdr:xfrm>
            <a:off x="0" y="0"/>
            <a:ext cx="0" cy="0"/>
          </xdr:xfrm>
          <a:graphic>
            <a:graphicData uri="http://schemas.microsoft.com/office/drawing/2010/slicer">
              <sle:slicer xmlns:sle="http://schemas.microsoft.com/office/drawing/2010/slicer" name="Government Region"/>
            </a:graphicData>
          </a:graphic>
        </xdr:graphicFrame>
      </mc:Choice>
      <mc:Fallback xmlns="">
        <xdr:sp macro="" textlink="">
          <xdr:nvSpPr>
            <xdr:cNvPr id="6" name="Rectangle 5"/>
            <xdr:cNvSpPr>
              <a:spLocks noTextEdit="1"/>
            </xdr:cNvSpPr>
          </xdr:nvSpPr>
          <xdr:spPr>
            <a:xfrm>
              <a:off x="9991725" y="323850"/>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266700</xdr:colOff>
      <xdr:row>4</xdr:row>
      <xdr:rowOff>142875</xdr:rowOff>
    </xdr:from>
    <xdr:to>
      <xdr:col>15</xdr:col>
      <xdr:colOff>571500</xdr:colOff>
      <xdr:row>18</xdr:row>
      <xdr:rowOff>142875</xdr:rowOff>
    </xdr:to>
    <mc:AlternateContent xmlns:mc="http://schemas.openxmlformats.org/markup-compatibility/2006" xmlns:a14="http://schemas.microsoft.com/office/drawing/2010/main">
      <mc:Choice Requires="a14">
        <xdr:graphicFrame macro="">
          <xdr:nvGraphicFramePr>
            <xdr:cNvPr id="3" name="Member"/>
            <xdr:cNvGraphicFramePr/>
          </xdr:nvGraphicFramePr>
          <xdr:xfrm>
            <a:off x="0" y="0"/>
            <a:ext cx="0" cy="0"/>
          </xdr:xfrm>
          <a:graphic>
            <a:graphicData uri="http://schemas.microsoft.com/office/drawing/2010/slicer">
              <sle:slicer xmlns:sle="http://schemas.microsoft.com/office/drawing/2010/slicer" name="Member"/>
            </a:graphicData>
          </a:graphic>
        </xdr:graphicFrame>
      </mc:Choice>
      <mc:Fallback xmlns="">
        <xdr:sp macro="" textlink="">
          <xdr:nvSpPr>
            <xdr:cNvPr id="7" name="Rectangle 6"/>
            <xdr:cNvSpPr>
              <a:spLocks noTextEdit="1"/>
            </xdr:cNvSpPr>
          </xdr:nvSpPr>
          <xdr:spPr>
            <a:xfrm>
              <a:off x="10172700" y="90487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171450</xdr:colOff>
      <xdr:row>9</xdr:row>
      <xdr:rowOff>28575</xdr:rowOff>
    </xdr:from>
    <xdr:to>
      <xdr:col>15</xdr:col>
      <xdr:colOff>476250</xdr:colOff>
      <xdr:row>23</xdr:row>
      <xdr:rowOff>28575</xdr:rowOff>
    </xdr:to>
    <mc:AlternateContent xmlns:mc="http://schemas.openxmlformats.org/markup-compatibility/2006" xmlns:a14="http://schemas.microsoft.com/office/drawing/2010/main">
      <mc:Choice Requires="a14">
        <xdr:graphicFrame macro="">
          <xdr:nvGraphicFramePr>
            <xdr:cNvPr id="4" name="Bureau"/>
            <xdr:cNvGraphicFramePr/>
          </xdr:nvGraphicFramePr>
          <xdr:xfrm>
            <a:off x="0" y="0"/>
            <a:ext cx="0" cy="0"/>
          </xdr:xfrm>
          <a:graphic>
            <a:graphicData uri="http://schemas.microsoft.com/office/drawing/2010/slicer">
              <sle:slicer xmlns:sle="http://schemas.microsoft.com/office/drawing/2010/slicer" name="Bureau"/>
            </a:graphicData>
          </a:graphic>
        </xdr:graphicFrame>
      </mc:Choice>
      <mc:Fallback xmlns="">
        <xdr:sp macro="" textlink="">
          <xdr:nvSpPr>
            <xdr:cNvPr id="8" name="Rectangle 7"/>
            <xdr:cNvSpPr>
              <a:spLocks noTextEdit="1"/>
            </xdr:cNvSpPr>
          </xdr:nvSpPr>
          <xdr:spPr>
            <a:xfrm>
              <a:off x="10077450" y="174307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238125</xdr:colOff>
      <xdr:row>11</xdr:row>
      <xdr:rowOff>161925</xdr:rowOff>
    </xdr:from>
    <xdr:to>
      <xdr:col>15</xdr:col>
      <xdr:colOff>542925</xdr:colOff>
      <xdr:row>25</xdr:row>
      <xdr:rowOff>161925</xdr:rowOff>
    </xdr:to>
    <mc:AlternateContent xmlns:mc="http://schemas.openxmlformats.org/markup-compatibility/2006" xmlns:a14="http://schemas.microsoft.com/office/drawing/2010/main">
      <mc:Choice Requires="a14">
        <xdr:graphicFrame macro="">
          <xdr:nvGraphicFramePr>
            <xdr:cNvPr id="5" name="Outreach"/>
            <xdr:cNvGraphicFramePr/>
          </xdr:nvGraphicFramePr>
          <xdr:xfrm>
            <a:off x="0" y="0"/>
            <a:ext cx="0" cy="0"/>
          </xdr:xfrm>
          <a:graphic>
            <a:graphicData uri="http://schemas.microsoft.com/office/drawing/2010/slicer">
              <sle:slicer xmlns:sle="http://schemas.microsoft.com/office/drawing/2010/slicer" name="Outreach"/>
            </a:graphicData>
          </a:graphic>
        </xdr:graphicFrame>
      </mc:Choice>
      <mc:Fallback xmlns="">
        <xdr:sp macro="" textlink="">
          <xdr:nvSpPr>
            <xdr:cNvPr id="9" name="Rectangle 8"/>
            <xdr:cNvSpPr>
              <a:spLocks noTextEdit="1"/>
            </xdr:cNvSpPr>
          </xdr:nvSpPr>
          <xdr:spPr>
            <a:xfrm>
              <a:off x="10144125" y="225742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485775</xdr:colOff>
      <xdr:row>7</xdr:row>
      <xdr:rowOff>9525</xdr:rowOff>
    </xdr:from>
    <xdr:to>
      <xdr:col>10</xdr:col>
      <xdr:colOff>28575</xdr:colOff>
      <xdr:row>21</xdr:row>
      <xdr:rowOff>9525</xdr:rowOff>
    </xdr:to>
    <mc:AlternateContent xmlns:mc="http://schemas.openxmlformats.org/markup-compatibility/2006" xmlns:a14="http://schemas.microsoft.com/office/drawing/2010/main">
      <mc:Choice Requires="a14">
        <xdr:graphicFrame macro="">
          <xdr:nvGraphicFramePr>
            <xdr:cNvPr id="6" name="Year 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10" name="Rectangle 9"/>
            <xdr:cNvSpPr>
              <a:spLocks noTextEdit="1"/>
            </xdr:cNvSpPr>
          </xdr:nvSpPr>
          <xdr:spPr>
            <a:xfrm>
              <a:off x="5819775" y="134302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200025</xdr:colOff>
      <xdr:row>9</xdr:row>
      <xdr:rowOff>104775</xdr:rowOff>
    </xdr:from>
    <xdr:to>
      <xdr:col>10</xdr:col>
      <xdr:colOff>504825</xdr:colOff>
      <xdr:row>23</xdr:row>
      <xdr:rowOff>104775</xdr:rowOff>
    </xdr:to>
    <mc:AlternateContent xmlns:mc="http://schemas.openxmlformats.org/markup-compatibility/2006" xmlns:a14="http://schemas.microsoft.com/office/drawing/2010/main">
      <mc:Choice Requires="a14">
        <xdr:graphicFrame macro="">
          <xdr:nvGraphicFramePr>
            <xdr:cNvPr id="7" name="Quarter 1"/>
            <xdr:cNvGraphicFramePr/>
          </xdr:nvGraphicFramePr>
          <xdr:xfrm>
            <a:off x="0" y="0"/>
            <a:ext cx="0" cy="0"/>
          </xdr:xfrm>
          <a:graphic>
            <a:graphicData uri="http://schemas.microsoft.com/office/drawing/2010/slicer">
              <sle:slicer xmlns:sle="http://schemas.microsoft.com/office/drawing/2010/slicer" name="Quarter 1"/>
            </a:graphicData>
          </a:graphic>
        </xdr:graphicFrame>
      </mc:Choice>
      <mc:Fallback xmlns="">
        <xdr:sp macro="" textlink="">
          <xdr:nvSpPr>
            <xdr:cNvPr id="11" name="Rectangle 10"/>
            <xdr:cNvSpPr>
              <a:spLocks noTextEdit="1"/>
            </xdr:cNvSpPr>
          </xdr:nvSpPr>
          <xdr:spPr>
            <a:xfrm>
              <a:off x="6296025" y="181927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676275</xdr:colOff>
      <xdr:row>12</xdr:row>
      <xdr:rowOff>9525</xdr:rowOff>
    </xdr:from>
    <xdr:to>
      <xdr:col>11</xdr:col>
      <xdr:colOff>219075</xdr:colOff>
      <xdr:row>26</xdr:row>
      <xdr:rowOff>9525</xdr:rowOff>
    </xdr:to>
    <mc:AlternateContent xmlns:mc="http://schemas.openxmlformats.org/markup-compatibility/2006" xmlns:a14="http://schemas.microsoft.com/office/drawing/2010/main">
      <mc:Choice Requires="a14">
        <xdr:graphicFrame macro="">
          <xdr:nvGraphicFramePr>
            <xdr:cNvPr id="12" name="Month Name 1"/>
            <xdr:cNvGraphicFramePr/>
          </xdr:nvGraphicFramePr>
          <xdr:xfrm>
            <a:off x="0" y="0"/>
            <a:ext cx="0" cy="0"/>
          </xdr:xfrm>
          <a:graphic>
            <a:graphicData uri="http://schemas.microsoft.com/office/drawing/2010/slicer">
              <sle:slicer xmlns:sle="http://schemas.microsoft.com/office/drawing/2010/slicer" name="Month Name 1"/>
            </a:graphicData>
          </a:graphic>
        </xdr:graphicFrame>
      </mc:Choice>
      <mc:Fallback xmlns="">
        <xdr:sp macro="" textlink="">
          <xdr:nvSpPr>
            <xdr:cNvPr id="12" name="Rectangle 11"/>
            <xdr:cNvSpPr>
              <a:spLocks noTextEdit="1"/>
            </xdr:cNvSpPr>
          </xdr:nvSpPr>
          <xdr:spPr>
            <a:xfrm>
              <a:off x="6772275" y="229552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390525</xdr:colOff>
      <xdr:row>14</xdr:row>
      <xdr:rowOff>104775</xdr:rowOff>
    </xdr:from>
    <xdr:to>
      <xdr:col>11</xdr:col>
      <xdr:colOff>695325</xdr:colOff>
      <xdr:row>28</xdr:row>
      <xdr:rowOff>104775</xdr:rowOff>
    </xdr:to>
    <mc:AlternateContent xmlns:mc="http://schemas.openxmlformats.org/markup-compatibility/2006" xmlns:a14="http://schemas.microsoft.com/office/drawing/2010/main">
      <mc:Choice Requires="a14">
        <xdr:graphicFrame macro="">
          <xdr:nvGraphicFramePr>
            <xdr:cNvPr id="13" name="Year 2"/>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13" name="Rectangle 12"/>
            <xdr:cNvSpPr>
              <a:spLocks noTextEdit="1"/>
            </xdr:cNvSpPr>
          </xdr:nvSpPr>
          <xdr:spPr>
            <a:xfrm>
              <a:off x="7248525" y="277177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104775</xdr:colOff>
      <xdr:row>17</xdr:row>
      <xdr:rowOff>9525</xdr:rowOff>
    </xdr:from>
    <xdr:to>
      <xdr:col>12</xdr:col>
      <xdr:colOff>409575</xdr:colOff>
      <xdr:row>31</xdr:row>
      <xdr:rowOff>9525</xdr:rowOff>
    </xdr:to>
    <mc:AlternateContent xmlns:mc="http://schemas.openxmlformats.org/markup-compatibility/2006" xmlns:a14="http://schemas.microsoft.com/office/drawing/2010/main">
      <mc:Choice Requires="a14">
        <xdr:graphicFrame macro="">
          <xdr:nvGraphicFramePr>
            <xdr:cNvPr id="14" name="Quarter 2"/>
            <xdr:cNvGraphicFramePr/>
          </xdr:nvGraphicFramePr>
          <xdr:xfrm>
            <a:off x="0" y="0"/>
            <a:ext cx="0" cy="0"/>
          </xdr:xfrm>
          <a:graphic>
            <a:graphicData uri="http://schemas.microsoft.com/office/drawing/2010/slicer">
              <sle:slicer xmlns:sle="http://schemas.microsoft.com/office/drawing/2010/slicer" name="Quarter 2"/>
            </a:graphicData>
          </a:graphic>
        </xdr:graphicFrame>
      </mc:Choice>
      <mc:Fallback xmlns="">
        <xdr:sp macro="" textlink="">
          <xdr:nvSpPr>
            <xdr:cNvPr id="14" name="Rectangle 13"/>
            <xdr:cNvSpPr>
              <a:spLocks noTextEdit="1"/>
            </xdr:cNvSpPr>
          </xdr:nvSpPr>
          <xdr:spPr>
            <a:xfrm>
              <a:off x="7724775" y="324802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581025</xdr:colOff>
      <xdr:row>19</xdr:row>
      <xdr:rowOff>104775</xdr:rowOff>
    </xdr:from>
    <xdr:to>
      <xdr:col>13</xdr:col>
      <xdr:colOff>123825</xdr:colOff>
      <xdr:row>33</xdr:row>
      <xdr:rowOff>104775</xdr:rowOff>
    </xdr:to>
    <mc:AlternateContent xmlns:mc="http://schemas.openxmlformats.org/markup-compatibility/2006" xmlns:a14="http://schemas.microsoft.com/office/drawing/2010/main">
      <mc:Choice Requires="a14">
        <xdr:graphicFrame macro="">
          <xdr:nvGraphicFramePr>
            <xdr:cNvPr id="15" name="Month Name 2"/>
            <xdr:cNvGraphicFramePr/>
          </xdr:nvGraphicFramePr>
          <xdr:xfrm>
            <a:off x="0" y="0"/>
            <a:ext cx="0" cy="0"/>
          </xdr:xfrm>
          <a:graphic>
            <a:graphicData uri="http://schemas.microsoft.com/office/drawing/2010/slicer">
              <sle:slicer xmlns:sle="http://schemas.microsoft.com/office/drawing/2010/slicer" name="Month Name 2"/>
            </a:graphicData>
          </a:graphic>
        </xdr:graphicFrame>
      </mc:Choice>
      <mc:Fallback xmlns="">
        <xdr:sp macro="" textlink="">
          <xdr:nvSpPr>
            <xdr:cNvPr id="15" name="Rectangle 14"/>
            <xdr:cNvSpPr>
              <a:spLocks noTextEdit="1"/>
            </xdr:cNvSpPr>
          </xdr:nvSpPr>
          <xdr:spPr>
            <a:xfrm>
              <a:off x="8201025" y="3724275"/>
              <a:ext cx="1828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54287</xdr:colOff>
      <xdr:row>14</xdr:row>
      <xdr:rowOff>100854</xdr:rowOff>
    </xdr:from>
    <xdr:to>
      <xdr:col>11</xdr:col>
      <xdr:colOff>1690688</xdr:colOff>
      <xdr:row>27</xdr:row>
      <xdr:rowOff>22412</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381700</xdr:colOff>
      <xdr:row>29</xdr:row>
      <xdr:rowOff>62522</xdr:rowOff>
    </xdr:from>
    <xdr:to>
      <xdr:col>11</xdr:col>
      <xdr:colOff>1571625</xdr:colOff>
      <xdr:row>41</xdr:row>
      <xdr:rowOff>23813</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477547</xdr:colOff>
      <xdr:row>42</xdr:row>
      <xdr:rowOff>288366</xdr:rowOff>
    </xdr:from>
    <xdr:to>
      <xdr:col>11</xdr:col>
      <xdr:colOff>1690687</xdr:colOff>
      <xdr:row>53</xdr:row>
      <xdr:rowOff>29233</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112058</xdr:colOff>
      <xdr:row>3</xdr:row>
      <xdr:rowOff>11206</xdr:rowOff>
    </xdr:from>
    <xdr:ext cx="12651442" cy="982961"/>
    <xdr:sp macro="" textlink="">
      <xdr:nvSpPr>
        <xdr:cNvPr id="15" name="Rectangle 14"/>
        <xdr:cNvSpPr/>
      </xdr:nvSpPr>
      <xdr:spPr>
        <a:xfrm>
          <a:off x="112058" y="689862"/>
          <a:ext cx="12651442" cy="982961"/>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Enquiries</a:t>
          </a:r>
          <a:r>
            <a:rPr lang="en-US" sz="5100" b="1" cap="none" spc="0" baseline="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 and Gateways by work level</a:t>
          </a:r>
          <a:endParaRPr lang="en-US" sz="5100" b="1" cap="none" spc="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oneCellAnchor>
  <xdr:twoCellAnchor>
    <xdr:from>
      <xdr:col>9</xdr:col>
      <xdr:colOff>1854200</xdr:colOff>
      <xdr:row>6</xdr:row>
      <xdr:rowOff>76200</xdr:rowOff>
    </xdr:from>
    <xdr:to>
      <xdr:col>11</xdr:col>
      <xdr:colOff>1044575</xdr:colOff>
      <xdr:row>8</xdr:row>
      <xdr:rowOff>114300</xdr:rowOff>
    </xdr:to>
    <xdr:grpSp>
      <xdr:nvGrpSpPr>
        <xdr:cNvPr id="16" name="Group 15">
          <a:hlinkClick xmlns:r="http://schemas.openxmlformats.org/officeDocument/2006/relationships" r:id="rId4"/>
        </xdr:cNvPr>
        <xdr:cNvGrpSpPr/>
      </xdr:nvGrpSpPr>
      <xdr:grpSpPr>
        <a:xfrm>
          <a:off x="12974638" y="647700"/>
          <a:ext cx="2940843" cy="490538"/>
          <a:chOff x="11414125" y="431800"/>
          <a:chExt cx="2949575" cy="444500"/>
        </a:xfrm>
      </xdr:grpSpPr>
      <xdr:sp macro="" textlink="">
        <xdr:nvSpPr>
          <xdr:cNvPr id="17"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18" name="TextBox 17">
            <a:hlinkClick xmlns:r="http://schemas.openxmlformats.org/officeDocument/2006/relationships" r:id="rId5"/>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tx2">
                    <a:lumMod val="75000"/>
                  </a:schemeClr>
                </a:solidFill>
              </a:rPr>
              <a:t>Back</a:t>
            </a:r>
            <a:r>
              <a:rPr lang="en-GB" sz="1800" b="1" baseline="0">
                <a:solidFill>
                  <a:schemeClr val="tx2">
                    <a:lumMod val="75000"/>
                  </a:schemeClr>
                </a:solidFill>
              </a:rPr>
              <a:t> to dashboard</a:t>
            </a:r>
            <a:endParaRPr lang="en-GB" sz="1800" b="1">
              <a:solidFill>
                <a:schemeClr val="tx2">
                  <a:lumMod val="75000"/>
                </a:schemeClr>
              </a:solidFill>
            </a:endParaRPr>
          </a:p>
        </xdr:txBody>
      </xdr:sp>
      <xdr:sp macro="" textlink="">
        <xdr:nvSpPr>
          <xdr:cNvPr id="19"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127000</xdr:colOff>
      <xdr:row>48</xdr:row>
      <xdr:rowOff>107949</xdr:rowOff>
    </xdr:from>
    <xdr:to>
      <xdr:col>9</xdr:col>
      <xdr:colOff>12700</xdr:colOff>
      <xdr:row>62</xdr:row>
      <xdr:rowOff>184149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3</xdr:row>
      <xdr:rowOff>88900</xdr:rowOff>
    </xdr:from>
    <xdr:ext cx="9969500" cy="890693"/>
    <xdr:sp macro="" textlink="">
      <xdr:nvSpPr>
        <xdr:cNvPr id="11" name="Rectangle 10"/>
        <xdr:cNvSpPr/>
      </xdr:nvSpPr>
      <xdr:spPr>
        <a:xfrm>
          <a:off x="139700" y="279400"/>
          <a:ext cx="9969500" cy="890693"/>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mn-lt"/>
              <a:cs typeface="Times New Roman" panose="02020603050405020304" pitchFamily="18" charset="0"/>
            </a:rPr>
            <a:t>Contact</a:t>
          </a:r>
          <a:r>
            <a:rPr lang="en-US" sz="5100" b="1" cap="none" spc="0" baseline="0">
              <a:ln w="18415" cmpd="sng">
                <a:noFill/>
                <a:prstDash val="solid"/>
              </a:ln>
              <a:solidFill>
                <a:schemeClr val="accent1">
                  <a:lumMod val="75000"/>
                </a:schemeClr>
              </a:solidFill>
              <a:effectLst/>
              <a:latin typeface="+mn-lt"/>
              <a:cs typeface="Times New Roman" panose="02020603050405020304" pitchFamily="18" charset="0"/>
            </a:rPr>
            <a:t> Counts</a:t>
          </a:r>
          <a:endParaRPr lang="en-US" sz="5100" b="1" cap="none" spc="0">
            <a:ln w="18415" cmpd="sng">
              <a:noFill/>
              <a:prstDash val="solid"/>
            </a:ln>
            <a:solidFill>
              <a:schemeClr val="accent1">
                <a:lumMod val="75000"/>
              </a:schemeClr>
            </a:solidFill>
            <a:effectLst/>
            <a:latin typeface="+mn-lt"/>
            <a:cs typeface="Times New Roman" panose="02020603050405020304" pitchFamily="18" charset="0"/>
          </a:endParaRPr>
        </a:p>
      </xdr:txBody>
    </xdr:sp>
    <xdr:clientData/>
  </xdr:oneCellAnchor>
  <xdr:twoCellAnchor>
    <xdr:from>
      <xdr:col>6</xdr:col>
      <xdr:colOff>1422400</xdr:colOff>
      <xdr:row>6</xdr:row>
      <xdr:rowOff>50800</xdr:rowOff>
    </xdr:from>
    <xdr:to>
      <xdr:col>8</xdr:col>
      <xdr:colOff>1069975</xdr:colOff>
      <xdr:row>8</xdr:row>
      <xdr:rowOff>114300</xdr:rowOff>
    </xdr:to>
    <xdr:grpSp>
      <xdr:nvGrpSpPr>
        <xdr:cNvPr id="12" name="Group 11">
          <a:hlinkClick xmlns:r="http://schemas.openxmlformats.org/officeDocument/2006/relationships" r:id="rId2"/>
        </xdr:cNvPr>
        <xdr:cNvGrpSpPr/>
      </xdr:nvGrpSpPr>
      <xdr:grpSpPr>
        <a:xfrm>
          <a:off x="10100733" y="442383"/>
          <a:ext cx="2949575" cy="529167"/>
          <a:chOff x="11414125" y="431800"/>
          <a:chExt cx="2949575" cy="444500"/>
        </a:xfrm>
      </xdr:grpSpPr>
      <xdr:sp macro="" textlink="">
        <xdr:nvSpPr>
          <xdr:cNvPr id="13"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14" name="TextBox 13">
            <a:hlinkClick xmlns:r="http://schemas.openxmlformats.org/officeDocument/2006/relationships" r:id="rId3"/>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tx2">
                    <a:lumMod val="75000"/>
                  </a:schemeClr>
                </a:solidFill>
              </a:rPr>
              <a:t>Back</a:t>
            </a:r>
            <a:r>
              <a:rPr lang="en-GB" sz="1600" b="1" baseline="0">
                <a:solidFill>
                  <a:schemeClr val="tx2">
                    <a:lumMod val="75000"/>
                  </a:schemeClr>
                </a:solidFill>
              </a:rPr>
              <a:t> to dashboard</a:t>
            </a:r>
            <a:endParaRPr lang="en-GB" sz="1600" b="1">
              <a:solidFill>
                <a:schemeClr val="tx2">
                  <a:lumMod val="75000"/>
                </a:schemeClr>
              </a:solidFill>
            </a:endParaRPr>
          </a:p>
        </xdr:txBody>
      </xdr:sp>
      <xdr:sp macro="" textlink="">
        <xdr:nvSpPr>
          <xdr:cNvPr id="15"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twoCellAnchor>
    <xdr:from>
      <xdr:col>1</xdr:col>
      <xdr:colOff>61383</xdr:colOff>
      <xdr:row>6</xdr:row>
      <xdr:rowOff>228599</xdr:rowOff>
    </xdr:from>
    <xdr:to>
      <xdr:col>3</xdr:col>
      <xdr:colOff>528108</xdr:colOff>
      <xdr:row>11</xdr:row>
      <xdr:rowOff>74083</xdr:rowOff>
    </xdr:to>
    <xdr:sp macro="" textlink="">
      <xdr:nvSpPr>
        <xdr:cNvPr id="8" name="TextBox 7"/>
        <xdr:cNvSpPr txBox="1"/>
      </xdr:nvSpPr>
      <xdr:spPr>
        <a:xfrm>
          <a:off x="209550" y="694266"/>
          <a:ext cx="4139141" cy="543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Client contacts are all interactions with and on behalf of clients, but not necessarily reflecting the main channel of advice delivery</a:t>
          </a:r>
          <a:endParaRPr lang="en-GB" sz="12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88901</xdr:colOff>
      <xdr:row>7</xdr:row>
      <xdr:rowOff>76200</xdr:rowOff>
    </xdr:from>
    <xdr:to>
      <xdr:col>3</xdr:col>
      <xdr:colOff>685801</xdr:colOff>
      <xdr:row>8</xdr:row>
      <xdr:rowOff>0</xdr:rowOff>
    </xdr:to>
    <xdr:sp macro="" textlink="">
      <xdr:nvSpPr>
        <xdr:cNvPr id="4" name="TextBox 3"/>
        <xdr:cNvSpPr txBox="1"/>
      </xdr:nvSpPr>
      <xdr:spPr>
        <a:xfrm>
          <a:off x="241301" y="809625"/>
          <a:ext cx="45212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t>Client Profile data</a:t>
          </a:r>
          <a:r>
            <a:rPr lang="en-GB" sz="1200" baseline="0"/>
            <a:t> based on a contact within the period</a:t>
          </a:r>
          <a:endParaRPr lang="en-GB" sz="1200"/>
        </a:p>
        <a:p>
          <a:endParaRPr lang="en-GB" sz="1200"/>
        </a:p>
      </xdr:txBody>
    </xdr:sp>
    <xdr:clientData/>
  </xdr:twoCellAnchor>
  <xdr:twoCellAnchor>
    <xdr:from>
      <xdr:col>6</xdr:col>
      <xdr:colOff>238124</xdr:colOff>
      <xdr:row>13</xdr:row>
      <xdr:rowOff>327025</xdr:rowOff>
    </xdr:from>
    <xdr:to>
      <xdr:col>10</xdr:col>
      <xdr:colOff>1073149</xdr:colOff>
      <xdr:row>23</xdr:row>
      <xdr:rowOff>104775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298448</xdr:colOff>
      <xdr:row>26</xdr:row>
      <xdr:rowOff>163286</xdr:rowOff>
    </xdr:from>
    <xdr:to>
      <xdr:col>13</xdr:col>
      <xdr:colOff>326572</xdr:colOff>
      <xdr:row>51</xdr:row>
      <xdr:rowOff>88900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432706</xdr:colOff>
      <xdr:row>85</xdr:row>
      <xdr:rowOff>101600</xdr:rowOff>
    </xdr:from>
    <xdr:to>
      <xdr:col>10</xdr:col>
      <xdr:colOff>1059543</xdr:colOff>
      <xdr:row>96</xdr:row>
      <xdr:rowOff>63500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120648</xdr:colOff>
      <xdr:row>97</xdr:row>
      <xdr:rowOff>190500</xdr:rowOff>
    </xdr:from>
    <xdr:to>
      <xdr:col>14</xdr:col>
      <xdr:colOff>1104900</xdr:colOff>
      <xdr:row>111</xdr:row>
      <xdr:rowOff>88900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628649</xdr:colOff>
      <xdr:row>58</xdr:row>
      <xdr:rowOff>167048</xdr:rowOff>
    </xdr:from>
    <xdr:to>
      <xdr:col>11</xdr:col>
      <xdr:colOff>462643</xdr:colOff>
      <xdr:row>74</xdr:row>
      <xdr:rowOff>100214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xdr:col>
      <xdr:colOff>38100</xdr:colOff>
      <xdr:row>3</xdr:row>
      <xdr:rowOff>25400</xdr:rowOff>
    </xdr:from>
    <xdr:ext cx="9969500" cy="890693"/>
    <xdr:sp macro="" textlink="">
      <xdr:nvSpPr>
        <xdr:cNvPr id="16" name="Rectangle 15"/>
        <xdr:cNvSpPr/>
      </xdr:nvSpPr>
      <xdr:spPr>
        <a:xfrm>
          <a:off x="190500" y="215900"/>
          <a:ext cx="9969500" cy="890693"/>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mn-lt"/>
              <a:cs typeface="Times New Roman" panose="02020603050405020304" pitchFamily="18" charset="0"/>
            </a:rPr>
            <a:t>Client</a:t>
          </a:r>
          <a:r>
            <a:rPr lang="en-US" sz="5100" b="1" cap="none" spc="0" baseline="0">
              <a:ln w="18415" cmpd="sng">
                <a:noFill/>
                <a:prstDash val="solid"/>
              </a:ln>
              <a:solidFill>
                <a:schemeClr val="accent1">
                  <a:lumMod val="75000"/>
                </a:schemeClr>
              </a:solidFill>
              <a:effectLst/>
              <a:latin typeface="+mn-lt"/>
              <a:cs typeface="Times New Roman" panose="02020603050405020304" pitchFamily="18" charset="0"/>
            </a:rPr>
            <a:t> Profile</a:t>
          </a:r>
          <a:endParaRPr lang="en-US" sz="5100" b="1" cap="none" spc="0">
            <a:ln w="18415" cmpd="sng">
              <a:noFill/>
              <a:prstDash val="solid"/>
            </a:ln>
            <a:solidFill>
              <a:schemeClr val="accent1">
                <a:lumMod val="75000"/>
              </a:schemeClr>
            </a:solidFill>
            <a:effectLst/>
            <a:latin typeface="+mn-lt"/>
            <a:cs typeface="Times New Roman" panose="02020603050405020304" pitchFamily="18" charset="0"/>
          </a:endParaRPr>
        </a:p>
      </xdr:txBody>
    </xdr:sp>
    <xdr:clientData/>
  </xdr:oneCellAnchor>
  <xdr:twoCellAnchor>
    <xdr:from>
      <xdr:col>10</xdr:col>
      <xdr:colOff>644525</xdr:colOff>
      <xdr:row>4</xdr:row>
      <xdr:rowOff>41275</xdr:rowOff>
    </xdr:from>
    <xdr:to>
      <xdr:col>13</xdr:col>
      <xdr:colOff>692150</xdr:colOff>
      <xdr:row>7</xdr:row>
      <xdr:rowOff>130175</xdr:rowOff>
    </xdr:to>
    <xdr:grpSp>
      <xdr:nvGrpSpPr>
        <xdr:cNvPr id="17" name="Group 16">
          <a:hlinkClick xmlns:r="http://schemas.openxmlformats.org/officeDocument/2006/relationships" r:id="rId6"/>
        </xdr:cNvPr>
        <xdr:cNvGrpSpPr/>
      </xdr:nvGrpSpPr>
      <xdr:grpSpPr>
        <a:xfrm>
          <a:off x="10321925" y="174625"/>
          <a:ext cx="2076450" cy="612775"/>
          <a:chOff x="11414125" y="431800"/>
          <a:chExt cx="2949575" cy="444500"/>
        </a:xfrm>
      </xdr:grpSpPr>
      <xdr:sp macro="" textlink="">
        <xdr:nvSpPr>
          <xdr:cNvPr id="18"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19" name="TextBox 18">
            <a:hlinkClick xmlns:r="http://schemas.openxmlformats.org/officeDocument/2006/relationships" r:id="rId6"/>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tx2">
                    <a:lumMod val="75000"/>
                  </a:schemeClr>
                </a:solidFill>
              </a:rPr>
              <a:t>Back</a:t>
            </a:r>
            <a:r>
              <a:rPr lang="en-GB" sz="1600" b="1" baseline="0">
                <a:solidFill>
                  <a:schemeClr val="tx2">
                    <a:lumMod val="75000"/>
                  </a:schemeClr>
                </a:solidFill>
              </a:rPr>
              <a:t> to dashboard</a:t>
            </a:r>
            <a:endParaRPr lang="en-GB" sz="1600" b="1">
              <a:solidFill>
                <a:schemeClr val="tx2">
                  <a:lumMod val="75000"/>
                </a:schemeClr>
              </a:solidFill>
            </a:endParaRPr>
          </a:p>
        </xdr:txBody>
      </xdr:sp>
      <xdr:sp macro="" textlink="">
        <xdr:nvSpPr>
          <xdr:cNvPr id="20"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260349</xdr:colOff>
      <xdr:row>5</xdr:row>
      <xdr:rowOff>85725</xdr:rowOff>
    </xdr:from>
    <xdr:to>
      <xdr:col>7</xdr:col>
      <xdr:colOff>66674</xdr:colOff>
      <xdr:row>8</xdr:row>
      <xdr:rowOff>142875</xdr:rowOff>
    </xdr:to>
    <xdr:sp macro="" textlink="">
      <xdr:nvSpPr>
        <xdr:cNvPr id="2" name="TextBox 1"/>
        <xdr:cNvSpPr txBox="1"/>
      </xdr:nvSpPr>
      <xdr:spPr>
        <a:xfrm>
          <a:off x="260349" y="866775"/>
          <a:ext cx="89312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Open Sans" panose="020B0606030504020204" pitchFamily="34" charset="0"/>
              <a:ea typeface="Open Sans" panose="020B0606030504020204" pitchFamily="34" charset="0"/>
              <a:cs typeface="Open Sans" panose="020B0606030504020204" pitchFamily="34" charset="0"/>
            </a:rPr>
            <a:t>This table</a:t>
          </a:r>
          <a:r>
            <a:rPr lang="en-GB" sz="1200" baseline="0">
              <a:latin typeface="Open Sans" panose="020B0606030504020204" pitchFamily="34" charset="0"/>
              <a:ea typeface="Open Sans" panose="020B0606030504020204" pitchFamily="34" charset="0"/>
              <a:cs typeface="Open Sans" panose="020B0606030504020204" pitchFamily="34" charset="0"/>
            </a:rPr>
            <a:t> shows the number of clients seen in the period. It is made up of Clients with a new gateway or enquiry,</a:t>
          </a:r>
        </a:p>
        <a:p>
          <a:r>
            <a:rPr lang="en-GB" sz="1200" baseline="0">
              <a:latin typeface="Open Sans" panose="020B0606030504020204" pitchFamily="34" charset="0"/>
              <a:ea typeface="Open Sans" panose="020B0606030504020204" pitchFamily="34" charset="0"/>
              <a:cs typeface="Open Sans" panose="020B0606030504020204" pitchFamily="34" charset="0"/>
            </a:rPr>
            <a:t>Clients with an activity linked to an enquiry opened in an earlier periodCount of daysheets - 1 dayshet is a proxy for one client</a:t>
          </a:r>
          <a:endParaRPr lang="en-GB" sz="1200">
            <a:latin typeface="Open Sans" panose="020B0606030504020204" pitchFamily="34" charset="0"/>
            <a:ea typeface="Open Sans" panose="020B0606030504020204" pitchFamily="34" charset="0"/>
            <a:cs typeface="Open Sans" panose="020B0606030504020204" pitchFamily="34" charset="0"/>
          </a:endParaRPr>
        </a:p>
        <a:p>
          <a:endParaRPr lang="en-GB" sz="1200">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oneCellAnchor>
    <xdr:from>
      <xdr:col>1</xdr:col>
      <xdr:colOff>38100</xdr:colOff>
      <xdr:row>0</xdr:row>
      <xdr:rowOff>44450</xdr:rowOff>
    </xdr:from>
    <xdr:ext cx="9969500" cy="982961"/>
    <xdr:sp macro="" textlink="">
      <xdr:nvSpPr>
        <xdr:cNvPr id="3" name="Rectangle 2"/>
        <xdr:cNvSpPr/>
      </xdr:nvSpPr>
      <xdr:spPr>
        <a:xfrm>
          <a:off x="342900" y="44450"/>
          <a:ext cx="9969500" cy="982961"/>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Client</a:t>
          </a:r>
          <a:r>
            <a:rPr lang="en-US" sz="5100" b="1" cap="none" spc="0" baseline="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 Counts</a:t>
          </a:r>
          <a:endParaRPr lang="en-US" sz="5100" b="1" cap="none" spc="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oneCellAnchor>
  <xdr:twoCellAnchor>
    <xdr:from>
      <xdr:col>4</xdr:col>
      <xdr:colOff>663575</xdr:colOff>
      <xdr:row>1</xdr:row>
      <xdr:rowOff>127000</xdr:rowOff>
    </xdr:from>
    <xdr:to>
      <xdr:col>8</xdr:col>
      <xdr:colOff>273050</xdr:colOff>
      <xdr:row>3</xdr:row>
      <xdr:rowOff>177800</xdr:rowOff>
    </xdr:to>
    <xdr:grpSp>
      <xdr:nvGrpSpPr>
        <xdr:cNvPr id="4" name="Group 3">
          <a:hlinkClick xmlns:r="http://schemas.openxmlformats.org/officeDocument/2006/relationships" r:id="rId1"/>
        </xdr:cNvPr>
        <xdr:cNvGrpSpPr/>
      </xdr:nvGrpSpPr>
      <xdr:grpSpPr>
        <a:xfrm>
          <a:off x="7502525" y="95250"/>
          <a:ext cx="2657475" cy="406400"/>
          <a:chOff x="11414125" y="431800"/>
          <a:chExt cx="2949575" cy="444500"/>
        </a:xfrm>
      </xdr:grpSpPr>
      <xdr:sp macro="" textlink="">
        <xdr:nvSpPr>
          <xdr:cNvPr id="5"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6" name="TextBox 5">
            <a:hlinkClick xmlns:r="http://schemas.openxmlformats.org/officeDocument/2006/relationships" r:id="rId2"/>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tx2">
                    <a:lumMod val="75000"/>
                  </a:schemeClr>
                </a:solidFill>
              </a:rPr>
              <a:t>Back</a:t>
            </a:r>
            <a:r>
              <a:rPr lang="en-GB" sz="1600" b="1" baseline="0">
                <a:solidFill>
                  <a:schemeClr val="tx2">
                    <a:lumMod val="75000"/>
                  </a:schemeClr>
                </a:solidFill>
              </a:rPr>
              <a:t> to dashboard</a:t>
            </a:r>
            <a:endParaRPr lang="en-GB" sz="1600" b="1">
              <a:solidFill>
                <a:schemeClr val="tx2">
                  <a:lumMod val="75000"/>
                </a:schemeClr>
              </a:solidFill>
            </a:endParaRPr>
          </a:p>
        </xdr:txBody>
      </xdr:sp>
      <xdr:sp macro="" textlink="">
        <xdr:nvSpPr>
          <xdr:cNvPr id="7"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59266</xdr:colOff>
      <xdr:row>2</xdr:row>
      <xdr:rowOff>27516</xdr:rowOff>
    </xdr:from>
    <xdr:ext cx="9969500" cy="982961"/>
    <xdr:sp macro="" textlink="">
      <xdr:nvSpPr>
        <xdr:cNvPr id="11" name="Rectangle 10"/>
        <xdr:cNvSpPr/>
      </xdr:nvSpPr>
      <xdr:spPr>
        <a:xfrm>
          <a:off x="196849" y="27516"/>
          <a:ext cx="9969500" cy="982961"/>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Ebefs</a:t>
          </a:r>
        </a:p>
      </xdr:txBody>
    </xdr:sp>
    <xdr:clientData/>
  </xdr:oneCellAnchor>
  <xdr:twoCellAnchor>
    <xdr:from>
      <xdr:col>4</xdr:col>
      <xdr:colOff>120649</xdr:colOff>
      <xdr:row>27</xdr:row>
      <xdr:rowOff>165100</xdr:rowOff>
    </xdr:from>
    <xdr:to>
      <xdr:col>9</xdr:col>
      <xdr:colOff>419100</xdr:colOff>
      <xdr:row>51</xdr:row>
      <xdr:rowOff>12700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800100</xdr:colOff>
      <xdr:row>3</xdr:row>
      <xdr:rowOff>78318</xdr:rowOff>
    </xdr:from>
    <xdr:to>
      <xdr:col>9</xdr:col>
      <xdr:colOff>250825</xdr:colOff>
      <xdr:row>6</xdr:row>
      <xdr:rowOff>26307</xdr:rowOff>
    </xdr:to>
    <xdr:grpSp>
      <xdr:nvGrpSpPr>
        <xdr:cNvPr id="9" name="Group 8">
          <a:hlinkClick xmlns:r="http://schemas.openxmlformats.org/officeDocument/2006/relationships" r:id="rId2"/>
        </xdr:cNvPr>
        <xdr:cNvGrpSpPr/>
      </xdr:nvGrpSpPr>
      <xdr:grpSpPr>
        <a:xfrm>
          <a:off x="10303933" y="311151"/>
          <a:ext cx="2932642" cy="530073"/>
          <a:chOff x="11414125" y="431800"/>
          <a:chExt cx="2949575" cy="444500"/>
        </a:xfrm>
      </xdr:grpSpPr>
      <xdr:sp macro="" textlink="">
        <xdr:nvSpPr>
          <xdr:cNvPr id="10"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17" name="TextBox 16">
            <a:hlinkClick xmlns:r="http://schemas.openxmlformats.org/officeDocument/2006/relationships" r:id="rId3"/>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tx2">
                    <a:lumMod val="75000"/>
                  </a:schemeClr>
                </a:solidFill>
              </a:rPr>
              <a:t>Back</a:t>
            </a:r>
            <a:r>
              <a:rPr lang="en-GB" sz="1600" b="1" baseline="0">
                <a:solidFill>
                  <a:schemeClr val="tx2">
                    <a:lumMod val="75000"/>
                  </a:schemeClr>
                </a:solidFill>
              </a:rPr>
              <a:t> to dashboard</a:t>
            </a:r>
            <a:endParaRPr lang="en-GB" sz="1600" b="1">
              <a:solidFill>
                <a:schemeClr val="tx2">
                  <a:lumMod val="75000"/>
                </a:schemeClr>
              </a:solidFill>
            </a:endParaRPr>
          </a:p>
        </xdr:txBody>
      </xdr:sp>
      <xdr:sp macro="" textlink="">
        <xdr:nvSpPr>
          <xdr:cNvPr id="18"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38100</xdr:colOff>
      <xdr:row>3</xdr:row>
      <xdr:rowOff>25400</xdr:rowOff>
    </xdr:from>
    <xdr:ext cx="9969500" cy="982961"/>
    <xdr:sp macro="" textlink="">
      <xdr:nvSpPr>
        <xdr:cNvPr id="10" name="Rectangle 9"/>
        <xdr:cNvSpPr/>
      </xdr:nvSpPr>
      <xdr:spPr>
        <a:xfrm>
          <a:off x="302683" y="258233"/>
          <a:ext cx="9969500" cy="982961"/>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Local</a:t>
          </a:r>
          <a:r>
            <a:rPr lang="en-US" sz="5100" b="1" cap="none" spc="0" baseline="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 Authority</a:t>
          </a:r>
          <a:endParaRPr lang="en-US" sz="5100" b="1" cap="none" spc="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oneCellAnchor>
  <xdr:twoCellAnchor>
    <xdr:from>
      <xdr:col>8</xdr:col>
      <xdr:colOff>3124200</xdr:colOff>
      <xdr:row>4</xdr:row>
      <xdr:rowOff>165100</xdr:rowOff>
    </xdr:from>
    <xdr:to>
      <xdr:col>11</xdr:col>
      <xdr:colOff>447675</xdr:colOff>
      <xdr:row>7</xdr:row>
      <xdr:rowOff>38100</xdr:rowOff>
    </xdr:to>
    <xdr:grpSp>
      <xdr:nvGrpSpPr>
        <xdr:cNvPr id="8" name="Group 7">
          <a:hlinkClick xmlns:r="http://schemas.openxmlformats.org/officeDocument/2006/relationships" r:id="rId1"/>
        </xdr:cNvPr>
        <xdr:cNvGrpSpPr/>
      </xdr:nvGrpSpPr>
      <xdr:grpSpPr>
        <a:xfrm>
          <a:off x="11707283" y="271992"/>
          <a:ext cx="2943225" cy="411691"/>
          <a:chOff x="11414125" y="431800"/>
          <a:chExt cx="2949575" cy="444500"/>
        </a:xfrm>
      </xdr:grpSpPr>
      <xdr:sp macro="" textlink="">
        <xdr:nvSpPr>
          <xdr:cNvPr id="9"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15" name="TextBox 14">
            <a:hlinkClick xmlns:r="http://schemas.openxmlformats.org/officeDocument/2006/relationships" r:id="rId2"/>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b="1">
                <a:solidFill>
                  <a:schemeClr val="tx2"/>
                </a:solidFill>
                <a:effectLst/>
                <a:latin typeface="+mn-lt"/>
                <a:ea typeface="+mn-ea"/>
                <a:cs typeface="+mn-cs"/>
              </a:rPr>
              <a:t>Back to dashboard</a:t>
            </a:r>
            <a:endParaRPr lang="en-GB" sz="1800" b="1">
              <a:solidFill>
                <a:schemeClr val="tx2"/>
              </a:solidFill>
            </a:endParaRPr>
          </a:p>
        </xdr:txBody>
      </xdr:sp>
      <xdr:sp macro="" textlink="">
        <xdr:nvSpPr>
          <xdr:cNvPr id="16"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12700</xdr:colOff>
      <xdr:row>3</xdr:row>
      <xdr:rowOff>25400</xdr:rowOff>
    </xdr:from>
    <xdr:ext cx="8496300" cy="982961"/>
    <xdr:sp macro="" textlink="">
      <xdr:nvSpPr>
        <xdr:cNvPr id="10" name="Rectangle 9"/>
        <xdr:cNvSpPr/>
      </xdr:nvSpPr>
      <xdr:spPr>
        <a:xfrm>
          <a:off x="319617" y="215900"/>
          <a:ext cx="8496300" cy="982961"/>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Constituency</a:t>
          </a:r>
        </a:p>
      </xdr:txBody>
    </xdr:sp>
    <xdr:clientData/>
  </xdr:oneCellAnchor>
  <xdr:twoCellAnchor>
    <xdr:from>
      <xdr:col>8</xdr:col>
      <xdr:colOff>558800</xdr:colOff>
      <xdr:row>4</xdr:row>
      <xdr:rowOff>165100</xdr:rowOff>
    </xdr:from>
    <xdr:to>
      <xdr:col>11</xdr:col>
      <xdr:colOff>701675</xdr:colOff>
      <xdr:row>7</xdr:row>
      <xdr:rowOff>38100</xdr:rowOff>
    </xdr:to>
    <xdr:grpSp>
      <xdr:nvGrpSpPr>
        <xdr:cNvPr id="7" name="Group 6">
          <a:hlinkClick xmlns:r="http://schemas.openxmlformats.org/officeDocument/2006/relationships" r:id="rId1"/>
        </xdr:cNvPr>
        <xdr:cNvGrpSpPr/>
      </xdr:nvGrpSpPr>
      <xdr:grpSpPr>
        <a:xfrm>
          <a:off x="10549467" y="165100"/>
          <a:ext cx="2947458" cy="444500"/>
          <a:chOff x="11414125" y="431800"/>
          <a:chExt cx="2949575" cy="444500"/>
        </a:xfrm>
      </xdr:grpSpPr>
      <xdr:sp macro="" textlink="">
        <xdr:nvSpPr>
          <xdr:cNvPr id="8"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9" name="TextBox 8">
            <a:hlinkClick xmlns:r="http://schemas.openxmlformats.org/officeDocument/2006/relationships" r:id="rId2"/>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b="1">
                <a:solidFill>
                  <a:schemeClr val="tx2"/>
                </a:solidFill>
                <a:effectLst/>
                <a:latin typeface="+mn-lt"/>
                <a:ea typeface="+mn-ea"/>
                <a:cs typeface="+mn-cs"/>
              </a:rPr>
              <a:t>Back to dashboard</a:t>
            </a:r>
            <a:endParaRPr lang="en-GB" sz="1800" b="1">
              <a:solidFill>
                <a:schemeClr val="tx2"/>
              </a:solidFill>
            </a:endParaRPr>
          </a:p>
        </xdr:txBody>
      </xdr:sp>
      <xdr:sp macro="" textlink="">
        <xdr:nvSpPr>
          <xdr:cNvPr id="15"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25400</xdr:colOff>
      <xdr:row>3</xdr:row>
      <xdr:rowOff>76200</xdr:rowOff>
    </xdr:from>
    <xdr:ext cx="9969500" cy="890693"/>
    <xdr:sp macro="" textlink="">
      <xdr:nvSpPr>
        <xdr:cNvPr id="10" name="Rectangle 9"/>
        <xdr:cNvSpPr/>
      </xdr:nvSpPr>
      <xdr:spPr>
        <a:xfrm>
          <a:off x="266700" y="266700"/>
          <a:ext cx="9969500" cy="890693"/>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mn-lt"/>
              <a:cs typeface="Times New Roman" panose="02020603050405020304" pitchFamily="18" charset="0"/>
            </a:rPr>
            <a:t>National</a:t>
          </a:r>
          <a:r>
            <a:rPr lang="en-US" sz="5100" b="1" cap="none" spc="0" baseline="0">
              <a:ln w="18415" cmpd="sng">
                <a:noFill/>
                <a:prstDash val="solid"/>
              </a:ln>
              <a:solidFill>
                <a:schemeClr val="accent1">
                  <a:lumMod val="75000"/>
                </a:schemeClr>
              </a:solidFill>
              <a:effectLst/>
              <a:latin typeface="+mn-lt"/>
              <a:cs typeface="Times New Roman" panose="02020603050405020304" pitchFamily="18" charset="0"/>
            </a:rPr>
            <a:t> and Local Funders</a:t>
          </a:r>
          <a:endParaRPr lang="en-US" sz="5100" b="1" cap="none" spc="0">
            <a:ln w="18415" cmpd="sng">
              <a:noFill/>
              <a:prstDash val="solid"/>
            </a:ln>
            <a:solidFill>
              <a:schemeClr val="accent1">
                <a:lumMod val="75000"/>
              </a:schemeClr>
            </a:solidFill>
            <a:effectLst/>
            <a:latin typeface="+mn-lt"/>
            <a:cs typeface="Times New Roman" panose="02020603050405020304" pitchFamily="18" charset="0"/>
          </a:endParaRPr>
        </a:p>
      </xdr:txBody>
    </xdr:sp>
    <xdr:clientData/>
  </xdr:oneCellAnchor>
  <xdr:twoCellAnchor>
    <xdr:from>
      <xdr:col>7</xdr:col>
      <xdr:colOff>241300</xdr:colOff>
      <xdr:row>4</xdr:row>
      <xdr:rowOff>139700</xdr:rowOff>
    </xdr:from>
    <xdr:to>
      <xdr:col>9</xdr:col>
      <xdr:colOff>1133475</xdr:colOff>
      <xdr:row>7</xdr:row>
      <xdr:rowOff>12700</xdr:rowOff>
    </xdr:to>
    <xdr:grpSp>
      <xdr:nvGrpSpPr>
        <xdr:cNvPr id="7" name="Group 6">
          <a:hlinkClick xmlns:r="http://schemas.openxmlformats.org/officeDocument/2006/relationships" r:id="rId1"/>
        </xdr:cNvPr>
        <xdr:cNvGrpSpPr/>
      </xdr:nvGrpSpPr>
      <xdr:grpSpPr>
        <a:xfrm>
          <a:off x="14846300" y="139700"/>
          <a:ext cx="2945342" cy="571500"/>
          <a:chOff x="11414125" y="431800"/>
          <a:chExt cx="2949575" cy="444500"/>
        </a:xfrm>
      </xdr:grpSpPr>
      <xdr:sp macro="" textlink="">
        <xdr:nvSpPr>
          <xdr:cNvPr id="8"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9" name="TextBox 8">
            <a:hlinkClick xmlns:r="http://schemas.openxmlformats.org/officeDocument/2006/relationships" r:id="rId2"/>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b="1">
                <a:solidFill>
                  <a:schemeClr val="tx2"/>
                </a:solidFill>
                <a:effectLst/>
                <a:latin typeface="+mn-lt"/>
                <a:ea typeface="+mn-ea"/>
                <a:cs typeface="+mn-cs"/>
              </a:rPr>
              <a:t>Back to dashboard</a:t>
            </a:r>
            <a:endParaRPr lang="en-GB" sz="1800" b="1">
              <a:solidFill>
                <a:schemeClr val="tx2"/>
              </a:solidFill>
            </a:endParaRPr>
          </a:p>
        </xdr:txBody>
      </xdr:sp>
      <xdr:sp macro="" textlink="">
        <xdr:nvSpPr>
          <xdr:cNvPr id="15"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114300</xdr:colOff>
      <xdr:row>3</xdr:row>
      <xdr:rowOff>63500</xdr:rowOff>
    </xdr:from>
    <xdr:ext cx="9969500" cy="890693"/>
    <xdr:sp macro="" textlink="">
      <xdr:nvSpPr>
        <xdr:cNvPr id="11" name="Rectangle 10"/>
        <xdr:cNvSpPr/>
      </xdr:nvSpPr>
      <xdr:spPr>
        <a:xfrm>
          <a:off x="266700" y="254000"/>
          <a:ext cx="9969500" cy="890693"/>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mn-lt"/>
              <a:cs typeface="Times New Roman" panose="02020603050405020304" pitchFamily="18" charset="0"/>
            </a:rPr>
            <a:t>Outcomes</a:t>
          </a:r>
        </a:p>
      </xdr:txBody>
    </xdr:sp>
    <xdr:clientData/>
  </xdr:oneCellAnchor>
  <xdr:twoCellAnchor>
    <xdr:from>
      <xdr:col>5</xdr:col>
      <xdr:colOff>438148</xdr:colOff>
      <xdr:row>50</xdr:row>
      <xdr:rowOff>0</xdr:rowOff>
    </xdr:from>
    <xdr:to>
      <xdr:col>11</xdr:col>
      <xdr:colOff>635000</xdr:colOff>
      <xdr:row>68</xdr:row>
      <xdr:rowOff>50800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228600</xdr:colOff>
      <xdr:row>4</xdr:row>
      <xdr:rowOff>63500</xdr:rowOff>
    </xdr:from>
    <xdr:to>
      <xdr:col>10</xdr:col>
      <xdr:colOff>587375</xdr:colOff>
      <xdr:row>6</xdr:row>
      <xdr:rowOff>127000</xdr:rowOff>
    </xdr:to>
    <xdr:grpSp>
      <xdr:nvGrpSpPr>
        <xdr:cNvPr id="10" name="Group 9">
          <a:hlinkClick xmlns:r="http://schemas.openxmlformats.org/officeDocument/2006/relationships" r:id="rId2"/>
        </xdr:cNvPr>
        <xdr:cNvGrpSpPr/>
      </xdr:nvGrpSpPr>
      <xdr:grpSpPr>
        <a:xfrm>
          <a:off x="11412071" y="164353"/>
          <a:ext cx="2936128" cy="433294"/>
          <a:chOff x="11414125" y="431800"/>
          <a:chExt cx="2949575" cy="444500"/>
        </a:xfrm>
      </xdr:grpSpPr>
      <xdr:sp macro="" textlink="">
        <xdr:nvSpPr>
          <xdr:cNvPr id="17"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18" name="TextBox 17">
            <a:hlinkClick xmlns:r="http://schemas.openxmlformats.org/officeDocument/2006/relationships" r:id="rId3"/>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600" b="1">
                <a:solidFill>
                  <a:schemeClr val="tx2"/>
                </a:solidFill>
                <a:effectLst/>
                <a:latin typeface="+mn-lt"/>
                <a:ea typeface="+mn-ea"/>
                <a:cs typeface="+mn-cs"/>
              </a:rPr>
              <a:t>Back to dashboard</a:t>
            </a:r>
            <a:endParaRPr lang="en-GB" sz="1600">
              <a:solidFill>
                <a:schemeClr val="tx2"/>
              </a:solidFill>
              <a:effectLst/>
            </a:endParaRPr>
          </a:p>
        </xdr:txBody>
      </xdr:sp>
      <xdr:sp macro="" textlink="">
        <xdr:nvSpPr>
          <xdr:cNvPr id="19"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42</xdr:row>
      <xdr:rowOff>57150</xdr:rowOff>
    </xdr:from>
    <xdr:to>
      <xdr:col>3</xdr:col>
      <xdr:colOff>2038350</xdr:colOff>
      <xdr:row>61</xdr:row>
      <xdr:rowOff>219075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23536275"/>
          <a:ext cx="6115050" cy="450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476250</xdr:colOff>
      <xdr:row>89</xdr:row>
      <xdr:rowOff>123824</xdr:rowOff>
    </xdr:from>
    <xdr:to>
      <xdr:col>10</xdr:col>
      <xdr:colOff>142875</xdr:colOff>
      <xdr:row>100</xdr:row>
      <xdr:rowOff>47624</xdr:rowOff>
    </xdr:to>
    <xdr:sp macro="" textlink="">
      <xdr:nvSpPr>
        <xdr:cNvPr id="27" name="Rectangle 26"/>
        <xdr:cNvSpPr/>
      </xdr:nvSpPr>
      <xdr:spPr>
        <a:xfrm>
          <a:off x="476250" y="12896849"/>
          <a:ext cx="7067550" cy="2124075"/>
        </a:xfrm>
        <a:prstGeom prst="rect">
          <a:avLst/>
        </a:prstGeom>
        <a:solidFill>
          <a:schemeClr val="bg1"/>
        </a:solidFill>
        <a:ln w="12700">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28575</xdr:colOff>
      <xdr:row>61</xdr:row>
      <xdr:rowOff>123825</xdr:rowOff>
    </xdr:from>
    <xdr:to>
      <xdr:col>9</xdr:col>
      <xdr:colOff>438150</xdr:colOff>
      <xdr:row>74</xdr:row>
      <xdr:rowOff>47626</xdr:rowOff>
    </xdr:to>
    <xdr:sp macro="" textlink="">
      <xdr:nvSpPr>
        <xdr:cNvPr id="17" name="Rectangle 16"/>
        <xdr:cNvSpPr/>
      </xdr:nvSpPr>
      <xdr:spPr>
        <a:xfrm>
          <a:off x="571500" y="7905750"/>
          <a:ext cx="6505575" cy="2524126"/>
        </a:xfrm>
        <a:prstGeom prst="rect">
          <a:avLst/>
        </a:prstGeom>
        <a:solidFill>
          <a:schemeClr val="bg1"/>
        </a:solidFill>
        <a:ln w="12700">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xdr:col>
      <xdr:colOff>50110</xdr:colOff>
      <xdr:row>33</xdr:row>
      <xdr:rowOff>35615</xdr:rowOff>
    </xdr:from>
    <xdr:to>
      <xdr:col>7</xdr:col>
      <xdr:colOff>212035</xdr:colOff>
      <xdr:row>33</xdr:row>
      <xdr:rowOff>197540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5035" y="2216840"/>
          <a:ext cx="1619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39</xdr:row>
      <xdr:rowOff>104776</xdr:rowOff>
    </xdr:from>
    <xdr:to>
      <xdr:col>10</xdr:col>
      <xdr:colOff>581025</xdr:colOff>
      <xdr:row>49</xdr:row>
      <xdr:rowOff>114300</xdr:rowOff>
    </xdr:to>
    <xdr:grpSp>
      <xdr:nvGrpSpPr>
        <xdr:cNvPr id="25" name="Group 24"/>
        <xdr:cNvGrpSpPr/>
      </xdr:nvGrpSpPr>
      <xdr:grpSpPr>
        <a:xfrm>
          <a:off x="447675" y="9658351"/>
          <a:ext cx="7562850" cy="2295524"/>
          <a:chOff x="466725" y="3638551"/>
          <a:chExt cx="7429500" cy="2009774"/>
        </a:xfrm>
      </xdr:grpSpPr>
      <xdr:sp macro="" textlink="">
        <xdr:nvSpPr>
          <xdr:cNvPr id="4" name="Rectangle 3"/>
          <xdr:cNvSpPr/>
        </xdr:nvSpPr>
        <xdr:spPr>
          <a:xfrm>
            <a:off x="466725" y="3638551"/>
            <a:ext cx="7429500" cy="2009774"/>
          </a:xfrm>
          <a:prstGeom prst="rect">
            <a:avLst/>
          </a:prstGeom>
          <a:solidFill>
            <a:schemeClr val="bg1"/>
          </a:solidFill>
          <a:ln w="12700">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4" name="Picture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2924" y="3686174"/>
            <a:ext cx="7162801" cy="193798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Oval 6"/>
          <xdr:cNvSpPr/>
        </xdr:nvSpPr>
        <xdr:spPr>
          <a:xfrm>
            <a:off x="6925241" y="3832951"/>
            <a:ext cx="221022" cy="221022"/>
          </a:xfrm>
          <a:prstGeom prst="ellipse">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lang="en-GB" sz="1200" b="1"/>
              <a:t>1</a:t>
            </a:r>
          </a:p>
        </xdr:txBody>
      </xdr:sp>
      <xdr:sp macro="" textlink="">
        <xdr:nvSpPr>
          <xdr:cNvPr id="8" name="Oval 7"/>
          <xdr:cNvSpPr/>
        </xdr:nvSpPr>
        <xdr:spPr>
          <a:xfrm>
            <a:off x="7589478" y="4331198"/>
            <a:ext cx="221022" cy="221022"/>
          </a:xfrm>
          <a:prstGeom prst="ellipse">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lang="en-GB" sz="1200" b="1"/>
              <a:t>2</a:t>
            </a:r>
          </a:p>
        </xdr:txBody>
      </xdr:sp>
      <xdr:sp macro="" textlink="">
        <xdr:nvSpPr>
          <xdr:cNvPr id="9" name="Oval 8"/>
          <xdr:cNvSpPr/>
        </xdr:nvSpPr>
        <xdr:spPr>
          <a:xfrm>
            <a:off x="5712015" y="4030634"/>
            <a:ext cx="221022" cy="221022"/>
          </a:xfrm>
          <a:prstGeom prst="ellipse">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lang="en-GB" sz="1200" b="1"/>
              <a:t>3</a:t>
            </a:r>
          </a:p>
        </xdr:txBody>
      </xdr:sp>
      <xdr:sp macro="" textlink="">
        <xdr:nvSpPr>
          <xdr:cNvPr id="10" name="Oval 9"/>
          <xdr:cNvSpPr/>
        </xdr:nvSpPr>
        <xdr:spPr>
          <a:xfrm>
            <a:off x="5139239" y="4742273"/>
            <a:ext cx="221022" cy="221022"/>
          </a:xfrm>
          <a:prstGeom prst="ellipse">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lang="en-GB" sz="1200" b="1"/>
              <a:t>4</a:t>
            </a:r>
          </a:p>
        </xdr:txBody>
      </xdr:sp>
      <xdr:sp macro="" textlink="">
        <xdr:nvSpPr>
          <xdr:cNvPr id="11" name="Oval 10"/>
          <xdr:cNvSpPr/>
        </xdr:nvSpPr>
        <xdr:spPr>
          <a:xfrm>
            <a:off x="5481297" y="5238401"/>
            <a:ext cx="221022" cy="221022"/>
          </a:xfrm>
          <a:prstGeom prst="ellipse">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lang="en-GB" sz="1200" b="1"/>
              <a:t>5</a:t>
            </a:r>
          </a:p>
        </xdr:txBody>
      </xdr:sp>
      <xdr:sp macro="" textlink="">
        <xdr:nvSpPr>
          <xdr:cNvPr id="12" name="Oval 11"/>
          <xdr:cNvSpPr/>
        </xdr:nvSpPr>
        <xdr:spPr>
          <a:xfrm>
            <a:off x="2426194" y="4517961"/>
            <a:ext cx="221022" cy="221022"/>
          </a:xfrm>
          <a:prstGeom prst="ellipse">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lang="en-GB" sz="1200" b="1"/>
              <a:t>6</a:t>
            </a:r>
          </a:p>
        </xdr:txBody>
      </xdr:sp>
    </xdr:grpSp>
    <xdr:clientData/>
  </xdr:twoCellAnchor>
  <xdr:twoCellAnchor editAs="oneCell">
    <xdr:from>
      <xdr:col>1</xdr:col>
      <xdr:colOff>76200</xdr:colOff>
      <xdr:row>61</xdr:row>
      <xdr:rowOff>133350</xdr:rowOff>
    </xdr:from>
    <xdr:to>
      <xdr:col>9</xdr:col>
      <xdr:colOff>247650</xdr:colOff>
      <xdr:row>72</xdr:row>
      <xdr:rowOff>90192</xdr:rowOff>
    </xdr:to>
    <xdr:pic>
      <xdr:nvPicPr>
        <xdr:cNvPr id="16" name="Picture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9125" y="7915275"/>
          <a:ext cx="6400800" cy="2471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337797</xdr:colOff>
      <xdr:row>61</xdr:row>
      <xdr:rowOff>133001</xdr:rowOff>
    </xdr:from>
    <xdr:to>
      <xdr:col>9</xdr:col>
      <xdr:colOff>558819</xdr:colOff>
      <xdr:row>62</xdr:row>
      <xdr:rowOff>153998</xdr:rowOff>
    </xdr:to>
    <xdr:sp macro="" textlink="">
      <xdr:nvSpPr>
        <xdr:cNvPr id="19" name="Oval 18"/>
        <xdr:cNvSpPr/>
      </xdr:nvSpPr>
      <xdr:spPr>
        <a:xfrm>
          <a:off x="6976722" y="7914926"/>
          <a:ext cx="221022" cy="221022"/>
        </a:xfrm>
        <a:prstGeom prst="ellipse">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1"/>
        <a:lstStyle/>
        <a:p>
          <a:pPr algn="l"/>
          <a:r>
            <a:rPr lang="en-GB" sz="1200" b="1"/>
            <a:t>1</a:t>
          </a:r>
        </a:p>
      </xdr:txBody>
    </xdr:sp>
    <xdr:clientData/>
  </xdr:twoCellAnchor>
  <xdr:twoCellAnchor>
    <xdr:from>
      <xdr:col>8</xdr:col>
      <xdr:colOff>61572</xdr:colOff>
      <xdr:row>64</xdr:row>
      <xdr:rowOff>199676</xdr:rowOff>
    </xdr:from>
    <xdr:to>
      <xdr:col>8</xdr:col>
      <xdr:colOff>282594</xdr:colOff>
      <xdr:row>66</xdr:row>
      <xdr:rowOff>20648</xdr:rowOff>
    </xdr:to>
    <xdr:sp macro="" textlink="">
      <xdr:nvSpPr>
        <xdr:cNvPr id="20" name="Oval 19"/>
        <xdr:cNvSpPr/>
      </xdr:nvSpPr>
      <xdr:spPr>
        <a:xfrm>
          <a:off x="5938497" y="8581676"/>
          <a:ext cx="221022" cy="221022"/>
        </a:xfrm>
        <a:prstGeom prst="ellipse">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1"/>
        <a:lstStyle/>
        <a:p>
          <a:pPr algn="l"/>
          <a:r>
            <a:rPr lang="en-GB" sz="1200" b="1"/>
            <a:t>2</a:t>
          </a:r>
        </a:p>
      </xdr:txBody>
    </xdr:sp>
    <xdr:clientData/>
  </xdr:twoCellAnchor>
  <xdr:twoCellAnchor>
    <xdr:from>
      <xdr:col>8</xdr:col>
      <xdr:colOff>366372</xdr:colOff>
      <xdr:row>67</xdr:row>
      <xdr:rowOff>180626</xdr:rowOff>
    </xdr:from>
    <xdr:to>
      <xdr:col>8</xdr:col>
      <xdr:colOff>587394</xdr:colOff>
      <xdr:row>69</xdr:row>
      <xdr:rowOff>1598</xdr:rowOff>
    </xdr:to>
    <xdr:sp macro="" textlink="">
      <xdr:nvSpPr>
        <xdr:cNvPr id="21" name="Oval 20"/>
        <xdr:cNvSpPr/>
      </xdr:nvSpPr>
      <xdr:spPr>
        <a:xfrm>
          <a:off x="6243297" y="9162701"/>
          <a:ext cx="221022" cy="221022"/>
        </a:xfrm>
        <a:prstGeom prst="ellipse">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1"/>
        <a:lstStyle/>
        <a:p>
          <a:pPr algn="l"/>
          <a:r>
            <a:rPr lang="en-GB" sz="1200" b="1"/>
            <a:t>3</a:t>
          </a:r>
        </a:p>
      </xdr:txBody>
    </xdr:sp>
    <xdr:clientData/>
  </xdr:twoCellAnchor>
  <xdr:twoCellAnchor>
    <xdr:from>
      <xdr:col>7</xdr:col>
      <xdr:colOff>433047</xdr:colOff>
      <xdr:row>72</xdr:row>
      <xdr:rowOff>47276</xdr:rowOff>
    </xdr:from>
    <xdr:to>
      <xdr:col>7</xdr:col>
      <xdr:colOff>654069</xdr:colOff>
      <xdr:row>73</xdr:row>
      <xdr:rowOff>68273</xdr:rowOff>
    </xdr:to>
    <xdr:sp macro="" textlink="">
      <xdr:nvSpPr>
        <xdr:cNvPr id="22" name="Oval 21"/>
        <xdr:cNvSpPr/>
      </xdr:nvSpPr>
      <xdr:spPr>
        <a:xfrm>
          <a:off x="5547972" y="10029476"/>
          <a:ext cx="221022" cy="221022"/>
        </a:xfrm>
        <a:prstGeom prst="ellipse">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1"/>
        <a:lstStyle/>
        <a:p>
          <a:pPr algn="l"/>
          <a:r>
            <a:rPr lang="en-GB" sz="1200" b="1"/>
            <a:t>4</a:t>
          </a:r>
        </a:p>
      </xdr:txBody>
    </xdr:sp>
    <xdr:clientData/>
  </xdr:twoCellAnchor>
  <xdr:twoCellAnchor>
    <xdr:from>
      <xdr:col>3</xdr:col>
      <xdr:colOff>480672</xdr:colOff>
      <xdr:row>65</xdr:row>
      <xdr:rowOff>9176</xdr:rowOff>
    </xdr:from>
    <xdr:to>
      <xdr:col>3</xdr:col>
      <xdr:colOff>701694</xdr:colOff>
      <xdr:row>66</xdr:row>
      <xdr:rowOff>30173</xdr:rowOff>
    </xdr:to>
    <xdr:sp macro="" textlink="">
      <xdr:nvSpPr>
        <xdr:cNvPr id="23" name="Oval 22"/>
        <xdr:cNvSpPr/>
      </xdr:nvSpPr>
      <xdr:spPr>
        <a:xfrm>
          <a:off x="2547597" y="8591201"/>
          <a:ext cx="221022" cy="221022"/>
        </a:xfrm>
        <a:prstGeom prst="ellipse">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1"/>
        <a:lstStyle/>
        <a:p>
          <a:pPr algn="l"/>
          <a:r>
            <a:rPr lang="en-GB" sz="1200" b="1"/>
            <a:t>5</a:t>
          </a:r>
        </a:p>
      </xdr:txBody>
    </xdr:sp>
    <xdr:clientData/>
  </xdr:twoCellAnchor>
  <xdr:twoCellAnchor editAs="oneCell">
    <xdr:from>
      <xdr:col>4</xdr:col>
      <xdr:colOff>269185</xdr:colOff>
      <xdr:row>56</xdr:row>
      <xdr:rowOff>45140</xdr:rowOff>
    </xdr:from>
    <xdr:to>
      <xdr:col>4</xdr:col>
      <xdr:colOff>431110</xdr:colOff>
      <xdr:row>56</xdr:row>
      <xdr:rowOff>207065</xdr:rowOff>
    </xdr:to>
    <xdr:pic>
      <xdr:nvPicPr>
        <xdr:cNvPr id="24" name="Picture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8110" y="6941240"/>
          <a:ext cx="1619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89</xdr:row>
      <xdr:rowOff>190501</xdr:rowOff>
    </xdr:from>
    <xdr:to>
      <xdr:col>9</xdr:col>
      <xdr:colOff>657226</xdr:colOff>
      <xdr:row>98</xdr:row>
      <xdr:rowOff>130903</xdr:rowOff>
    </xdr:to>
    <xdr:pic>
      <xdr:nvPicPr>
        <xdr:cNvPr id="26" name="Picture 2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0551" y="12963526"/>
          <a:ext cx="6838950" cy="1997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718797</xdr:colOff>
      <xdr:row>91</xdr:row>
      <xdr:rowOff>123476</xdr:rowOff>
    </xdr:from>
    <xdr:to>
      <xdr:col>10</xdr:col>
      <xdr:colOff>177819</xdr:colOff>
      <xdr:row>92</xdr:row>
      <xdr:rowOff>144473</xdr:rowOff>
    </xdr:to>
    <xdr:sp macro="" textlink="">
      <xdr:nvSpPr>
        <xdr:cNvPr id="28" name="Oval 27"/>
        <xdr:cNvSpPr/>
      </xdr:nvSpPr>
      <xdr:spPr>
        <a:xfrm>
          <a:off x="7357722" y="13296551"/>
          <a:ext cx="221022" cy="221022"/>
        </a:xfrm>
        <a:prstGeom prst="ellips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nchorCtr="1"/>
        <a:lstStyle/>
        <a:p>
          <a:pPr algn="l"/>
          <a:r>
            <a:rPr lang="en-GB" sz="1200" b="1"/>
            <a:t>1</a:t>
          </a:r>
        </a:p>
      </xdr:txBody>
    </xdr:sp>
    <xdr:clientData/>
  </xdr:twoCellAnchor>
  <xdr:twoCellAnchor>
    <xdr:from>
      <xdr:col>8</xdr:col>
      <xdr:colOff>32997</xdr:colOff>
      <xdr:row>92</xdr:row>
      <xdr:rowOff>133001</xdr:rowOff>
    </xdr:from>
    <xdr:to>
      <xdr:col>8</xdr:col>
      <xdr:colOff>254019</xdr:colOff>
      <xdr:row>93</xdr:row>
      <xdr:rowOff>153998</xdr:rowOff>
    </xdr:to>
    <xdr:sp macro="" textlink="">
      <xdr:nvSpPr>
        <xdr:cNvPr id="29" name="Oval 28"/>
        <xdr:cNvSpPr/>
      </xdr:nvSpPr>
      <xdr:spPr>
        <a:xfrm>
          <a:off x="5909922" y="13506101"/>
          <a:ext cx="221022" cy="221022"/>
        </a:xfrm>
        <a:prstGeom prst="ellips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nchorCtr="1"/>
        <a:lstStyle/>
        <a:p>
          <a:pPr algn="l"/>
          <a:r>
            <a:rPr lang="en-GB" sz="1200" b="1"/>
            <a:t>2</a:t>
          </a:r>
        </a:p>
      </xdr:txBody>
    </xdr:sp>
    <xdr:clientData/>
  </xdr:twoCellAnchor>
  <xdr:twoCellAnchor>
    <xdr:from>
      <xdr:col>9</xdr:col>
      <xdr:colOff>128247</xdr:colOff>
      <xdr:row>95</xdr:row>
      <xdr:rowOff>142526</xdr:rowOff>
    </xdr:from>
    <xdr:to>
      <xdr:col>9</xdr:col>
      <xdr:colOff>349269</xdr:colOff>
      <xdr:row>96</xdr:row>
      <xdr:rowOff>163523</xdr:rowOff>
    </xdr:to>
    <xdr:sp macro="" textlink="">
      <xdr:nvSpPr>
        <xdr:cNvPr id="30" name="Oval 29"/>
        <xdr:cNvSpPr/>
      </xdr:nvSpPr>
      <xdr:spPr>
        <a:xfrm>
          <a:off x="6767172" y="14115701"/>
          <a:ext cx="221022" cy="221022"/>
        </a:xfrm>
        <a:prstGeom prst="ellips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nchorCtr="1"/>
        <a:lstStyle/>
        <a:p>
          <a:pPr algn="l"/>
          <a:r>
            <a:rPr lang="en-GB" sz="1200" b="1"/>
            <a:t>3</a:t>
          </a:r>
        </a:p>
      </xdr:txBody>
    </xdr:sp>
    <xdr:clientData/>
  </xdr:twoCellAnchor>
  <xdr:twoCellAnchor>
    <xdr:from>
      <xdr:col>7</xdr:col>
      <xdr:colOff>756897</xdr:colOff>
      <xdr:row>97</xdr:row>
      <xdr:rowOff>199676</xdr:rowOff>
    </xdr:from>
    <xdr:to>
      <xdr:col>8</xdr:col>
      <xdr:colOff>215919</xdr:colOff>
      <xdr:row>99</xdr:row>
      <xdr:rowOff>20648</xdr:rowOff>
    </xdr:to>
    <xdr:sp macro="" textlink="">
      <xdr:nvSpPr>
        <xdr:cNvPr id="31" name="Oval 30"/>
        <xdr:cNvSpPr/>
      </xdr:nvSpPr>
      <xdr:spPr>
        <a:xfrm>
          <a:off x="5871822" y="14572901"/>
          <a:ext cx="221022" cy="221022"/>
        </a:xfrm>
        <a:prstGeom prst="ellips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nchorCtr="1"/>
        <a:lstStyle/>
        <a:p>
          <a:pPr algn="l"/>
          <a:r>
            <a:rPr lang="en-GB" sz="1200" b="1"/>
            <a:t>4</a:t>
          </a:r>
        </a:p>
      </xdr:txBody>
    </xdr:sp>
    <xdr:clientData/>
  </xdr:twoCellAnchor>
  <xdr:twoCellAnchor>
    <xdr:from>
      <xdr:col>3</xdr:col>
      <xdr:colOff>480672</xdr:colOff>
      <xdr:row>93</xdr:row>
      <xdr:rowOff>123476</xdr:rowOff>
    </xdr:from>
    <xdr:to>
      <xdr:col>3</xdr:col>
      <xdr:colOff>701694</xdr:colOff>
      <xdr:row>94</xdr:row>
      <xdr:rowOff>144473</xdr:rowOff>
    </xdr:to>
    <xdr:sp macro="" textlink="">
      <xdr:nvSpPr>
        <xdr:cNvPr id="32" name="Oval 31"/>
        <xdr:cNvSpPr/>
      </xdr:nvSpPr>
      <xdr:spPr>
        <a:xfrm>
          <a:off x="2547597" y="13696601"/>
          <a:ext cx="221022" cy="221022"/>
        </a:xfrm>
        <a:prstGeom prst="ellips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nchorCtr="1"/>
        <a:lstStyle/>
        <a:p>
          <a:pPr algn="l"/>
          <a:r>
            <a:rPr lang="en-GB" sz="1200" b="1"/>
            <a:t>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27</xdr:row>
      <xdr:rowOff>19051</xdr:rowOff>
    </xdr:from>
    <xdr:to>
      <xdr:col>4</xdr:col>
      <xdr:colOff>0</xdr:colOff>
      <xdr:row>28</xdr:row>
      <xdr:rowOff>180975</xdr:rowOff>
    </xdr:to>
    <xdr:sp macro="" textlink="">
      <xdr:nvSpPr>
        <xdr:cNvPr id="2" name="Rounded Rectangle 1">
          <a:hlinkClick xmlns:r="http://schemas.openxmlformats.org/officeDocument/2006/relationships" r:id="rId1"/>
        </xdr:cNvPr>
        <xdr:cNvSpPr/>
      </xdr:nvSpPr>
      <xdr:spPr>
        <a:xfrm>
          <a:off x="3076575" y="4981576"/>
          <a:ext cx="7077075" cy="428624"/>
        </a:xfrm>
        <a:prstGeom prst="roundRect">
          <a:avLst/>
        </a:prstGeom>
        <a:solidFill>
          <a:srgbClr val="004B88"/>
        </a:solidFill>
        <a:ln>
          <a:solidFill>
            <a:schemeClr val="tx1"/>
          </a:solid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n-GB" sz="1600" b="1" i="0" cap="none" spc="0">
              <a:ln w="12700">
                <a:noFill/>
                <a:prstDash val="solid"/>
              </a:ln>
              <a:solidFill>
                <a:schemeClr val="bg1"/>
              </a:solidFill>
              <a:effectLst>
                <a:outerShdw blurRad="41275" dist="20320" dir="1800000" algn="tl" rotWithShape="0">
                  <a:srgbClr val="000000">
                    <a:alpha val="40000"/>
                  </a:srgbClr>
                </a:outerShdw>
              </a:effectLst>
              <a:latin typeface="Open Sans" panose="020B0606030504020204" pitchFamily="34" charset="0"/>
              <a:ea typeface="Open Sans" panose="020B0606030504020204" pitchFamily="34" charset="0"/>
              <a:cs typeface="Open Sans" panose="020B0606030504020204" pitchFamily="34" charset="0"/>
            </a:rPr>
            <a:t>Click</a:t>
          </a:r>
          <a:r>
            <a:rPr lang="en-GB" sz="1600" b="1" i="0" cap="none" spc="0" baseline="0">
              <a:ln w="12700">
                <a:noFill/>
                <a:prstDash val="solid"/>
              </a:ln>
              <a:solidFill>
                <a:schemeClr val="bg1"/>
              </a:solidFill>
              <a:effectLst>
                <a:outerShdw blurRad="41275" dist="20320" dir="1800000" algn="tl" rotWithShape="0">
                  <a:srgbClr val="000000">
                    <a:alpha val="40000"/>
                  </a:srgbClr>
                </a:outerShdw>
              </a:effectLst>
              <a:latin typeface="Open Sans" panose="020B0606030504020204" pitchFamily="34" charset="0"/>
              <a:ea typeface="Open Sans" panose="020B0606030504020204" pitchFamily="34" charset="0"/>
              <a:cs typeface="Open Sans" panose="020B0606030504020204" pitchFamily="34" charset="0"/>
            </a:rPr>
            <a:t> here to view Dashboard</a:t>
          </a:r>
        </a:p>
      </xdr:txBody>
    </xdr:sp>
    <xdr:clientData/>
  </xdr:twoCellAnchor>
  <xdr:twoCellAnchor>
    <xdr:from>
      <xdr:col>16</xdr:col>
      <xdr:colOff>558014</xdr:colOff>
      <xdr:row>2</xdr:row>
      <xdr:rowOff>70423</xdr:rowOff>
    </xdr:from>
    <xdr:to>
      <xdr:col>16</xdr:col>
      <xdr:colOff>714911</xdr:colOff>
      <xdr:row>2</xdr:row>
      <xdr:rowOff>291450</xdr:rowOff>
    </xdr:to>
    <xdr:sp macro="" textlink="">
      <xdr:nvSpPr>
        <xdr:cNvPr id="3" name="Down Arrow 2"/>
        <xdr:cNvSpPr/>
      </xdr:nvSpPr>
      <xdr:spPr>
        <a:xfrm rot="10800000">
          <a:off x="10768814" y="70423"/>
          <a:ext cx="156897" cy="221027"/>
        </a:xfrm>
        <a:prstGeom prst="downArrow">
          <a:avLst/>
        </a:prstGeom>
        <a:solidFill>
          <a:srgbClr val="FCBB69"/>
        </a:solidFill>
        <a:ln>
          <a:solidFill>
            <a:srgbClr val="FCBB69"/>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771526</xdr:colOff>
      <xdr:row>2</xdr:row>
      <xdr:rowOff>85725</xdr:rowOff>
    </xdr:from>
    <xdr:to>
      <xdr:col>3</xdr:col>
      <xdr:colOff>2047876</xdr:colOff>
      <xdr:row>6</xdr:row>
      <xdr:rowOff>0</xdr:rowOff>
    </xdr:to>
    <xdr:pic>
      <xdr:nvPicPr>
        <xdr:cNvPr id="6" name="Picture 5" descr="https://lh4.googleusercontent.com/jsO56yD9jx3l2seGR2W43vDmxbaQJ5i46f4F42qzGWXPiDMcX0eY4bo0KFT3DQJXcL2fGAeYYo45Uh0j2njfRCht-SmhSXVtKQdKl7LwU7HWGLIqqblM8SrPYOFdsR-thPpeWpw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86826" y="85725"/>
          <a:ext cx="1276350" cy="1276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1238251</xdr:colOff>
      <xdr:row>0</xdr:row>
      <xdr:rowOff>133350</xdr:rowOff>
    </xdr:from>
    <xdr:to>
      <xdr:col>10</xdr:col>
      <xdr:colOff>476249</xdr:colOff>
      <xdr:row>1</xdr:row>
      <xdr:rowOff>342901</xdr:rowOff>
    </xdr:to>
    <xdr:grpSp>
      <xdr:nvGrpSpPr>
        <xdr:cNvPr id="6" name="Group 5"/>
        <xdr:cNvGrpSpPr/>
      </xdr:nvGrpSpPr>
      <xdr:grpSpPr>
        <a:xfrm>
          <a:off x="8620126" y="133350"/>
          <a:ext cx="3400423" cy="409576"/>
          <a:chOff x="9413875" y="206375"/>
          <a:chExt cx="3694452" cy="409576"/>
        </a:xfrm>
      </xdr:grpSpPr>
      <xdr:sp macro="" textlink="">
        <xdr:nvSpPr>
          <xdr:cNvPr id="3" name="Freeform 7"/>
          <xdr:cNvSpPr>
            <a:spLocks/>
          </xdr:cNvSpPr>
        </xdr:nvSpPr>
        <xdr:spPr bwMode="auto">
          <a:xfrm rot="10800000">
            <a:off x="9578975" y="206375"/>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ysClr val="window" lastClr="FFFFFF"/>
          </a:solidFill>
          <a:ln>
            <a:noFill/>
          </a:ln>
        </xdr:spPr>
      </xdr:sp>
      <xdr:sp macro="" textlink="">
        <xdr:nvSpPr>
          <xdr:cNvPr id="4" name="TextBox 3">
            <a:hlinkClick xmlns:r="http://schemas.openxmlformats.org/officeDocument/2006/relationships" r:id="rId1"/>
          </xdr:cNvPr>
          <xdr:cNvSpPr txBox="1"/>
        </xdr:nvSpPr>
        <xdr:spPr>
          <a:xfrm>
            <a:off x="9884008" y="215899"/>
            <a:ext cx="3224319"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bg1"/>
                </a:solidFill>
              </a:rPr>
              <a:t>Back to Enter Para</a:t>
            </a:r>
            <a:r>
              <a:rPr lang="en-GB" sz="1600" b="1" baseline="0">
                <a:solidFill>
                  <a:schemeClr val="bg1"/>
                </a:solidFill>
              </a:rPr>
              <a:t>meters</a:t>
            </a:r>
            <a:endParaRPr lang="en-GB" sz="1600" b="1">
              <a:solidFill>
                <a:schemeClr val="bg1"/>
              </a:solidFill>
            </a:endParaRPr>
          </a:p>
        </xdr:txBody>
      </xdr:sp>
      <xdr:sp macro="" textlink="">
        <xdr:nvSpPr>
          <xdr:cNvPr id="5" name="Freeform 7"/>
          <xdr:cNvSpPr>
            <a:spLocks/>
          </xdr:cNvSpPr>
        </xdr:nvSpPr>
        <xdr:spPr bwMode="auto">
          <a:xfrm rot="10800000">
            <a:off x="9413875" y="206375"/>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ysClr val="window" lastClr="FFFFFF"/>
          </a:solidFill>
          <a:ln>
            <a:noFill/>
          </a:ln>
        </xdr:spPr>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481693</xdr:colOff>
      <xdr:row>9</xdr:row>
      <xdr:rowOff>0</xdr:rowOff>
    </xdr:from>
    <xdr:to>
      <xdr:col>14</xdr:col>
      <xdr:colOff>380093</xdr:colOff>
      <xdr:row>22</xdr:row>
      <xdr:rowOff>88900</xdr:rowOff>
    </xdr:to>
    <xdr:grpSp>
      <xdr:nvGrpSpPr>
        <xdr:cNvPr id="11" name="Group 10"/>
        <xdr:cNvGrpSpPr/>
      </xdr:nvGrpSpPr>
      <xdr:grpSpPr>
        <a:xfrm>
          <a:off x="5828393" y="1587500"/>
          <a:ext cx="5359400" cy="2616200"/>
          <a:chOff x="5930900" y="1600200"/>
          <a:chExt cx="5461000" cy="2667000"/>
        </a:xfrm>
      </xdr:grpSpPr>
      <xdr:sp macro="" textlink="">
        <xdr:nvSpPr>
          <xdr:cNvPr id="95" name="Rectangle 94"/>
          <xdr:cNvSpPr/>
        </xdr:nvSpPr>
        <xdr:spPr>
          <a:xfrm>
            <a:off x="5930900" y="1600200"/>
            <a:ext cx="546100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07" name="Rectangle 106"/>
          <xdr:cNvSpPr/>
        </xdr:nvSpPr>
        <xdr:spPr>
          <a:xfrm>
            <a:off x="6045200" y="1651000"/>
            <a:ext cx="4203700" cy="374141"/>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Client advised - top 3 LA's</a:t>
            </a:r>
            <a:endParaRPr lang="en-GB" sz="1600" b="1" i="0" u="none" strike="noStrike" baseline="0">
              <a:solidFill>
                <a:schemeClr val="accent1">
                  <a:lumMod val="50000"/>
                </a:schemeClr>
              </a:solidFill>
              <a:latin typeface="Calibri"/>
              <a:cs typeface="Calibri"/>
            </a:endParaRPr>
          </a:p>
        </xdr:txBody>
      </xdr:sp>
      <xdr:graphicFrame macro="">
        <xdr:nvGraphicFramePr>
          <xdr:cNvPr id="22" name="Chart 21"/>
          <xdr:cNvGraphicFramePr/>
        </xdr:nvGraphicFramePr>
        <xdr:xfrm>
          <a:off x="5975348" y="1968500"/>
          <a:ext cx="5149851" cy="19685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14</xdr:col>
      <xdr:colOff>482600</xdr:colOff>
      <xdr:row>9</xdr:row>
      <xdr:rowOff>0</xdr:rowOff>
    </xdr:from>
    <xdr:to>
      <xdr:col>22</xdr:col>
      <xdr:colOff>3175</xdr:colOff>
      <xdr:row>22</xdr:row>
      <xdr:rowOff>88900</xdr:rowOff>
    </xdr:to>
    <xdr:grpSp>
      <xdr:nvGrpSpPr>
        <xdr:cNvPr id="13" name="Group 12"/>
        <xdr:cNvGrpSpPr/>
      </xdr:nvGrpSpPr>
      <xdr:grpSpPr>
        <a:xfrm>
          <a:off x="11290300" y="1587500"/>
          <a:ext cx="5324475" cy="2616200"/>
          <a:chOff x="11480800" y="1600200"/>
          <a:chExt cx="5441950" cy="2667000"/>
        </a:xfrm>
      </xdr:grpSpPr>
      <xdr:sp macro="" textlink="">
        <xdr:nvSpPr>
          <xdr:cNvPr id="97" name="Rectangle 96"/>
          <xdr:cNvSpPr/>
        </xdr:nvSpPr>
        <xdr:spPr>
          <a:xfrm>
            <a:off x="11480800" y="1600200"/>
            <a:ext cx="544195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08" name="Rectangle 107"/>
          <xdr:cNvSpPr/>
        </xdr:nvSpPr>
        <xdr:spPr>
          <a:xfrm>
            <a:off x="11607800" y="1663700"/>
            <a:ext cx="4203700" cy="374141"/>
          </a:xfrm>
          <a:prstGeom prst="rect">
            <a:avLst/>
          </a:prstGeom>
          <a:noFill/>
        </xdr:spPr>
        <xdr:txBody>
          <a:bodyPr wrap="square" lIns="91440" tIns="45720" rIns="91440" bIns="45720">
            <a:sp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Gender of Clients</a:t>
            </a:r>
            <a:endParaRPr lang="en-GB" sz="1600" b="1" i="0" u="none" strike="noStrike" baseline="0">
              <a:solidFill>
                <a:schemeClr val="accent1">
                  <a:lumMod val="50000"/>
                </a:schemeClr>
              </a:solidFill>
              <a:latin typeface="Calibri"/>
              <a:cs typeface="Calibri"/>
            </a:endParaRPr>
          </a:p>
        </xdr:txBody>
      </xdr:sp>
      <xdr:graphicFrame macro="">
        <xdr:nvGraphicFramePr>
          <xdr:cNvPr id="35" name="Chart 34"/>
          <xdr:cNvGraphicFramePr/>
        </xdr:nvGraphicFramePr>
        <xdr:xfrm>
          <a:off x="11963399" y="2019300"/>
          <a:ext cx="4502149" cy="20447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xdr:col>
      <xdr:colOff>2721</xdr:colOff>
      <xdr:row>22</xdr:row>
      <xdr:rowOff>146050</xdr:rowOff>
    </xdr:from>
    <xdr:to>
      <xdr:col>8</xdr:col>
      <xdr:colOff>396421</xdr:colOff>
      <xdr:row>36</xdr:row>
      <xdr:rowOff>133350</xdr:rowOff>
    </xdr:to>
    <xdr:grpSp>
      <xdr:nvGrpSpPr>
        <xdr:cNvPr id="15" name="Group 14"/>
        <xdr:cNvGrpSpPr/>
      </xdr:nvGrpSpPr>
      <xdr:grpSpPr>
        <a:xfrm>
          <a:off x="371021" y="4260850"/>
          <a:ext cx="5372100" cy="2667000"/>
          <a:chOff x="368300" y="4343400"/>
          <a:chExt cx="5461000" cy="2667000"/>
        </a:xfrm>
      </xdr:grpSpPr>
      <xdr:sp macro="" textlink="">
        <xdr:nvSpPr>
          <xdr:cNvPr id="109" name="Rectangle 108"/>
          <xdr:cNvSpPr/>
        </xdr:nvSpPr>
        <xdr:spPr>
          <a:xfrm>
            <a:off x="368300" y="4343400"/>
            <a:ext cx="546100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18" name="Rectangle 117"/>
          <xdr:cNvSpPr/>
        </xdr:nvSpPr>
        <xdr:spPr>
          <a:xfrm>
            <a:off x="546100" y="4392395"/>
            <a:ext cx="3606800" cy="322007"/>
          </a:xfrm>
          <a:prstGeom prst="rect">
            <a:avLst/>
          </a:prstGeom>
          <a:noFill/>
        </xdr:spPr>
        <xdr:txBody>
          <a:bodyPr wrap="square" lIns="91440" tIns="45720" rIns="91440" bIns="45720">
            <a:sp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Advice categories summary</a:t>
            </a:r>
            <a:endParaRPr lang="en-GB" sz="1600" b="1" i="0" u="none" strike="noStrike" baseline="0">
              <a:solidFill>
                <a:schemeClr val="accent1">
                  <a:lumMod val="50000"/>
                </a:schemeClr>
              </a:solidFill>
              <a:latin typeface="Calibri"/>
              <a:cs typeface="Calibri"/>
            </a:endParaRPr>
          </a:p>
        </xdr:txBody>
      </xdr:sp>
      <xdr:graphicFrame macro="">
        <xdr:nvGraphicFramePr>
          <xdr:cNvPr id="37" name="Chart 36"/>
          <xdr:cNvGraphicFramePr/>
        </xdr:nvGraphicFramePr>
        <xdr:xfrm>
          <a:off x="400048" y="4687090"/>
          <a:ext cx="5289552" cy="210741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8</xdr:col>
      <xdr:colOff>484868</xdr:colOff>
      <xdr:row>22</xdr:row>
      <xdr:rowOff>151493</xdr:rowOff>
    </xdr:from>
    <xdr:to>
      <xdr:col>14</xdr:col>
      <xdr:colOff>383268</xdr:colOff>
      <xdr:row>36</xdr:row>
      <xdr:rowOff>138793</xdr:rowOff>
    </xdr:to>
    <xdr:grpSp>
      <xdr:nvGrpSpPr>
        <xdr:cNvPr id="16" name="Group 15"/>
        <xdr:cNvGrpSpPr/>
      </xdr:nvGrpSpPr>
      <xdr:grpSpPr>
        <a:xfrm>
          <a:off x="5831568" y="4266293"/>
          <a:ext cx="5359400" cy="2667000"/>
          <a:chOff x="5918200" y="4343400"/>
          <a:chExt cx="5461000" cy="2667000"/>
        </a:xfrm>
      </xdr:grpSpPr>
      <xdr:sp macro="" textlink="">
        <xdr:nvSpPr>
          <xdr:cNvPr id="110" name="Rectangle 109"/>
          <xdr:cNvSpPr/>
        </xdr:nvSpPr>
        <xdr:spPr>
          <a:xfrm>
            <a:off x="5918200" y="4343400"/>
            <a:ext cx="546100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19" name="Rectangle 118"/>
          <xdr:cNvSpPr/>
        </xdr:nvSpPr>
        <xdr:spPr>
          <a:xfrm>
            <a:off x="6121400" y="4432301"/>
            <a:ext cx="4013200" cy="444500"/>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Client advised - top 3 constituencies</a:t>
            </a:r>
            <a:endParaRPr lang="en-GB" sz="1600" b="1" i="0" u="none" strike="noStrike" baseline="0">
              <a:solidFill>
                <a:schemeClr val="accent1">
                  <a:lumMod val="50000"/>
                </a:schemeClr>
              </a:solidFill>
              <a:latin typeface="Calibri"/>
              <a:cs typeface="Calibri"/>
            </a:endParaRPr>
          </a:p>
        </xdr:txBody>
      </xdr:sp>
      <xdr:graphicFrame macro="">
        <xdr:nvGraphicFramePr>
          <xdr:cNvPr id="38" name="Chart 37"/>
          <xdr:cNvGraphicFramePr/>
        </xdr:nvGraphicFramePr>
        <xdr:xfrm>
          <a:off x="5937248" y="4858481"/>
          <a:ext cx="5289551" cy="20131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14</xdr:col>
      <xdr:colOff>482600</xdr:colOff>
      <xdr:row>22</xdr:row>
      <xdr:rowOff>165100</xdr:rowOff>
    </xdr:from>
    <xdr:to>
      <xdr:col>21</xdr:col>
      <xdr:colOff>82550</xdr:colOff>
      <xdr:row>36</xdr:row>
      <xdr:rowOff>152400</xdr:rowOff>
    </xdr:to>
    <xdr:grpSp>
      <xdr:nvGrpSpPr>
        <xdr:cNvPr id="18" name="Group 17"/>
        <xdr:cNvGrpSpPr/>
      </xdr:nvGrpSpPr>
      <xdr:grpSpPr>
        <a:xfrm>
          <a:off x="11290300" y="4279900"/>
          <a:ext cx="5314950" cy="2667000"/>
          <a:chOff x="11480800" y="4343400"/>
          <a:chExt cx="5441950" cy="2667000"/>
        </a:xfrm>
      </xdr:grpSpPr>
      <xdr:sp macro="" textlink="">
        <xdr:nvSpPr>
          <xdr:cNvPr id="111" name="Rectangle 110"/>
          <xdr:cNvSpPr/>
        </xdr:nvSpPr>
        <xdr:spPr>
          <a:xfrm>
            <a:off x="11480800" y="4343400"/>
            <a:ext cx="544195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20" name="Rectangle 119"/>
          <xdr:cNvSpPr/>
        </xdr:nvSpPr>
        <xdr:spPr>
          <a:xfrm>
            <a:off x="11633200" y="4394200"/>
            <a:ext cx="4203700" cy="374141"/>
          </a:xfrm>
          <a:prstGeom prst="rect">
            <a:avLst/>
          </a:prstGeom>
          <a:noFill/>
        </xdr:spPr>
        <xdr:txBody>
          <a:bodyPr wrap="square" lIns="91440" tIns="45720" rIns="91440" bIns="45720">
            <a:sp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Ethnicity of Clients</a:t>
            </a:r>
            <a:endParaRPr lang="en-GB" sz="1600" b="1" i="0" u="none" strike="noStrike" baseline="0">
              <a:solidFill>
                <a:schemeClr val="accent1">
                  <a:lumMod val="50000"/>
                </a:schemeClr>
              </a:solidFill>
              <a:latin typeface="Calibri"/>
              <a:cs typeface="Calibri"/>
            </a:endParaRPr>
          </a:p>
        </xdr:txBody>
      </xdr:sp>
      <xdr:graphicFrame macro="">
        <xdr:nvGraphicFramePr>
          <xdr:cNvPr id="39" name="Chart 38"/>
          <xdr:cNvGraphicFramePr/>
        </xdr:nvGraphicFramePr>
        <xdr:xfrm>
          <a:off x="11563348" y="4686300"/>
          <a:ext cx="5213351" cy="218440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2</xdr:col>
      <xdr:colOff>0</xdr:colOff>
      <xdr:row>37</xdr:row>
      <xdr:rowOff>38100</xdr:rowOff>
    </xdr:from>
    <xdr:to>
      <xdr:col>8</xdr:col>
      <xdr:colOff>393700</xdr:colOff>
      <xdr:row>51</xdr:row>
      <xdr:rowOff>38100</xdr:rowOff>
    </xdr:to>
    <xdr:grpSp>
      <xdr:nvGrpSpPr>
        <xdr:cNvPr id="19" name="Group 18"/>
        <xdr:cNvGrpSpPr/>
      </xdr:nvGrpSpPr>
      <xdr:grpSpPr>
        <a:xfrm>
          <a:off x="368300" y="7023100"/>
          <a:ext cx="5372100" cy="2667000"/>
          <a:chOff x="368300" y="7086600"/>
          <a:chExt cx="5461000" cy="2667000"/>
        </a:xfrm>
      </xdr:grpSpPr>
      <xdr:sp macro="" textlink="">
        <xdr:nvSpPr>
          <xdr:cNvPr id="112" name="Rectangle 111"/>
          <xdr:cNvSpPr/>
        </xdr:nvSpPr>
        <xdr:spPr>
          <a:xfrm>
            <a:off x="368300" y="7086600"/>
            <a:ext cx="546100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21" name="Rectangle 120"/>
          <xdr:cNvSpPr/>
        </xdr:nvSpPr>
        <xdr:spPr>
          <a:xfrm>
            <a:off x="609600" y="7162800"/>
            <a:ext cx="3606800" cy="374141"/>
          </a:xfrm>
          <a:prstGeom prst="rect">
            <a:avLst/>
          </a:prstGeom>
          <a:noFill/>
        </xdr:spPr>
        <xdr:txBody>
          <a:bodyPr wrap="square" lIns="91440" tIns="45720" rIns="91440" bIns="45720">
            <a:sp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Client contacts by channel</a:t>
            </a:r>
            <a:endParaRPr lang="en-GB" sz="1600" b="1" i="0" u="none" strike="noStrike" baseline="0">
              <a:solidFill>
                <a:schemeClr val="accent1">
                  <a:lumMod val="50000"/>
                </a:schemeClr>
              </a:solidFill>
              <a:latin typeface="Calibri"/>
              <a:cs typeface="Calibri"/>
            </a:endParaRPr>
          </a:p>
        </xdr:txBody>
      </xdr:sp>
      <xdr:graphicFrame macro="">
        <xdr:nvGraphicFramePr>
          <xdr:cNvPr id="40" name="Chart 39"/>
          <xdr:cNvGraphicFramePr/>
        </xdr:nvGraphicFramePr>
        <xdr:xfrm>
          <a:off x="400048" y="7518400"/>
          <a:ext cx="5353052" cy="18923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14</xdr:col>
      <xdr:colOff>483507</xdr:colOff>
      <xdr:row>37</xdr:row>
      <xdr:rowOff>38100</xdr:rowOff>
    </xdr:from>
    <xdr:to>
      <xdr:col>22</xdr:col>
      <xdr:colOff>1814</xdr:colOff>
      <xdr:row>51</xdr:row>
      <xdr:rowOff>38100</xdr:rowOff>
    </xdr:to>
    <xdr:grpSp>
      <xdr:nvGrpSpPr>
        <xdr:cNvPr id="21" name="Group 20"/>
        <xdr:cNvGrpSpPr/>
      </xdr:nvGrpSpPr>
      <xdr:grpSpPr>
        <a:xfrm>
          <a:off x="11291207" y="7023100"/>
          <a:ext cx="5322207" cy="2667000"/>
          <a:chOff x="11468100" y="7086600"/>
          <a:chExt cx="5441950" cy="2667000"/>
        </a:xfrm>
      </xdr:grpSpPr>
      <xdr:sp macro="" textlink="">
        <xdr:nvSpPr>
          <xdr:cNvPr id="114" name="Rectangle 113"/>
          <xdr:cNvSpPr/>
        </xdr:nvSpPr>
        <xdr:spPr>
          <a:xfrm>
            <a:off x="11468100" y="7086600"/>
            <a:ext cx="544195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23" name="Rectangle 122"/>
          <xdr:cNvSpPr/>
        </xdr:nvSpPr>
        <xdr:spPr>
          <a:xfrm>
            <a:off x="11658600" y="7112000"/>
            <a:ext cx="3606800" cy="320692"/>
          </a:xfrm>
          <a:prstGeom prst="rect">
            <a:avLst/>
          </a:prstGeom>
          <a:noFill/>
        </xdr:spPr>
        <xdr:txBody>
          <a:bodyPr wrap="square" lIns="91440" tIns="45720" rIns="91440" bIns="45720">
            <a:sp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Disability / Long term health (LTH)</a:t>
            </a:r>
            <a:endParaRPr lang="en-GB" sz="1600" b="1" i="0" u="none" strike="noStrike" baseline="0">
              <a:solidFill>
                <a:schemeClr val="accent1">
                  <a:lumMod val="50000"/>
                </a:schemeClr>
              </a:solidFill>
              <a:latin typeface="Calibri"/>
              <a:cs typeface="Calibri"/>
            </a:endParaRPr>
          </a:p>
        </xdr:txBody>
      </xdr:sp>
      <xdr:graphicFrame macro="">
        <xdr:nvGraphicFramePr>
          <xdr:cNvPr id="3" name="Chart 2"/>
          <xdr:cNvGraphicFramePr/>
        </xdr:nvGraphicFramePr>
        <xdr:xfrm>
          <a:off x="11595101" y="7416800"/>
          <a:ext cx="5207000" cy="213360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14</xdr:col>
      <xdr:colOff>483507</xdr:colOff>
      <xdr:row>51</xdr:row>
      <xdr:rowOff>140607</xdr:rowOff>
    </xdr:from>
    <xdr:to>
      <xdr:col>22</xdr:col>
      <xdr:colOff>1814</xdr:colOff>
      <xdr:row>65</xdr:row>
      <xdr:rowOff>140607</xdr:rowOff>
    </xdr:to>
    <xdr:grpSp>
      <xdr:nvGrpSpPr>
        <xdr:cNvPr id="25" name="Group 24"/>
        <xdr:cNvGrpSpPr/>
      </xdr:nvGrpSpPr>
      <xdr:grpSpPr>
        <a:xfrm>
          <a:off x="11291207" y="9792607"/>
          <a:ext cx="5322207" cy="2667000"/>
          <a:chOff x="11468100" y="9828893"/>
          <a:chExt cx="5441950" cy="2667000"/>
        </a:xfrm>
      </xdr:grpSpPr>
      <xdr:sp macro="" textlink="">
        <xdr:nvSpPr>
          <xdr:cNvPr id="117" name="Rectangle 116"/>
          <xdr:cNvSpPr/>
        </xdr:nvSpPr>
        <xdr:spPr>
          <a:xfrm>
            <a:off x="11468100" y="9828893"/>
            <a:ext cx="544195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26" name="Rectangle 125"/>
          <xdr:cNvSpPr/>
        </xdr:nvSpPr>
        <xdr:spPr>
          <a:xfrm>
            <a:off x="11772900" y="9880600"/>
            <a:ext cx="3606800" cy="374141"/>
          </a:xfrm>
          <a:prstGeom prst="rect">
            <a:avLst/>
          </a:prstGeom>
          <a:noFill/>
        </xdr:spPr>
        <xdr:txBody>
          <a:bodyPr wrap="square" lIns="91440" tIns="45720" rIns="91440" bIns="45720">
            <a:sp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Age range of clients</a:t>
            </a:r>
            <a:endParaRPr lang="en-GB" sz="1600" b="1" i="0" u="none" strike="noStrike" baseline="0">
              <a:solidFill>
                <a:schemeClr val="accent1">
                  <a:lumMod val="50000"/>
                </a:schemeClr>
              </a:solidFill>
              <a:latin typeface="Calibri"/>
              <a:cs typeface="Calibri"/>
            </a:endParaRPr>
          </a:p>
        </xdr:txBody>
      </xdr:sp>
      <xdr:graphicFrame macro="">
        <xdr:nvGraphicFramePr>
          <xdr:cNvPr id="4" name="Chart 3"/>
          <xdr:cNvGraphicFramePr/>
        </xdr:nvGraphicFramePr>
        <xdr:xfrm>
          <a:off x="11518899" y="10223500"/>
          <a:ext cx="5321301" cy="2006600"/>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1</xdr:col>
      <xdr:colOff>228600</xdr:colOff>
      <xdr:row>51</xdr:row>
      <xdr:rowOff>127000</xdr:rowOff>
    </xdr:from>
    <xdr:to>
      <xdr:col>8</xdr:col>
      <xdr:colOff>381000</xdr:colOff>
      <xdr:row>65</xdr:row>
      <xdr:rowOff>127000</xdr:rowOff>
    </xdr:to>
    <xdr:grpSp>
      <xdr:nvGrpSpPr>
        <xdr:cNvPr id="23" name="Group 22"/>
        <xdr:cNvGrpSpPr/>
      </xdr:nvGrpSpPr>
      <xdr:grpSpPr>
        <a:xfrm>
          <a:off x="355600" y="9779000"/>
          <a:ext cx="5372100" cy="2667000"/>
          <a:chOff x="355600" y="9842500"/>
          <a:chExt cx="5461000" cy="2667000"/>
        </a:xfrm>
      </xdr:grpSpPr>
      <xdr:sp macro="" textlink="">
        <xdr:nvSpPr>
          <xdr:cNvPr id="115" name="Rectangle 114"/>
          <xdr:cNvSpPr/>
        </xdr:nvSpPr>
        <xdr:spPr>
          <a:xfrm>
            <a:off x="355600" y="9842500"/>
            <a:ext cx="546100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24" name="Rectangle 123"/>
          <xdr:cNvSpPr/>
        </xdr:nvSpPr>
        <xdr:spPr>
          <a:xfrm>
            <a:off x="558800" y="9893300"/>
            <a:ext cx="3606800" cy="374141"/>
          </a:xfrm>
          <a:prstGeom prst="rect">
            <a:avLst/>
          </a:prstGeom>
          <a:noFill/>
        </xdr:spPr>
        <xdr:txBody>
          <a:bodyPr wrap="square" lIns="91440" tIns="45720" rIns="91440" bIns="45720">
            <a:sp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Enquires by Worklevel</a:t>
            </a:r>
            <a:endParaRPr lang="en-GB" sz="1600" b="1" i="0" u="none" strike="noStrike" baseline="0">
              <a:solidFill>
                <a:schemeClr val="accent1">
                  <a:lumMod val="50000"/>
                </a:schemeClr>
              </a:solidFill>
              <a:latin typeface="Calibri"/>
              <a:cs typeface="Calibri"/>
            </a:endParaRPr>
          </a:p>
        </xdr:txBody>
      </xdr:sp>
      <xdr:graphicFrame macro="">
        <xdr:nvGraphicFramePr>
          <xdr:cNvPr id="5" name="Chart 4"/>
          <xdr:cNvGraphicFramePr/>
        </xdr:nvGraphicFramePr>
        <xdr:xfrm>
          <a:off x="673101" y="10172700"/>
          <a:ext cx="4940299" cy="205740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8</xdr:col>
      <xdr:colOff>468993</xdr:colOff>
      <xdr:row>37</xdr:row>
      <xdr:rowOff>24493</xdr:rowOff>
    </xdr:from>
    <xdr:to>
      <xdr:col>14</xdr:col>
      <xdr:colOff>367393</xdr:colOff>
      <xdr:row>51</xdr:row>
      <xdr:rowOff>24493</xdr:rowOff>
    </xdr:to>
    <xdr:grpSp>
      <xdr:nvGrpSpPr>
        <xdr:cNvPr id="20" name="Group 19"/>
        <xdr:cNvGrpSpPr/>
      </xdr:nvGrpSpPr>
      <xdr:grpSpPr>
        <a:xfrm>
          <a:off x="5815693" y="7009493"/>
          <a:ext cx="5359400" cy="2667000"/>
          <a:chOff x="5918200" y="7113814"/>
          <a:chExt cx="5461000" cy="2667000"/>
        </a:xfrm>
      </xdr:grpSpPr>
      <xdr:sp macro="" textlink="">
        <xdr:nvSpPr>
          <xdr:cNvPr id="113" name="Rectangle 112"/>
          <xdr:cNvSpPr/>
        </xdr:nvSpPr>
        <xdr:spPr>
          <a:xfrm>
            <a:off x="5918200" y="7113814"/>
            <a:ext cx="546100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22" name="Rectangle 121"/>
          <xdr:cNvSpPr/>
        </xdr:nvSpPr>
        <xdr:spPr>
          <a:xfrm>
            <a:off x="6184900" y="7124700"/>
            <a:ext cx="3606800" cy="320692"/>
          </a:xfrm>
          <a:prstGeom prst="rect">
            <a:avLst/>
          </a:prstGeom>
          <a:noFill/>
        </xdr:spPr>
        <xdr:txBody>
          <a:bodyPr wrap="square" lIns="91440" tIns="45720" rIns="91440" bIns="45720">
            <a:sp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Evidence Forms</a:t>
            </a:r>
            <a:endParaRPr lang="en-GB" sz="1600" b="1" i="0" u="none" strike="noStrike" baseline="0">
              <a:solidFill>
                <a:schemeClr val="accent1">
                  <a:lumMod val="50000"/>
                </a:schemeClr>
              </a:solidFill>
              <a:latin typeface="Calibri"/>
              <a:cs typeface="Calibri"/>
            </a:endParaRPr>
          </a:p>
        </xdr:txBody>
      </xdr:sp>
      <xdr:graphicFrame macro="">
        <xdr:nvGraphicFramePr>
          <xdr:cNvPr id="9" name="Chart 8"/>
          <xdr:cNvGraphicFramePr/>
        </xdr:nvGraphicFramePr>
        <xdr:xfrm>
          <a:off x="6216649" y="7429500"/>
          <a:ext cx="5124451" cy="210820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2</xdr:col>
      <xdr:colOff>0</xdr:colOff>
      <xdr:row>9</xdr:row>
      <xdr:rowOff>0</xdr:rowOff>
    </xdr:from>
    <xdr:to>
      <xdr:col>8</xdr:col>
      <xdr:colOff>393700</xdr:colOff>
      <xdr:row>22</xdr:row>
      <xdr:rowOff>88900</xdr:rowOff>
    </xdr:to>
    <xdr:grpSp>
      <xdr:nvGrpSpPr>
        <xdr:cNvPr id="8" name="Group 7"/>
        <xdr:cNvGrpSpPr/>
      </xdr:nvGrpSpPr>
      <xdr:grpSpPr>
        <a:xfrm>
          <a:off x="368300" y="1587500"/>
          <a:ext cx="5372100" cy="2616200"/>
          <a:chOff x="368300" y="1600200"/>
          <a:chExt cx="5461000" cy="2667000"/>
        </a:xfrm>
      </xdr:grpSpPr>
      <xdr:sp macro="" textlink="">
        <xdr:nvSpPr>
          <xdr:cNvPr id="68" name="Rectangle 67"/>
          <xdr:cNvSpPr/>
        </xdr:nvSpPr>
        <xdr:spPr>
          <a:xfrm>
            <a:off x="368300" y="1600200"/>
            <a:ext cx="546100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71" name="Rectangle 70"/>
          <xdr:cNvSpPr/>
        </xdr:nvSpPr>
        <xdr:spPr>
          <a:xfrm>
            <a:off x="508000" y="1651000"/>
            <a:ext cx="2730500" cy="374141"/>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rgbClr val="004B88"/>
                </a:solidFill>
                <a:latin typeface="Calibri"/>
                <a:cs typeface="Calibri"/>
              </a:rPr>
              <a:t>Key Statistics</a:t>
            </a:r>
            <a:endParaRPr lang="en-GB" sz="1600" b="1" i="0" u="none" strike="noStrike" baseline="0">
              <a:solidFill>
                <a:srgbClr val="004B88"/>
              </a:solidFill>
              <a:latin typeface="Calibri"/>
              <a:cs typeface="Calibri"/>
            </a:endParaRPr>
          </a:p>
        </xdr:txBody>
      </xdr:sp>
      <xdr:sp macro="" textlink="">
        <xdr:nvSpPr>
          <xdr:cNvPr id="12" name="TextBox 11"/>
          <xdr:cNvSpPr txBox="1"/>
        </xdr:nvSpPr>
        <xdr:spPr>
          <a:xfrm>
            <a:off x="685800" y="2247900"/>
            <a:ext cx="16891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Clients</a:t>
            </a:r>
          </a:p>
        </xdr:txBody>
      </xdr:sp>
      <xdr:sp macro="" textlink="">
        <xdr:nvSpPr>
          <xdr:cNvPr id="43" name="TextBox 42"/>
          <xdr:cNvSpPr txBox="1"/>
        </xdr:nvSpPr>
        <xdr:spPr>
          <a:xfrm>
            <a:off x="685800" y="2667000"/>
            <a:ext cx="1943100" cy="31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Advice</a:t>
            </a:r>
            <a:r>
              <a:rPr lang="en-GB" sz="1600" b="1" baseline="0"/>
              <a:t> Issue Codes</a:t>
            </a:r>
            <a:endParaRPr lang="en-GB" sz="1600" b="1"/>
          </a:p>
        </xdr:txBody>
      </xdr:sp>
      <xdr:sp macro="" textlink="">
        <xdr:nvSpPr>
          <xdr:cNvPr id="44" name="TextBox 43"/>
          <xdr:cNvSpPr txBox="1"/>
        </xdr:nvSpPr>
        <xdr:spPr>
          <a:xfrm>
            <a:off x="685800" y="3111500"/>
            <a:ext cx="17145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Client</a:t>
            </a:r>
            <a:r>
              <a:rPr lang="en-GB" sz="1600" b="1" baseline="0"/>
              <a:t> Contacts</a:t>
            </a:r>
            <a:endParaRPr lang="en-GB" sz="1600" b="1"/>
          </a:p>
        </xdr:txBody>
      </xdr:sp>
      <xdr:sp macro="" textlink="">
        <xdr:nvSpPr>
          <xdr:cNvPr id="45" name="TextBox 44"/>
          <xdr:cNvSpPr txBox="1"/>
        </xdr:nvSpPr>
        <xdr:spPr>
          <a:xfrm>
            <a:off x="685800" y="3543300"/>
            <a:ext cx="1701800" cy="27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Enquiries</a:t>
            </a:r>
          </a:p>
        </xdr:txBody>
      </xdr:sp>
      <xdr:sp macro="" textlink="'Enquiry - Gateway'!S11">
        <xdr:nvSpPr>
          <xdr:cNvPr id="47" name="TextBox 46"/>
          <xdr:cNvSpPr txBox="1"/>
        </xdr:nvSpPr>
        <xdr:spPr>
          <a:xfrm>
            <a:off x="2705100" y="2247900"/>
            <a:ext cx="16891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752643B0-F0FE-4C40-A572-8341DF5A13AB}" type="TxLink">
              <a:rPr lang="en-US" sz="1600" b="1" i="0" u="none" strike="noStrike">
                <a:solidFill>
                  <a:srgbClr val="000000"/>
                </a:solidFill>
                <a:latin typeface="Calibri"/>
                <a:ea typeface="Open Sans"/>
                <a:cs typeface="Open Sans"/>
              </a:rPr>
              <a:pPr algn="r"/>
              <a:t>5,658</a:t>
            </a:fld>
            <a:endParaRPr lang="en-GB" sz="1600" b="1"/>
          </a:p>
        </xdr:txBody>
      </xdr:sp>
      <xdr:sp macro="" textlink="'AIC1'!C37">
        <xdr:nvSpPr>
          <xdr:cNvPr id="48" name="TextBox 47"/>
          <xdr:cNvSpPr txBox="1"/>
        </xdr:nvSpPr>
        <xdr:spPr>
          <a:xfrm>
            <a:off x="2692400" y="2667000"/>
            <a:ext cx="1701800" cy="31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716533A2-72A4-4D4E-BF10-6CF85437B676}" type="TxLink">
              <a:rPr lang="en-US" sz="1600" b="1" i="0" u="none" strike="noStrike">
                <a:solidFill>
                  <a:srgbClr val="000000"/>
                </a:solidFill>
                <a:latin typeface="Calibri"/>
                <a:ea typeface="Open Sans"/>
                <a:cs typeface="Open Sans"/>
              </a:rPr>
              <a:pPr algn="r"/>
              <a:t>14,371</a:t>
            </a:fld>
            <a:endParaRPr lang="en-GB" sz="1600" b="1"/>
          </a:p>
        </xdr:txBody>
      </xdr:sp>
      <xdr:sp macro="" textlink="'Enquiry - Gateway'!C26">
        <xdr:nvSpPr>
          <xdr:cNvPr id="50" name="TextBox 49"/>
          <xdr:cNvSpPr txBox="1"/>
        </xdr:nvSpPr>
        <xdr:spPr>
          <a:xfrm>
            <a:off x="2692400" y="3543300"/>
            <a:ext cx="1701800" cy="27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CFE3C190-8986-44E4-81E4-3E173F5F6B12}" type="TxLink">
              <a:rPr lang="en-US" sz="1600" b="1" i="0" u="none" strike="noStrike">
                <a:solidFill>
                  <a:srgbClr val="000000"/>
                </a:solidFill>
                <a:latin typeface="Calibri"/>
                <a:ea typeface="Open Sans"/>
                <a:cs typeface="Open Sans"/>
              </a:rPr>
              <a:pPr algn="r"/>
              <a:t>6,511</a:t>
            </a:fld>
            <a:endParaRPr lang="en-GB" sz="1600" b="1"/>
          </a:p>
        </xdr:txBody>
      </xdr:sp>
      <xdr:sp macro="" textlink="Contacts!C47">
        <xdr:nvSpPr>
          <xdr:cNvPr id="51" name="TextBox 50"/>
          <xdr:cNvSpPr txBox="1"/>
        </xdr:nvSpPr>
        <xdr:spPr>
          <a:xfrm>
            <a:off x="2679700" y="3111500"/>
            <a:ext cx="17145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72D12F90-1D61-451C-A3AD-16DFC42489E4}" type="TxLink">
              <a:rPr lang="en-US" sz="1600" b="1" i="0" u="none" strike="noStrike">
                <a:solidFill>
                  <a:srgbClr val="000000"/>
                </a:solidFill>
                <a:latin typeface="Calibri"/>
                <a:ea typeface="Open Sans"/>
                <a:cs typeface="Open Sans"/>
              </a:rPr>
              <a:pPr algn="r"/>
              <a:t>18,970</a:t>
            </a:fld>
            <a:endParaRPr lang="en-GB" sz="1600" b="1"/>
          </a:p>
        </xdr:txBody>
      </xdr:sp>
      <xdr:cxnSp macro="">
        <xdr:nvCxnSpPr>
          <xdr:cNvPr id="14" name="Straight Connector 13"/>
          <xdr:cNvCxnSpPr/>
        </xdr:nvCxnSpPr>
        <xdr:spPr>
          <a:xfrm>
            <a:off x="571500" y="2628900"/>
            <a:ext cx="41656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xdr:cNvCxnSpPr/>
        </xdr:nvCxnSpPr>
        <xdr:spPr>
          <a:xfrm>
            <a:off x="571500" y="3048000"/>
            <a:ext cx="41656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xdr:cNvCxnSpPr/>
        </xdr:nvCxnSpPr>
        <xdr:spPr>
          <a:xfrm>
            <a:off x="571500" y="3505200"/>
            <a:ext cx="41656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571500" y="2209800"/>
            <a:ext cx="41656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xdr:cNvCxnSpPr/>
        </xdr:nvCxnSpPr>
        <xdr:spPr>
          <a:xfrm>
            <a:off x="584200" y="3949700"/>
            <a:ext cx="41656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9</xdr:col>
      <xdr:colOff>966803</xdr:colOff>
      <xdr:row>3</xdr:row>
      <xdr:rowOff>49893</xdr:rowOff>
    </xdr:from>
    <xdr:ext cx="2105256" cy="405432"/>
    <xdr:sp macro="" textlink="">
      <xdr:nvSpPr>
        <xdr:cNvPr id="65" name="Rectangle 64"/>
        <xdr:cNvSpPr/>
      </xdr:nvSpPr>
      <xdr:spPr>
        <a:xfrm>
          <a:off x="7253303" y="145143"/>
          <a:ext cx="2105256" cy="405432"/>
        </a:xfrm>
        <a:prstGeom prst="rect">
          <a:avLst/>
        </a:prstGeom>
        <a:noFill/>
      </xdr:spPr>
      <xdr:txBody>
        <a:bodyPr wrap="none" lIns="91440" tIns="45720" rIns="91440" bIns="45720">
          <a:spAutoFit/>
        </a:bodyPr>
        <a:lstStyle/>
        <a:p>
          <a:pPr algn="ctr"/>
          <a:r>
            <a:rPr lang="en-US" sz="2000" b="1" cap="none" spc="0" baseline="0">
              <a:ln w="9000" cmpd="sng">
                <a:noFill/>
                <a:prstDash val="solid"/>
              </a:ln>
              <a:solidFill>
                <a:srgbClr val="004B88"/>
              </a:solidFill>
              <a:effectLst/>
            </a:rPr>
            <a:t>Parameter Details</a:t>
          </a:r>
        </a:p>
      </xdr:txBody>
    </xdr:sp>
    <xdr:clientData/>
  </xdr:oneCellAnchor>
  <xdr:twoCellAnchor>
    <xdr:from>
      <xdr:col>2</xdr:col>
      <xdr:colOff>101600</xdr:colOff>
      <xdr:row>3</xdr:row>
      <xdr:rowOff>105080</xdr:rowOff>
    </xdr:from>
    <xdr:to>
      <xdr:col>9</xdr:col>
      <xdr:colOff>904150</xdr:colOff>
      <xdr:row>6</xdr:row>
      <xdr:rowOff>81324</xdr:rowOff>
    </xdr:to>
    <xdr:sp macro="" textlink="">
      <xdr:nvSpPr>
        <xdr:cNvPr id="2" name="Rectangle 1"/>
        <xdr:cNvSpPr/>
      </xdr:nvSpPr>
      <xdr:spPr>
        <a:xfrm>
          <a:off x="468993" y="200330"/>
          <a:ext cx="6721657" cy="874315"/>
        </a:xfrm>
        <a:prstGeom prst="rect">
          <a:avLst/>
        </a:prstGeom>
        <a:noFill/>
      </xdr:spPr>
      <xdr:txBody>
        <a:bodyPr wrap="square" lIns="91440" tIns="45720" rIns="91440" bIns="45720">
          <a:noAutofit/>
        </a:bodyPr>
        <a:lstStyle/>
        <a:p>
          <a:pPr algn="l"/>
          <a:r>
            <a:rPr lang="en-US" sz="5100" b="1" cap="none" spc="0">
              <a:ln w="18415" cmpd="sng">
                <a:noFill/>
                <a:prstDash val="solid"/>
              </a:ln>
              <a:solidFill>
                <a:srgbClr val="004B88"/>
              </a:solidFill>
              <a:effectLst/>
              <a:latin typeface="Calibri" panose="020F0502020204030204" pitchFamily="34" charset="0"/>
              <a:cs typeface="Calibri" panose="020F0502020204030204" pitchFamily="34" charset="0"/>
            </a:rPr>
            <a:t>Dashboard</a:t>
          </a:r>
        </a:p>
      </xdr:txBody>
    </xdr:sp>
    <xdr:clientData/>
  </xdr:twoCellAnchor>
  <xdr:twoCellAnchor>
    <xdr:from>
      <xdr:col>9</xdr:col>
      <xdr:colOff>917756</xdr:colOff>
      <xdr:row>3</xdr:row>
      <xdr:rowOff>49892</xdr:rowOff>
    </xdr:from>
    <xdr:to>
      <xdr:col>17</xdr:col>
      <xdr:colOff>585108</xdr:colOff>
      <xdr:row>7</xdr:row>
      <xdr:rowOff>138792</xdr:rowOff>
    </xdr:to>
    <xdr:grpSp>
      <xdr:nvGrpSpPr>
        <xdr:cNvPr id="26" name="Group 25"/>
        <xdr:cNvGrpSpPr/>
      </xdr:nvGrpSpPr>
      <xdr:grpSpPr>
        <a:xfrm>
          <a:off x="7089956" y="138792"/>
          <a:ext cx="6690452" cy="1282700"/>
          <a:chOff x="7189074" y="151238"/>
          <a:chExt cx="6374017" cy="1282700"/>
        </a:xfrm>
        <a:solidFill>
          <a:schemeClr val="bg1"/>
        </a:solidFill>
      </xdr:grpSpPr>
      <xdr:sp macro="" textlink="">
        <xdr:nvSpPr>
          <xdr:cNvPr id="17" name="Rounded Rectangle 16"/>
          <xdr:cNvSpPr/>
        </xdr:nvSpPr>
        <xdr:spPr>
          <a:xfrm>
            <a:off x="7189074" y="151238"/>
            <a:ext cx="6374017" cy="1282700"/>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ysClr val="windowText" lastClr="000000"/>
              </a:solidFill>
            </a:endParaRPr>
          </a:p>
        </xdr:txBody>
      </xdr:sp>
      <xdr:sp macro="" textlink="">
        <xdr:nvSpPr>
          <xdr:cNvPr id="69" name="Rounded Rectangle 68">
            <a:hlinkClick xmlns:r="http://schemas.openxmlformats.org/officeDocument/2006/relationships" r:id="rId11"/>
          </xdr:cNvPr>
          <xdr:cNvSpPr/>
        </xdr:nvSpPr>
        <xdr:spPr>
          <a:xfrm>
            <a:off x="11615114" y="527425"/>
            <a:ext cx="1485185" cy="295181"/>
          </a:xfrm>
          <a:prstGeom prst="roundRect">
            <a:avLst>
              <a:gd name="adj" fmla="val 3512"/>
            </a:avLst>
          </a:prstGeom>
          <a:solidFill>
            <a:srgbClr val="FCBB69"/>
          </a:solidFill>
          <a:ln w="6350">
            <a:solidFill>
              <a:schemeClr val="tx1"/>
            </a:solid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GB" sz="1200" b="1">
                <a:solidFill>
                  <a:sysClr val="windowText" lastClr="000000"/>
                </a:solidFill>
              </a:rPr>
              <a:t>Change</a:t>
            </a:r>
            <a:r>
              <a:rPr lang="en-GB" sz="1200" b="1" baseline="0">
                <a:solidFill>
                  <a:sysClr val="windowText" lastClr="000000"/>
                </a:solidFill>
              </a:rPr>
              <a:t> parameters</a:t>
            </a:r>
            <a:endParaRPr lang="en-GB" sz="1200" b="1">
              <a:solidFill>
                <a:sysClr val="windowText" lastClr="000000"/>
              </a:solidFill>
            </a:endParaRPr>
          </a:p>
        </xdr:txBody>
      </xdr:sp>
      <xdr:sp macro="" textlink="">
        <xdr:nvSpPr>
          <xdr:cNvPr id="80" name="Rounded Rectangle 79">
            <a:hlinkClick xmlns:r="http://schemas.openxmlformats.org/officeDocument/2006/relationships" r:id="rId12"/>
          </xdr:cNvPr>
          <xdr:cNvSpPr/>
        </xdr:nvSpPr>
        <xdr:spPr>
          <a:xfrm>
            <a:off x="11613418" y="943287"/>
            <a:ext cx="1485185" cy="295181"/>
          </a:xfrm>
          <a:prstGeom prst="roundRect">
            <a:avLst>
              <a:gd name="adj" fmla="val 3512"/>
            </a:avLst>
          </a:prstGeom>
          <a:solidFill>
            <a:srgbClr val="FCBB69"/>
          </a:solidFill>
          <a:ln w="6350">
            <a:solidFill>
              <a:schemeClr val="tx1"/>
            </a:solid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GB" sz="1200" b="1" baseline="0">
                <a:solidFill>
                  <a:sysClr val="windowText" lastClr="000000"/>
                </a:solidFill>
              </a:rPr>
              <a:t>Parameter summary</a:t>
            </a:r>
            <a:endParaRPr lang="en-GB" sz="1200" b="1">
              <a:solidFill>
                <a:sysClr val="windowText" lastClr="000000"/>
              </a:solidFill>
            </a:endParaRPr>
          </a:p>
        </xdr:txBody>
      </xdr:sp>
    </xdr:grpSp>
    <xdr:clientData/>
  </xdr:twoCellAnchor>
  <xdr:twoCellAnchor>
    <xdr:from>
      <xdr:col>10</xdr:col>
      <xdr:colOff>774700</xdr:colOff>
      <xdr:row>51</xdr:row>
      <xdr:rowOff>177800</xdr:rowOff>
    </xdr:from>
    <xdr:to>
      <xdr:col>12</xdr:col>
      <xdr:colOff>190500</xdr:colOff>
      <xdr:row>53</xdr:row>
      <xdr:rowOff>114300</xdr:rowOff>
    </xdr:to>
    <xdr:sp macro="" textlink="Outcomes!C17">
      <xdr:nvSpPr>
        <xdr:cNvPr id="7" name="TextBox 6"/>
        <xdr:cNvSpPr txBox="1"/>
      </xdr:nvSpPr>
      <xdr:spPr>
        <a:xfrm>
          <a:off x="8153400" y="9893300"/>
          <a:ext cx="1092200" cy="31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039ED71-47C2-45AA-B3BD-95AB47FD66AA}" type="TxLink">
            <a:rPr lang="en-US" sz="1600" b="1" i="0" u="none" strike="noStrike">
              <a:solidFill>
                <a:schemeClr val="tx2">
                  <a:lumMod val="75000"/>
                </a:schemeClr>
              </a:solidFill>
              <a:latin typeface="Calibri"/>
              <a:ea typeface="Open Sans"/>
              <a:cs typeface="Open Sans"/>
            </a:rPr>
            <a:pPr/>
            <a:t>2016-17</a:t>
          </a:fld>
          <a:endParaRPr lang="en-GB" sz="1600">
            <a:solidFill>
              <a:schemeClr val="tx2">
                <a:lumMod val="75000"/>
              </a:schemeClr>
            </a:solidFill>
          </a:endParaRPr>
        </a:p>
      </xdr:txBody>
    </xdr:sp>
    <xdr:clientData/>
  </xdr:twoCellAnchor>
  <xdr:twoCellAnchor>
    <xdr:from>
      <xdr:col>8</xdr:col>
      <xdr:colOff>482600</xdr:colOff>
      <xdr:row>51</xdr:row>
      <xdr:rowOff>140607</xdr:rowOff>
    </xdr:from>
    <xdr:to>
      <xdr:col>14</xdr:col>
      <xdr:colOff>381000</xdr:colOff>
      <xdr:row>65</xdr:row>
      <xdr:rowOff>140607</xdr:rowOff>
    </xdr:to>
    <xdr:grpSp>
      <xdr:nvGrpSpPr>
        <xdr:cNvPr id="24" name="Group 23"/>
        <xdr:cNvGrpSpPr/>
      </xdr:nvGrpSpPr>
      <xdr:grpSpPr>
        <a:xfrm>
          <a:off x="5829300" y="9792607"/>
          <a:ext cx="5359400" cy="2667000"/>
          <a:chOff x="5863936" y="9869714"/>
          <a:chExt cx="5461000" cy="2667000"/>
        </a:xfrm>
      </xdr:grpSpPr>
      <xdr:sp macro="" textlink="">
        <xdr:nvSpPr>
          <xdr:cNvPr id="116" name="Rectangle 115"/>
          <xdr:cNvSpPr/>
        </xdr:nvSpPr>
        <xdr:spPr>
          <a:xfrm>
            <a:off x="5863936" y="9869714"/>
            <a:ext cx="5461000" cy="2667000"/>
          </a:xfrm>
          <a:prstGeom prst="rect">
            <a:avLst/>
          </a:prstGeom>
          <a:solidFill>
            <a:schemeClr val="lt1"/>
          </a:solidFill>
          <a:ln w="12700">
            <a:solidFill>
              <a:schemeClr val="bg1">
                <a:lumMod val="50000"/>
                <a:alpha val="46000"/>
              </a:schemeClr>
            </a:solidFill>
          </a:ln>
          <a:effectLst>
            <a:outerShdw blurRad="50800" dist="38100" dir="2700000" sx="99000" sy="99000" algn="tl" rotWithShape="0">
              <a:schemeClr val="bg1">
                <a:alpha val="40000"/>
              </a:schemeClr>
            </a:outerShdw>
          </a:effectLst>
          <a:scene3d>
            <a:camera prst="obliqueTopLeft"/>
            <a:lightRig rig="threePt" dir="t"/>
          </a:scene3d>
          <a:sp3d extrusionH="44450" prstMaterial="softEdge">
            <a:bevelT/>
            <a:extrusionClr>
              <a:schemeClr val="tx1"/>
            </a:extrusionClr>
          </a:sp3d>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GB"/>
          </a:p>
        </xdr:txBody>
      </xdr:sp>
      <xdr:sp macro="" textlink="">
        <xdr:nvSpPr>
          <xdr:cNvPr id="125" name="Rectangle 124"/>
          <xdr:cNvSpPr/>
        </xdr:nvSpPr>
        <xdr:spPr>
          <a:xfrm>
            <a:off x="5994400" y="9880600"/>
            <a:ext cx="3417646" cy="355600"/>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r>
              <a:rPr lang="en-GB" sz="1800" b="1" i="0" u="none" strike="noStrike" baseline="0">
                <a:solidFill>
                  <a:schemeClr val="accent1">
                    <a:lumMod val="50000"/>
                  </a:schemeClr>
                </a:solidFill>
                <a:latin typeface="Calibri"/>
                <a:cs typeface="Calibri"/>
              </a:rPr>
              <a:t>Financial Outcomes for the period</a:t>
            </a:r>
          </a:p>
          <a:p>
            <a:pPr algn="l" rtl="0">
              <a:defRPr sz="1000"/>
            </a:pPr>
            <a:endParaRPr lang="en-GB" sz="1600" b="1" i="0" u="none" strike="noStrike" baseline="0">
              <a:solidFill>
                <a:schemeClr val="accent1">
                  <a:lumMod val="50000"/>
                </a:schemeClr>
              </a:solidFill>
              <a:latin typeface="Calibri"/>
              <a:cs typeface="Calibri"/>
            </a:endParaRPr>
          </a:p>
        </xdr:txBody>
      </xdr:sp>
    </xdr:grpSp>
    <xdr:clientData/>
  </xdr:twoCellAnchor>
  <xdr:twoCellAnchor>
    <xdr:from>
      <xdr:col>12</xdr:col>
      <xdr:colOff>285749</xdr:colOff>
      <xdr:row>51</xdr:row>
      <xdr:rowOff>154214</xdr:rowOff>
    </xdr:from>
    <xdr:to>
      <xdr:col>14</xdr:col>
      <xdr:colOff>231320</xdr:colOff>
      <xdr:row>53</xdr:row>
      <xdr:rowOff>128814</xdr:rowOff>
    </xdr:to>
    <xdr:sp macro="" textlink="Outcomes!C17">
      <xdr:nvSpPr>
        <xdr:cNvPr id="74" name="Rectangle 73"/>
        <xdr:cNvSpPr/>
      </xdr:nvSpPr>
      <xdr:spPr>
        <a:xfrm>
          <a:off x="9361713" y="9842500"/>
          <a:ext cx="1891393" cy="355600"/>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contourClr>
              <a:schemeClr val="accent1">
                <a:shade val="75000"/>
              </a:schemeClr>
            </a:contourClr>
          </a:sp3d>
        </a:bodyPr>
        <a:lstStyle/>
        <a:p>
          <a:pPr algn="l" rtl="0">
            <a:defRPr sz="1000"/>
          </a:pPr>
          <a:fld id="{AEA7DB70-B990-4CB3-B534-63C1024F7B80}" type="TxLink">
            <a:rPr lang="en-US" sz="1800" b="1" i="0" u="none" strike="noStrike" baseline="0">
              <a:solidFill>
                <a:schemeClr val="accent1">
                  <a:lumMod val="50000"/>
                </a:schemeClr>
              </a:solidFill>
              <a:latin typeface="Calibri"/>
              <a:ea typeface="Open Sans"/>
              <a:cs typeface="Open Sans"/>
            </a:rPr>
            <a:pPr algn="l" rtl="0">
              <a:defRPr sz="1000"/>
            </a:pPr>
            <a:t>2016-17</a:t>
          </a:fld>
          <a:endParaRPr lang="en-GB" sz="1800" b="1" i="0" u="none" strike="noStrike" baseline="0">
            <a:solidFill>
              <a:schemeClr val="accent1">
                <a:lumMod val="50000"/>
              </a:schemeClr>
            </a:solidFill>
            <a:latin typeface="Calibri"/>
            <a:cs typeface="Calibri"/>
          </a:endParaRPr>
        </a:p>
      </xdr:txBody>
    </xdr:sp>
    <xdr:clientData/>
  </xdr:twoCellAnchor>
  <xdr:twoCellAnchor>
    <xdr:from>
      <xdr:col>8</xdr:col>
      <xdr:colOff>746748</xdr:colOff>
      <xdr:row>55</xdr:row>
      <xdr:rowOff>42733</xdr:rowOff>
    </xdr:from>
    <xdr:to>
      <xdr:col>10</xdr:col>
      <xdr:colOff>492551</xdr:colOff>
      <xdr:row>56</xdr:row>
      <xdr:rowOff>157862</xdr:rowOff>
    </xdr:to>
    <xdr:sp macro="" textlink="">
      <xdr:nvSpPr>
        <xdr:cNvPr id="84" name="TextBox 83"/>
        <xdr:cNvSpPr txBox="1"/>
      </xdr:nvSpPr>
      <xdr:spPr>
        <a:xfrm>
          <a:off x="6189605" y="10493019"/>
          <a:ext cx="1691625" cy="305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Income</a:t>
          </a:r>
          <a:r>
            <a:rPr lang="en-GB" sz="1600" b="1" baseline="0"/>
            <a:t> gain</a:t>
          </a:r>
          <a:endParaRPr lang="en-GB" sz="1600" b="1"/>
        </a:p>
      </xdr:txBody>
    </xdr:sp>
    <xdr:clientData/>
  </xdr:twoCellAnchor>
  <xdr:twoCellAnchor>
    <xdr:from>
      <xdr:col>8</xdr:col>
      <xdr:colOff>746748</xdr:colOff>
      <xdr:row>57</xdr:row>
      <xdr:rowOff>81973</xdr:rowOff>
    </xdr:from>
    <xdr:to>
      <xdr:col>10</xdr:col>
      <xdr:colOff>746931</xdr:colOff>
      <xdr:row>59</xdr:row>
      <xdr:rowOff>19337</xdr:rowOff>
    </xdr:to>
    <xdr:sp macro="" textlink="">
      <xdr:nvSpPr>
        <xdr:cNvPr id="85" name="TextBox 84"/>
        <xdr:cNvSpPr txBox="1"/>
      </xdr:nvSpPr>
      <xdr:spPr>
        <a:xfrm>
          <a:off x="6189605" y="10913259"/>
          <a:ext cx="1946005" cy="318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Debts written off</a:t>
          </a:r>
        </a:p>
      </xdr:txBody>
    </xdr:sp>
    <xdr:clientData/>
  </xdr:twoCellAnchor>
  <xdr:twoCellAnchor>
    <xdr:from>
      <xdr:col>8</xdr:col>
      <xdr:colOff>746747</xdr:colOff>
      <xdr:row>59</xdr:row>
      <xdr:rowOff>146683</xdr:rowOff>
    </xdr:from>
    <xdr:to>
      <xdr:col>12</xdr:col>
      <xdr:colOff>27215</xdr:colOff>
      <xdr:row>61</xdr:row>
      <xdr:rowOff>136071</xdr:rowOff>
    </xdr:to>
    <xdr:sp macro="" textlink="">
      <xdr:nvSpPr>
        <xdr:cNvPr id="86" name="TextBox 85"/>
        <xdr:cNvSpPr txBox="1"/>
      </xdr:nvSpPr>
      <xdr:spPr>
        <a:xfrm>
          <a:off x="6189604" y="11358969"/>
          <a:ext cx="2913575" cy="3703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Repayments rescheduled</a:t>
          </a:r>
        </a:p>
      </xdr:txBody>
    </xdr:sp>
    <xdr:clientData/>
  </xdr:twoCellAnchor>
  <xdr:twoCellAnchor>
    <xdr:from>
      <xdr:col>10</xdr:col>
      <xdr:colOff>823244</xdr:colOff>
      <xdr:row>55</xdr:row>
      <xdr:rowOff>42733</xdr:rowOff>
    </xdr:from>
    <xdr:to>
      <xdr:col>12</xdr:col>
      <xdr:colOff>827584</xdr:colOff>
      <xdr:row>56</xdr:row>
      <xdr:rowOff>157862</xdr:rowOff>
    </xdr:to>
    <xdr:sp macro="" textlink="Outcomes!H26">
      <xdr:nvSpPr>
        <xdr:cNvPr id="87" name="TextBox 86"/>
        <xdr:cNvSpPr txBox="1"/>
      </xdr:nvSpPr>
      <xdr:spPr>
        <a:xfrm>
          <a:off x="8211923" y="10493019"/>
          <a:ext cx="1691625" cy="305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AB3770FA-64B8-47DE-A682-A6020A1A6C2B}" type="TxLink">
            <a:rPr lang="en-US" sz="1600" b="1" i="0" u="none" strike="noStrike">
              <a:solidFill>
                <a:srgbClr val="000000"/>
              </a:solidFill>
              <a:latin typeface="+mn-lt"/>
              <a:ea typeface="Open Sans"/>
              <a:cs typeface="Arial"/>
            </a:rPr>
            <a:pPr algn="r"/>
            <a:t>£1,762,067</a:t>
          </a:fld>
          <a:endParaRPr lang="en-GB" sz="1600" b="1">
            <a:latin typeface="+mn-lt"/>
          </a:endParaRPr>
        </a:p>
      </xdr:txBody>
    </xdr:sp>
    <xdr:clientData/>
  </xdr:twoCellAnchor>
  <xdr:twoCellAnchor>
    <xdr:from>
      <xdr:col>10</xdr:col>
      <xdr:colOff>810525</xdr:colOff>
      <xdr:row>57</xdr:row>
      <xdr:rowOff>81973</xdr:rowOff>
    </xdr:from>
    <xdr:to>
      <xdr:col>12</xdr:col>
      <xdr:colOff>827584</xdr:colOff>
      <xdr:row>59</xdr:row>
      <xdr:rowOff>19337</xdr:rowOff>
    </xdr:to>
    <xdr:sp macro="" textlink="Outcomes!H28">
      <xdr:nvSpPr>
        <xdr:cNvPr id="88" name="TextBox 87"/>
        <xdr:cNvSpPr txBox="1"/>
      </xdr:nvSpPr>
      <xdr:spPr>
        <a:xfrm>
          <a:off x="8199204" y="10913259"/>
          <a:ext cx="1704344" cy="318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5667661E-D6ED-4E98-B25D-E5D50C93DB3D}" type="TxLink">
            <a:rPr lang="en-US" sz="1600" b="1" i="0" u="none" strike="noStrike">
              <a:solidFill>
                <a:srgbClr val="000000"/>
              </a:solidFill>
              <a:latin typeface="Calibri" panose="020F0502020204030204" pitchFamily="34" charset="0"/>
              <a:ea typeface="Open Sans"/>
              <a:cs typeface="Open Sans"/>
            </a:rPr>
            <a:pPr algn="r"/>
            <a:t>£1,248,785</a:t>
          </a:fld>
          <a:endParaRPr lang="en-GB" sz="1600" b="1">
            <a:latin typeface="Calibri" panose="020F0502020204030204" pitchFamily="34" charset="0"/>
            <a:cs typeface="Calibri" panose="020F0502020204030204" pitchFamily="34" charset="0"/>
          </a:endParaRPr>
        </a:p>
      </xdr:txBody>
    </xdr:sp>
    <xdr:clientData/>
  </xdr:twoCellAnchor>
  <xdr:twoCellAnchor>
    <xdr:from>
      <xdr:col>11</xdr:col>
      <xdr:colOff>367393</xdr:colOff>
      <xdr:row>59</xdr:row>
      <xdr:rowOff>146683</xdr:rowOff>
    </xdr:from>
    <xdr:to>
      <xdr:col>12</xdr:col>
      <xdr:colOff>827584</xdr:colOff>
      <xdr:row>61</xdr:row>
      <xdr:rowOff>81643</xdr:rowOff>
    </xdr:to>
    <xdr:sp macro="" textlink="Outcomes!H29">
      <xdr:nvSpPr>
        <xdr:cNvPr id="89" name="TextBox 88"/>
        <xdr:cNvSpPr txBox="1"/>
      </xdr:nvSpPr>
      <xdr:spPr>
        <a:xfrm>
          <a:off x="8599714" y="11358969"/>
          <a:ext cx="1303834" cy="3159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2910E811-713A-4AD5-AED4-245C88EC3583}" type="TxLink">
            <a:rPr lang="en-US" sz="1600" b="1" i="0" u="none" strike="noStrike">
              <a:solidFill>
                <a:srgbClr val="000000"/>
              </a:solidFill>
              <a:latin typeface="+mn-lt"/>
              <a:ea typeface="Open Sans"/>
              <a:cs typeface="Arial"/>
            </a:rPr>
            <a:pPr algn="r"/>
            <a:t>£3,468</a:t>
          </a:fld>
          <a:endParaRPr lang="en-GB" sz="1600" b="1">
            <a:latin typeface="+mn-lt"/>
          </a:endParaRPr>
        </a:p>
      </xdr:txBody>
    </xdr:sp>
    <xdr:clientData/>
  </xdr:twoCellAnchor>
  <xdr:twoCellAnchor>
    <xdr:from>
      <xdr:col>8</xdr:col>
      <xdr:colOff>632277</xdr:colOff>
      <xdr:row>57</xdr:row>
      <xdr:rowOff>43770</xdr:rowOff>
    </xdr:from>
    <xdr:to>
      <xdr:col>13</xdr:col>
      <xdr:colOff>327354</xdr:colOff>
      <xdr:row>57</xdr:row>
      <xdr:rowOff>43770</xdr:rowOff>
    </xdr:to>
    <xdr:cxnSp macro="">
      <xdr:nvCxnSpPr>
        <xdr:cNvPr id="90" name="Straight Connector 89"/>
        <xdr:cNvCxnSpPr/>
      </xdr:nvCxnSpPr>
      <xdr:spPr>
        <a:xfrm>
          <a:off x="6075134" y="10875056"/>
          <a:ext cx="41718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632277</xdr:colOff>
      <xdr:row>59</xdr:row>
      <xdr:rowOff>83010</xdr:rowOff>
    </xdr:from>
    <xdr:to>
      <xdr:col>13</xdr:col>
      <xdr:colOff>327354</xdr:colOff>
      <xdr:row>59</xdr:row>
      <xdr:rowOff>83010</xdr:rowOff>
    </xdr:to>
    <xdr:cxnSp macro="">
      <xdr:nvCxnSpPr>
        <xdr:cNvPr id="91" name="Straight Connector 90"/>
        <xdr:cNvCxnSpPr/>
      </xdr:nvCxnSpPr>
      <xdr:spPr>
        <a:xfrm>
          <a:off x="6075134" y="11295296"/>
          <a:ext cx="41718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632277</xdr:colOff>
      <xdr:row>61</xdr:row>
      <xdr:rowOff>160454</xdr:rowOff>
    </xdr:from>
    <xdr:to>
      <xdr:col>13</xdr:col>
      <xdr:colOff>327354</xdr:colOff>
      <xdr:row>61</xdr:row>
      <xdr:rowOff>160454</xdr:rowOff>
    </xdr:to>
    <xdr:cxnSp macro="">
      <xdr:nvCxnSpPr>
        <xdr:cNvPr id="92" name="Straight Connector 91"/>
        <xdr:cNvCxnSpPr/>
      </xdr:nvCxnSpPr>
      <xdr:spPr>
        <a:xfrm>
          <a:off x="6075134" y="11753740"/>
          <a:ext cx="41718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632277</xdr:colOff>
      <xdr:row>55</xdr:row>
      <xdr:rowOff>4529</xdr:rowOff>
    </xdr:from>
    <xdr:to>
      <xdr:col>13</xdr:col>
      <xdr:colOff>327354</xdr:colOff>
      <xdr:row>55</xdr:row>
      <xdr:rowOff>4529</xdr:rowOff>
    </xdr:to>
    <xdr:cxnSp macro="">
      <xdr:nvCxnSpPr>
        <xdr:cNvPr id="93" name="Straight Connector 92"/>
        <xdr:cNvCxnSpPr/>
      </xdr:nvCxnSpPr>
      <xdr:spPr>
        <a:xfrm>
          <a:off x="6075134" y="10454815"/>
          <a:ext cx="417182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1088572</xdr:colOff>
      <xdr:row>3</xdr:row>
      <xdr:rowOff>108858</xdr:rowOff>
    </xdr:from>
    <xdr:to>
      <xdr:col>20</xdr:col>
      <xdr:colOff>272143</xdr:colOff>
      <xdr:row>7</xdr:row>
      <xdr:rowOff>68038</xdr:rowOff>
    </xdr:to>
    <xdr:pic>
      <xdr:nvPicPr>
        <xdr:cNvPr id="81" name="Picture 80" descr="https://lh4.googleusercontent.com/jsO56yD9jx3l2seGR2W43vDmxbaQJ5i46f4F42qzGWXPiDMcX0eY4bo0KFT3DQJXcL2fGAeYYo45Uh0j2njfRCht-SmhSXVtKQdKl7LwU7HWGLIqqblM8SrPYOFdsR-thPpeWpw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321643" y="204108"/>
          <a:ext cx="1129393" cy="1129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92074</xdr:colOff>
      <xdr:row>6</xdr:row>
      <xdr:rowOff>101602</xdr:rowOff>
    </xdr:from>
    <xdr:to>
      <xdr:col>7</xdr:col>
      <xdr:colOff>425449</xdr:colOff>
      <xdr:row>9</xdr:row>
      <xdr:rowOff>63502</xdr:rowOff>
    </xdr:to>
    <xdr:sp macro="" textlink="">
      <xdr:nvSpPr>
        <xdr:cNvPr id="6" name="TextBox 5"/>
        <xdr:cNvSpPr txBox="1"/>
      </xdr:nvSpPr>
      <xdr:spPr>
        <a:xfrm>
          <a:off x="166157" y="905935"/>
          <a:ext cx="7731125"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mn-lt"/>
              <a:ea typeface="+mn-ea"/>
              <a:cs typeface="+mn-cs"/>
            </a:rPr>
            <a:t>The advice issue statistics indicate the nature of client problems dealt with by the bureau. They are not intended to show </a:t>
          </a:r>
          <a:r>
            <a:rPr lang="en-GB" sz="1200" i="1">
              <a:solidFill>
                <a:schemeClr val="dk1"/>
              </a:solidFill>
              <a:effectLst/>
              <a:latin typeface="+mn-lt"/>
              <a:ea typeface="+mn-ea"/>
              <a:cs typeface="+mn-cs"/>
            </a:rPr>
            <a:t>how much</a:t>
          </a:r>
          <a:r>
            <a:rPr lang="en-GB" sz="1200">
              <a:solidFill>
                <a:schemeClr val="dk1"/>
              </a:solidFill>
              <a:effectLst/>
              <a:latin typeface="+mn-lt"/>
              <a:ea typeface="+mn-ea"/>
              <a:cs typeface="+mn-cs"/>
            </a:rPr>
            <a:t> work is needed to deal </a:t>
          </a:r>
          <a:r>
            <a:rPr lang="en-GB" sz="12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with</a:t>
          </a:r>
          <a:r>
            <a:rPr lang="en-GB" sz="1200">
              <a:solidFill>
                <a:schemeClr val="dk1"/>
              </a:solidFill>
              <a:effectLst/>
              <a:latin typeface="+mn-lt"/>
              <a:ea typeface="+mn-ea"/>
              <a:cs typeface="+mn-cs"/>
            </a:rPr>
            <a:t> the problem nor </a:t>
          </a:r>
          <a:r>
            <a:rPr lang="en-GB" sz="1200" i="1">
              <a:solidFill>
                <a:schemeClr val="dk1"/>
              </a:solidFill>
              <a:effectLst/>
              <a:latin typeface="+mn-lt"/>
              <a:ea typeface="+mn-ea"/>
              <a:cs typeface="+mn-cs"/>
            </a:rPr>
            <a:t>how many times</a:t>
          </a:r>
          <a:r>
            <a:rPr lang="en-GB" sz="1200">
              <a:solidFill>
                <a:schemeClr val="dk1"/>
              </a:solidFill>
              <a:effectLst/>
              <a:latin typeface="+mn-lt"/>
              <a:ea typeface="+mn-ea"/>
              <a:cs typeface="+mn-cs"/>
            </a:rPr>
            <a:t> a client returns with a problem</a:t>
          </a:r>
          <a:endParaRPr lang="en-GB" sz="1200"/>
        </a:p>
      </xdr:txBody>
    </xdr:sp>
    <xdr:clientData/>
  </xdr:twoCellAnchor>
  <xdr:twoCellAnchor>
    <xdr:from>
      <xdr:col>11</xdr:col>
      <xdr:colOff>177800</xdr:colOff>
      <xdr:row>6</xdr:row>
      <xdr:rowOff>25400</xdr:rowOff>
    </xdr:from>
    <xdr:to>
      <xdr:col>15</xdr:col>
      <xdr:colOff>79375</xdr:colOff>
      <xdr:row>8</xdr:row>
      <xdr:rowOff>88900</xdr:rowOff>
    </xdr:to>
    <xdr:grpSp>
      <xdr:nvGrpSpPr>
        <xdr:cNvPr id="10" name="Group 9">
          <a:hlinkClick xmlns:r="http://schemas.openxmlformats.org/officeDocument/2006/relationships" r:id="rId1"/>
        </xdr:cNvPr>
        <xdr:cNvGrpSpPr/>
      </xdr:nvGrpSpPr>
      <xdr:grpSpPr>
        <a:xfrm>
          <a:off x="10697633" y="755650"/>
          <a:ext cx="2949575" cy="550333"/>
          <a:chOff x="11414125" y="431800"/>
          <a:chExt cx="2949575" cy="444500"/>
        </a:xfrm>
      </xdr:grpSpPr>
      <xdr:sp macro="" textlink="">
        <xdr:nvSpPr>
          <xdr:cNvPr id="11"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12" name="TextBox 11">
            <a:hlinkClick xmlns:r="http://schemas.openxmlformats.org/officeDocument/2006/relationships" r:id="rId2"/>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tx2">
                    <a:lumMod val="75000"/>
                  </a:schemeClr>
                </a:solidFill>
              </a:rPr>
              <a:t>Back to dashboard</a:t>
            </a:r>
          </a:p>
        </xdr:txBody>
      </xdr:sp>
      <xdr:sp macro="" textlink="">
        <xdr:nvSpPr>
          <xdr:cNvPr id="13"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oneCellAnchor>
    <xdr:from>
      <xdr:col>1</xdr:col>
      <xdr:colOff>25400</xdr:colOff>
      <xdr:row>2</xdr:row>
      <xdr:rowOff>74083</xdr:rowOff>
    </xdr:from>
    <xdr:ext cx="6705600" cy="982961"/>
    <xdr:sp macro="" textlink="">
      <xdr:nvSpPr>
        <xdr:cNvPr id="14" name="Rectangle 13"/>
        <xdr:cNvSpPr/>
      </xdr:nvSpPr>
      <xdr:spPr>
        <a:xfrm>
          <a:off x="99483" y="74083"/>
          <a:ext cx="6705600" cy="982961"/>
        </a:xfrm>
        <a:prstGeom prst="rect">
          <a:avLst/>
        </a:prstGeom>
        <a:noFill/>
      </xdr:spPr>
      <xdr:txBody>
        <a:bodyPr wrap="square" lIns="91440" tIns="45720" rIns="91440" bIns="45720">
          <a:spAutoFit/>
        </a:bodyPr>
        <a:lstStyle/>
        <a:p>
          <a:pPr algn="l"/>
          <a:r>
            <a:rPr lang="en-US" sz="5100" b="1" cap="none" spc="0">
              <a:ln w="18415" cmpd="sng">
                <a:noFill/>
                <a:prstDash val="solid"/>
              </a:ln>
              <a:solidFill>
                <a:srgbClr val="004B88"/>
              </a:solidFill>
              <a:effectLst/>
              <a:latin typeface="Open Sans" panose="020B0606030504020204" pitchFamily="34" charset="0"/>
              <a:ea typeface="Open Sans" panose="020B0606030504020204" pitchFamily="34" charset="0"/>
              <a:cs typeface="Open Sans" panose="020B0606030504020204" pitchFamily="34" charset="0"/>
            </a:rPr>
            <a:t>AIC</a:t>
          </a:r>
          <a:r>
            <a:rPr lang="en-US" sz="5100" b="1" cap="none" spc="0" baseline="0">
              <a:ln w="18415" cmpd="sng">
                <a:noFill/>
                <a:prstDash val="solid"/>
              </a:ln>
              <a:solidFill>
                <a:srgbClr val="004B88"/>
              </a:solidFill>
              <a:effectLst/>
              <a:latin typeface="Open Sans" panose="020B0606030504020204" pitchFamily="34" charset="0"/>
              <a:ea typeface="Open Sans" panose="020B0606030504020204" pitchFamily="34" charset="0"/>
              <a:cs typeface="Open Sans" panose="020B0606030504020204" pitchFamily="34" charset="0"/>
            </a:rPr>
            <a:t> Issue counts</a:t>
          </a:r>
          <a:endParaRPr lang="en-US" sz="5100" b="1" cap="none" spc="0">
            <a:ln w="18415" cmpd="sng">
              <a:noFill/>
              <a:prstDash val="solid"/>
            </a:ln>
            <a:solidFill>
              <a:srgbClr val="004B88"/>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oneCellAnchor>
  <xdr:twoCellAnchor>
    <xdr:from>
      <xdr:col>6</xdr:col>
      <xdr:colOff>88900</xdr:colOff>
      <xdr:row>19</xdr:row>
      <xdr:rowOff>0</xdr:rowOff>
    </xdr:from>
    <xdr:to>
      <xdr:col>16</xdr:col>
      <xdr:colOff>152400</xdr:colOff>
      <xdr:row>37</xdr:row>
      <xdr:rowOff>101600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92074</xdr:colOff>
      <xdr:row>6</xdr:row>
      <xdr:rowOff>133351</xdr:rowOff>
    </xdr:from>
    <xdr:to>
      <xdr:col>3</xdr:col>
      <xdr:colOff>1409700</xdr:colOff>
      <xdr:row>9</xdr:row>
      <xdr:rowOff>1</xdr:rowOff>
    </xdr:to>
    <xdr:sp macro="" textlink="">
      <xdr:nvSpPr>
        <xdr:cNvPr id="5" name="TextBox 4"/>
        <xdr:cNvSpPr txBox="1"/>
      </xdr:nvSpPr>
      <xdr:spPr>
        <a:xfrm>
          <a:off x="208491" y="1064684"/>
          <a:ext cx="9879542" cy="565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The advice issue statistics indicate the nature of client problems dealt with by the bureau. They are not intended to show </a:t>
          </a:r>
          <a:r>
            <a:rPr lang="en-GB" sz="1200" i="1">
              <a:solidFill>
                <a:schemeClr val="dk1"/>
              </a:solidFill>
              <a:effectLst/>
              <a:latin typeface="Open Sans" panose="020B0606030504020204" pitchFamily="34" charset="0"/>
              <a:ea typeface="Open Sans" panose="020B0606030504020204" pitchFamily="34" charset="0"/>
              <a:cs typeface="Open Sans" panose="020B0606030504020204" pitchFamily="34" charset="0"/>
            </a:rPr>
            <a:t>how much</a:t>
          </a:r>
          <a:r>
            <a:rPr lang="en-GB" sz="12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work is needed to deal with the problem nor </a:t>
          </a:r>
          <a:r>
            <a:rPr lang="en-GB" sz="1200" i="1">
              <a:solidFill>
                <a:schemeClr val="dk1"/>
              </a:solidFill>
              <a:effectLst/>
              <a:latin typeface="Open Sans" panose="020B0606030504020204" pitchFamily="34" charset="0"/>
              <a:ea typeface="Open Sans" panose="020B0606030504020204" pitchFamily="34" charset="0"/>
              <a:cs typeface="Open Sans" panose="020B0606030504020204" pitchFamily="34" charset="0"/>
            </a:rPr>
            <a:t>how many times</a:t>
          </a:r>
          <a:r>
            <a:rPr lang="en-GB" sz="12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 client returns with a problem</a:t>
          </a:r>
          <a:endParaRPr lang="en-GB" sz="1200">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oneCellAnchor>
    <xdr:from>
      <xdr:col>1</xdr:col>
      <xdr:colOff>0</xdr:colOff>
      <xdr:row>3</xdr:row>
      <xdr:rowOff>0</xdr:rowOff>
    </xdr:from>
    <xdr:ext cx="8940800" cy="982961"/>
    <xdr:sp macro="" textlink="">
      <xdr:nvSpPr>
        <xdr:cNvPr id="9" name="Rectangle 8"/>
        <xdr:cNvSpPr/>
      </xdr:nvSpPr>
      <xdr:spPr>
        <a:xfrm>
          <a:off x="116417" y="381000"/>
          <a:ext cx="8940800" cy="982961"/>
        </a:xfrm>
        <a:prstGeom prst="rect">
          <a:avLst/>
        </a:prstGeom>
        <a:noFill/>
      </xdr:spPr>
      <xdr:txBody>
        <a:bodyPr wrap="square" lIns="91440" tIns="45720" rIns="91440" bIns="45720">
          <a:spAutoFit/>
        </a:bodyPr>
        <a:lstStyle/>
        <a:p>
          <a:pPr algn="l"/>
          <a:r>
            <a:rPr lang="en-US" sz="5100" b="1" i="0" cap="none" spc="0">
              <a:ln w="18415" cmpd="sng">
                <a:noFill/>
                <a:prstDash val="solid"/>
              </a:ln>
              <a:solidFill>
                <a:srgbClr val="004B88"/>
              </a:solidFill>
              <a:effectLst/>
              <a:latin typeface="Open Sans" panose="020B0606030504020204" pitchFamily="34" charset="0"/>
              <a:ea typeface="Open Sans" panose="020B0606030504020204" pitchFamily="34" charset="0"/>
              <a:cs typeface="Open Sans" panose="020B0606030504020204" pitchFamily="34" charset="0"/>
            </a:rPr>
            <a:t>AIC</a:t>
          </a:r>
          <a:r>
            <a:rPr lang="en-US" sz="5100" b="1" i="0" cap="none" spc="0" baseline="0">
              <a:ln w="18415" cmpd="sng">
                <a:noFill/>
                <a:prstDash val="solid"/>
              </a:ln>
              <a:solidFill>
                <a:srgbClr val="004B88"/>
              </a:solidFill>
              <a:effectLst/>
              <a:latin typeface="Open Sans" panose="020B0606030504020204" pitchFamily="34" charset="0"/>
              <a:ea typeface="Open Sans" panose="020B0606030504020204" pitchFamily="34" charset="0"/>
              <a:cs typeface="Open Sans" panose="020B0606030504020204" pitchFamily="34" charset="0"/>
            </a:rPr>
            <a:t> Part 2 Issue counts</a:t>
          </a:r>
          <a:endParaRPr lang="en-US" sz="5100" b="1" i="0" cap="none" spc="0">
            <a:ln w="18415" cmpd="sng">
              <a:noFill/>
              <a:prstDash val="solid"/>
            </a:ln>
            <a:solidFill>
              <a:srgbClr val="004B88"/>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oneCellAnchor>
  <xdr:twoCellAnchor>
    <xdr:from>
      <xdr:col>4</xdr:col>
      <xdr:colOff>609600</xdr:colOff>
      <xdr:row>5</xdr:row>
      <xdr:rowOff>226484</xdr:rowOff>
    </xdr:from>
    <xdr:to>
      <xdr:col>6</xdr:col>
      <xdr:colOff>195792</xdr:colOff>
      <xdr:row>8</xdr:row>
      <xdr:rowOff>57150</xdr:rowOff>
    </xdr:to>
    <xdr:grpSp>
      <xdr:nvGrpSpPr>
        <xdr:cNvPr id="11" name="Group 10">
          <a:hlinkClick xmlns:r="http://schemas.openxmlformats.org/officeDocument/2006/relationships" r:id="rId1"/>
        </xdr:cNvPr>
        <xdr:cNvGrpSpPr/>
      </xdr:nvGrpSpPr>
      <xdr:grpSpPr>
        <a:xfrm>
          <a:off x="10960100" y="734484"/>
          <a:ext cx="2930525" cy="529166"/>
          <a:chOff x="11414125" y="431800"/>
          <a:chExt cx="2949575" cy="444500"/>
        </a:xfrm>
      </xdr:grpSpPr>
      <xdr:sp macro="" textlink="">
        <xdr:nvSpPr>
          <xdr:cNvPr id="12"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13" name="TextBox 12">
            <a:hlinkClick xmlns:r="http://schemas.openxmlformats.org/officeDocument/2006/relationships" r:id="rId2"/>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b="1">
                <a:solidFill>
                  <a:schemeClr val="tx2"/>
                </a:solidFill>
                <a:effectLst/>
                <a:latin typeface="+mn-lt"/>
                <a:ea typeface="+mn-ea"/>
                <a:cs typeface="+mn-cs"/>
              </a:rPr>
              <a:t>Back to dashboard</a:t>
            </a:r>
            <a:endParaRPr lang="en-GB" sz="1800" b="1">
              <a:solidFill>
                <a:schemeClr val="tx2"/>
              </a:solidFill>
            </a:endParaRPr>
          </a:p>
        </xdr:txBody>
      </xdr:sp>
      <xdr:sp macro="" textlink="">
        <xdr:nvSpPr>
          <xdr:cNvPr id="14"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49740</xdr:colOff>
      <xdr:row>6</xdr:row>
      <xdr:rowOff>69852</xdr:rowOff>
    </xdr:from>
    <xdr:to>
      <xdr:col>3</xdr:col>
      <xdr:colOff>554566</xdr:colOff>
      <xdr:row>9</xdr:row>
      <xdr:rowOff>127002</xdr:rowOff>
    </xdr:to>
    <xdr:sp macro="" textlink="">
      <xdr:nvSpPr>
        <xdr:cNvPr id="3" name="TextBox 2"/>
        <xdr:cNvSpPr txBox="1"/>
      </xdr:nvSpPr>
      <xdr:spPr>
        <a:xfrm>
          <a:off x="197907" y="768352"/>
          <a:ext cx="6918326" cy="75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The advice issue statistics indicate the nature of client problems dealt with by the bureau. They are not intended to show </a:t>
          </a:r>
          <a:r>
            <a:rPr lang="en-GB" sz="1200" i="1">
              <a:solidFill>
                <a:schemeClr val="dk1"/>
              </a:solidFill>
              <a:effectLst/>
              <a:latin typeface="Open Sans" panose="020B0606030504020204" pitchFamily="34" charset="0"/>
              <a:ea typeface="Open Sans" panose="020B0606030504020204" pitchFamily="34" charset="0"/>
              <a:cs typeface="Open Sans" panose="020B0606030504020204" pitchFamily="34" charset="0"/>
            </a:rPr>
            <a:t>how much</a:t>
          </a:r>
          <a:r>
            <a:rPr lang="en-GB" sz="12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work is needed to deal with the problem nor </a:t>
          </a:r>
          <a:r>
            <a:rPr lang="en-GB" sz="1200" i="1">
              <a:solidFill>
                <a:schemeClr val="dk1"/>
              </a:solidFill>
              <a:effectLst/>
              <a:latin typeface="Open Sans" panose="020B0606030504020204" pitchFamily="34" charset="0"/>
              <a:ea typeface="Open Sans" panose="020B0606030504020204" pitchFamily="34" charset="0"/>
              <a:cs typeface="Open Sans" panose="020B0606030504020204" pitchFamily="34" charset="0"/>
            </a:rPr>
            <a:t>how many times</a:t>
          </a:r>
          <a:r>
            <a:rPr lang="en-GB" sz="12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 client returns with a problem</a:t>
          </a:r>
          <a:endParaRPr lang="en-GB" sz="1200">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oneCellAnchor>
    <xdr:from>
      <xdr:col>1</xdr:col>
      <xdr:colOff>25400</xdr:colOff>
      <xdr:row>3</xdr:row>
      <xdr:rowOff>0</xdr:rowOff>
    </xdr:from>
    <xdr:ext cx="8187266" cy="982961"/>
    <xdr:sp macro="" textlink="">
      <xdr:nvSpPr>
        <xdr:cNvPr id="10" name="Rectangle 9"/>
        <xdr:cNvSpPr/>
      </xdr:nvSpPr>
      <xdr:spPr>
        <a:xfrm>
          <a:off x="173567" y="232833"/>
          <a:ext cx="8187266" cy="982961"/>
        </a:xfrm>
        <a:prstGeom prst="rect">
          <a:avLst/>
        </a:prstGeom>
        <a:noFill/>
      </xdr:spPr>
      <xdr:txBody>
        <a:bodyPr wrap="square" lIns="91440" tIns="45720" rIns="91440" bIns="45720">
          <a:spAutoFit/>
        </a:bodyPr>
        <a:lstStyle/>
        <a:p>
          <a:pPr algn="l"/>
          <a:r>
            <a:rPr lang="en-US" sz="5100" b="1" cap="none" spc="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AIC</a:t>
          </a:r>
          <a:r>
            <a:rPr lang="en-US" sz="5100" b="1" cap="none" spc="0" baseline="0">
              <a:ln w="18415" cmpd="sng">
                <a:noFill/>
                <a:prstDash val="solid"/>
              </a:ln>
              <a:solidFill>
                <a:schemeClr val="accent1">
                  <a:lumMod val="75000"/>
                </a:schemeClr>
              </a:solidFill>
              <a:effectLst/>
              <a:latin typeface="Open Sans" panose="020B0606030504020204" pitchFamily="34" charset="0"/>
              <a:ea typeface="Open Sans" panose="020B0606030504020204" pitchFamily="34" charset="0"/>
              <a:cs typeface="Open Sans" panose="020B0606030504020204" pitchFamily="34" charset="0"/>
            </a:rPr>
            <a:t> Part 3 Issue </a:t>
          </a:r>
          <a:r>
            <a:rPr lang="en-US" sz="5100" b="1" cap="none" spc="0" baseline="0">
              <a:ln w="18415" cmpd="sng">
                <a:noFill/>
                <a:prstDash val="solid"/>
              </a:ln>
              <a:solidFill>
                <a:schemeClr val="accent1">
                  <a:lumMod val="75000"/>
                </a:schemeClr>
              </a:solidFill>
              <a:effectLst/>
              <a:latin typeface="+mn-lt"/>
              <a:cs typeface="Times New Roman" panose="02020603050405020304" pitchFamily="18" charset="0"/>
            </a:rPr>
            <a:t>counts</a:t>
          </a:r>
          <a:endParaRPr lang="en-US" sz="5100" b="1" cap="none" spc="0">
            <a:ln w="18415" cmpd="sng">
              <a:noFill/>
              <a:prstDash val="solid"/>
            </a:ln>
            <a:solidFill>
              <a:schemeClr val="accent1">
                <a:lumMod val="75000"/>
              </a:schemeClr>
            </a:solidFill>
            <a:effectLst/>
            <a:latin typeface="+mn-lt"/>
            <a:cs typeface="Times New Roman" panose="02020603050405020304" pitchFamily="18" charset="0"/>
          </a:endParaRPr>
        </a:p>
      </xdr:txBody>
    </xdr:sp>
    <xdr:clientData/>
  </xdr:oneCellAnchor>
  <xdr:twoCellAnchor>
    <xdr:from>
      <xdr:col>4</xdr:col>
      <xdr:colOff>1536700</xdr:colOff>
      <xdr:row>6</xdr:row>
      <xdr:rowOff>12700</xdr:rowOff>
    </xdr:from>
    <xdr:to>
      <xdr:col>6</xdr:col>
      <xdr:colOff>930275</xdr:colOff>
      <xdr:row>8</xdr:row>
      <xdr:rowOff>76200</xdr:rowOff>
    </xdr:to>
    <xdr:grpSp>
      <xdr:nvGrpSpPr>
        <xdr:cNvPr id="12" name="Group 11">
          <a:hlinkClick xmlns:r="http://schemas.openxmlformats.org/officeDocument/2006/relationships" r:id="rId1"/>
        </xdr:cNvPr>
        <xdr:cNvGrpSpPr/>
      </xdr:nvGrpSpPr>
      <xdr:grpSpPr>
        <a:xfrm>
          <a:off x="11305117" y="711200"/>
          <a:ext cx="2949575" cy="582083"/>
          <a:chOff x="11414125" y="431800"/>
          <a:chExt cx="2949575" cy="444500"/>
        </a:xfrm>
      </xdr:grpSpPr>
      <xdr:sp macro="" textlink="">
        <xdr:nvSpPr>
          <xdr:cNvPr id="13" name="Freeform 7"/>
          <xdr:cNvSpPr>
            <a:spLocks/>
          </xdr:cNvSpPr>
        </xdr:nvSpPr>
        <xdr:spPr bwMode="auto">
          <a:xfrm rot="10800000">
            <a:off x="115792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sp macro="" textlink="">
        <xdr:nvSpPr>
          <xdr:cNvPr id="14" name="TextBox 13">
            <a:hlinkClick xmlns:r="http://schemas.openxmlformats.org/officeDocument/2006/relationships" r:id="rId2"/>
          </xdr:cNvPr>
          <xdr:cNvSpPr txBox="1"/>
        </xdr:nvSpPr>
        <xdr:spPr>
          <a:xfrm>
            <a:off x="11861800" y="431800"/>
            <a:ext cx="250190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600" b="1">
                <a:solidFill>
                  <a:schemeClr val="tx2"/>
                </a:solidFill>
                <a:effectLst/>
                <a:latin typeface="+mn-lt"/>
                <a:ea typeface="+mn-ea"/>
                <a:cs typeface="+mn-cs"/>
              </a:rPr>
              <a:t>Back to dashboard</a:t>
            </a:r>
            <a:endParaRPr lang="en-GB" sz="1600">
              <a:solidFill>
                <a:schemeClr val="tx2"/>
              </a:solidFill>
              <a:effectLst/>
            </a:endParaRPr>
          </a:p>
        </xdr:txBody>
      </xdr:sp>
      <xdr:sp macro="" textlink="">
        <xdr:nvSpPr>
          <xdr:cNvPr id="15" name="Freeform 7"/>
          <xdr:cNvSpPr>
            <a:spLocks/>
          </xdr:cNvSpPr>
        </xdr:nvSpPr>
        <xdr:spPr bwMode="auto">
          <a:xfrm rot="10800000">
            <a:off x="11414125" y="431800"/>
            <a:ext cx="244475" cy="374650"/>
          </a:xfrm>
          <a:custGeom>
            <a:avLst/>
            <a:gdLst>
              <a:gd name="T0" fmla="*/ 152 w 152"/>
              <a:gd name="T1" fmla="*/ 123 h 248"/>
              <a:gd name="T2" fmla="*/ 152 w 152"/>
              <a:gd name="T3" fmla="*/ 123 h 248"/>
              <a:gd name="T4" fmla="*/ 151 w 152"/>
              <a:gd name="T5" fmla="*/ 118 h 248"/>
              <a:gd name="T6" fmla="*/ 148 w 152"/>
              <a:gd name="T7" fmla="*/ 114 h 248"/>
              <a:gd name="T8" fmla="*/ 147 w 152"/>
              <a:gd name="T9" fmla="*/ 117 h 248"/>
              <a:gd name="T10" fmla="*/ 148 w 152"/>
              <a:gd name="T11" fmla="*/ 114 h 248"/>
              <a:gd name="T12" fmla="*/ 39 w 152"/>
              <a:gd name="T13" fmla="*/ 4 h 248"/>
              <a:gd name="T14" fmla="*/ 39 w 152"/>
              <a:gd name="T15" fmla="*/ 4 h 248"/>
              <a:gd name="T16" fmla="*/ 33 w 152"/>
              <a:gd name="T17" fmla="*/ 1 h 248"/>
              <a:gd name="T18" fmla="*/ 29 w 152"/>
              <a:gd name="T19" fmla="*/ 0 h 248"/>
              <a:gd name="T20" fmla="*/ 29 w 152"/>
              <a:gd name="T21" fmla="*/ 0 h 248"/>
              <a:gd name="T22" fmla="*/ 24 w 152"/>
              <a:gd name="T23" fmla="*/ 1 h 248"/>
              <a:gd name="T24" fmla="*/ 20 w 152"/>
              <a:gd name="T25" fmla="*/ 4 h 248"/>
              <a:gd name="T26" fmla="*/ 3 w 152"/>
              <a:gd name="T27" fmla="*/ 21 h 248"/>
              <a:gd name="T28" fmla="*/ 3 w 152"/>
              <a:gd name="T29" fmla="*/ 21 h 248"/>
              <a:gd name="T30" fmla="*/ 1 w 152"/>
              <a:gd name="T31" fmla="*/ 25 h 248"/>
              <a:gd name="T32" fmla="*/ 0 w 152"/>
              <a:gd name="T33" fmla="*/ 29 h 248"/>
              <a:gd name="T34" fmla="*/ 0 w 152"/>
              <a:gd name="T35" fmla="*/ 29 h 248"/>
              <a:gd name="T36" fmla="*/ 1 w 152"/>
              <a:gd name="T37" fmla="*/ 34 h 248"/>
              <a:gd name="T38" fmla="*/ 4 w 152"/>
              <a:gd name="T39" fmla="*/ 38 h 248"/>
              <a:gd name="T40" fmla="*/ 89 w 152"/>
              <a:gd name="T41" fmla="*/ 125 h 248"/>
              <a:gd name="T42" fmla="*/ 4 w 152"/>
              <a:gd name="T43" fmla="*/ 210 h 248"/>
              <a:gd name="T44" fmla="*/ 4 w 152"/>
              <a:gd name="T45" fmla="*/ 210 h 248"/>
              <a:gd name="T46" fmla="*/ 1 w 152"/>
              <a:gd name="T47" fmla="*/ 214 h 248"/>
              <a:gd name="T48" fmla="*/ 0 w 152"/>
              <a:gd name="T49" fmla="*/ 219 h 248"/>
              <a:gd name="T50" fmla="*/ 0 w 152"/>
              <a:gd name="T51" fmla="*/ 219 h 248"/>
              <a:gd name="T52" fmla="*/ 1 w 152"/>
              <a:gd name="T53" fmla="*/ 223 h 248"/>
              <a:gd name="T54" fmla="*/ 3 w 152"/>
              <a:gd name="T55" fmla="*/ 227 h 248"/>
              <a:gd name="T56" fmla="*/ 20 w 152"/>
              <a:gd name="T57" fmla="*/ 244 h 248"/>
              <a:gd name="T58" fmla="*/ 20 w 152"/>
              <a:gd name="T59" fmla="*/ 244 h 248"/>
              <a:gd name="T60" fmla="*/ 24 w 152"/>
              <a:gd name="T61" fmla="*/ 247 h 248"/>
              <a:gd name="T62" fmla="*/ 28 w 152"/>
              <a:gd name="T63" fmla="*/ 248 h 248"/>
              <a:gd name="T64" fmla="*/ 28 w 152"/>
              <a:gd name="T65" fmla="*/ 248 h 248"/>
              <a:gd name="T66" fmla="*/ 29 w 152"/>
              <a:gd name="T67" fmla="*/ 248 h 248"/>
              <a:gd name="T68" fmla="*/ 29 w 152"/>
              <a:gd name="T69" fmla="*/ 248 h 248"/>
              <a:gd name="T70" fmla="*/ 33 w 152"/>
              <a:gd name="T71" fmla="*/ 247 h 248"/>
              <a:gd name="T72" fmla="*/ 39 w 152"/>
              <a:gd name="T73" fmla="*/ 244 h 248"/>
              <a:gd name="T74" fmla="*/ 148 w 152"/>
              <a:gd name="T75" fmla="*/ 134 h 248"/>
              <a:gd name="T76" fmla="*/ 148 w 152"/>
              <a:gd name="T77" fmla="*/ 134 h 248"/>
              <a:gd name="T78" fmla="*/ 151 w 152"/>
              <a:gd name="T79" fmla="*/ 130 h 248"/>
              <a:gd name="T80" fmla="*/ 152 w 152"/>
              <a:gd name="T81" fmla="*/ 125 h 248"/>
              <a:gd name="T82" fmla="*/ 152 w 152"/>
              <a:gd name="T83" fmla="*/ 125 h 248"/>
              <a:gd name="T84" fmla="*/ 152 w 152"/>
              <a:gd name="T85" fmla="*/ 125 h 248"/>
              <a:gd name="T86" fmla="*/ 152 w 152"/>
              <a:gd name="T87" fmla="*/ 125 h 248"/>
              <a:gd name="T88" fmla="*/ 152 w 152"/>
              <a:gd name="T89" fmla="*/ 123 h 248"/>
              <a:gd name="T90" fmla="*/ 152 w 152"/>
              <a:gd name="T91" fmla="*/ 12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152" h="248">
                <a:moveTo>
                  <a:pt x="152" y="123"/>
                </a:moveTo>
                <a:lnTo>
                  <a:pt x="152" y="123"/>
                </a:lnTo>
                <a:lnTo>
                  <a:pt x="151" y="118"/>
                </a:lnTo>
                <a:lnTo>
                  <a:pt x="148" y="114"/>
                </a:lnTo>
                <a:lnTo>
                  <a:pt x="147" y="117"/>
                </a:lnTo>
                <a:lnTo>
                  <a:pt x="148" y="114"/>
                </a:lnTo>
                <a:lnTo>
                  <a:pt x="39" y="4"/>
                </a:lnTo>
                <a:lnTo>
                  <a:pt x="39" y="4"/>
                </a:lnTo>
                <a:lnTo>
                  <a:pt x="33" y="1"/>
                </a:lnTo>
                <a:lnTo>
                  <a:pt x="29" y="0"/>
                </a:lnTo>
                <a:lnTo>
                  <a:pt x="29" y="0"/>
                </a:lnTo>
                <a:lnTo>
                  <a:pt x="24" y="1"/>
                </a:lnTo>
                <a:lnTo>
                  <a:pt x="20" y="4"/>
                </a:lnTo>
                <a:lnTo>
                  <a:pt x="3" y="21"/>
                </a:lnTo>
                <a:lnTo>
                  <a:pt x="3" y="21"/>
                </a:lnTo>
                <a:lnTo>
                  <a:pt x="1" y="25"/>
                </a:lnTo>
                <a:lnTo>
                  <a:pt x="0" y="29"/>
                </a:lnTo>
                <a:lnTo>
                  <a:pt x="0" y="29"/>
                </a:lnTo>
                <a:lnTo>
                  <a:pt x="1" y="34"/>
                </a:lnTo>
                <a:lnTo>
                  <a:pt x="4" y="38"/>
                </a:lnTo>
                <a:lnTo>
                  <a:pt x="89" y="125"/>
                </a:lnTo>
                <a:lnTo>
                  <a:pt x="4" y="210"/>
                </a:lnTo>
                <a:lnTo>
                  <a:pt x="4" y="210"/>
                </a:lnTo>
                <a:lnTo>
                  <a:pt x="1" y="214"/>
                </a:lnTo>
                <a:lnTo>
                  <a:pt x="0" y="219"/>
                </a:lnTo>
                <a:lnTo>
                  <a:pt x="0" y="219"/>
                </a:lnTo>
                <a:lnTo>
                  <a:pt x="1" y="223"/>
                </a:lnTo>
                <a:lnTo>
                  <a:pt x="3" y="227"/>
                </a:lnTo>
                <a:lnTo>
                  <a:pt x="20" y="244"/>
                </a:lnTo>
                <a:lnTo>
                  <a:pt x="20" y="244"/>
                </a:lnTo>
                <a:lnTo>
                  <a:pt x="24" y="247"/>
                </a:lnTo>
                <a:lnTo>
                  <a:pt x="28" y="248"/>
                </a:lnTo>
                <a:lnTo>
                  <a:pt x="28" y="248"/>
                </a:lnTo>
                <a:lnTo>
                  <a:pt x="29" y="248"/>
                </a:lnTo>
                <a:lnTo>
                  <a:pt x="29" y="248"/>
                </a:lnTo>
                <a:lnTo>
                  <a:pt x="33" y="247"/>
                </a:lnTo>
                <a:lnTo>
                  <a:pt x="39" y="244"/>
                </a:lnTo>
                <a:lnTo>
                  <a:pt x="148" y="134"/>
                </a:lnTo>
                <a:lnTo>
                  <a:pt x="148" y="134"/>
                </a:lnTo>
                <a:lnTo>
                  <a:pt x="151" y="130"/>
                </a:lnTo>
                <a:lnTo>
                  <a:pt x="152" y="125"/>
                </a:lnTo>
                <a:lnTo>
                  <a:pt x="152" y="125"/>
                </a:lnTo>
                <a:lnTo>
                  <a:pt x="152" y="125"/>
                </a:lnTo>
                <a:lnTo>
                  <a:pt x="152" y="125"/>
                </a:lnTo>
                <a:lnTo>
                  <a:pt x="152" y="123"/>
                </a:lnTo>
                <a:lnTo>
                  <a:pt x="152" y="123"/>
                </a:lnTo>
                <a:close/>
              </a:path>
            </a:pathLst>
          </a:custGeom>
          <a:solidFill>
            <a:schemeClr val="tx2"/>
          </a:solidFill>
          <a:ln>
            <a:noFill/>
          </a:ln>
        </xdr:spPr>
      </xdr:sp>
    </xdr:grpSp>
    <xdr:clientData/>
  </xdr:twoCellAnchor>
</xdr:wsDr>
</file>

<file path=xl/pivotCache/pivotCacheDefinition1.xml><?xml version="1.0" encoding="utf-8"?>
<pivotCacheDefinition xmlns="http://schemas.openxmlformats.org/spreadsheetml/2006/main" xmlns:r="http://schemas.openxmlformats.org/officeDocument/2006/relationships" saveData="0" refreshOnLoad="1" refreshedBy="John Willoughby" refreshedDate="42835.684439699071" backgroundQuery="1" createdVersion="4" refreshedVersion="4" minRefreshableVersion="3" recordCount="0" supportSubquery="1" supportAdvancedDrill="1">
  <cacheSource type="external" connectionId="1"/>
  <cacheFields count="3">
    <cacheField name="[Advice Event Type].[Advice Event Type].[Advice Event Type]" caption="Advice Event Type" numFmtId="0" level="1">
      <sharedItems containsSemiMixedTypes="0" containsString="0"/>
    </cacheField>
    <cacheField name="[Measures].[Unique Client Count]" caption="Unique Client Count" numFmtId="0" hierarchy="113" level="32767"/>
    <cacheField name="[Measures].[Number of Advice Events]" caption="Number of Advice Events" numFmtId="0" hierarchy="112" level="32767"/>
  </cacheFields>
  <cacheHierarchies count="114">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0"/>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0" unbalanced="0"/>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0" unbalanced="0"/>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0"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oneField="1">
      <fieldsUsage count="1">
        <fieldUsage x="2"/>
      </fieldsUsage>
    </cacheHierarchy>
    <cacheHierarchy uniqueName="[Measures].[Unique Client Count]" caption="Unique Client Count" measure="1" displayFolder="" measureGroup="Client" count="0" oneField="1">
      <fieldsUsage count="1">
        <fieldUsage x="1"/>
      </fieldsUsage>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OnLoad="1" refreshedBy="John Willoughby" refreshedDate="42835.684699652775" backgroundQuery="1" createdVersion="4" refreshedVersion="4" minRefreshableVersion="3" recordCount="0" supportSubquery="1" supportAdvancedDrill="1">
  <cacheSource type="external" connectionId="2"/>
  <cacheFields count="1">
    <cacheField name="[Client Profile].[Gender].[Gender]" caption="Gender" numFmtId="0" hierarchy="35" level="1">
      <sharedItems count="7">
        <s v="[Client Profile].[Gender].&amp;[Female]" c="Female"/>
        <s v="[Client Profile].[Gender].&amp;[Male]" c="Male"/>
        <s v="[Client Profile].[Gender].&amp;[Not recorded/not applicable]" c="Not recorded/not applicable"/>
        <s v="[Client Profile].[Gender].&amp;[Trans]" c="Trans"/>
        <s v="[Client Profile].[Gender].&amp;[Trans - Female]" c="Trans - Female"/>
        <s v="[Client Profile].[Gender].&amp;[Trans - Male]" c="Trans - Male"/>
        <s v="[Client Profile].[Gender].&amp;[Unknown]" c="Unknown"/>
      </sharedItems>
    </cacheField>
  </cacheFields>
  <cacheHierarchies count="109">
    <cacheHierarchy uniqueName="[Activity Status].[Activity Status]" caption="Activity Status" attribute="1" defaultMemberUniqueName="[Activity Status].[Activity Status].[All]" allUniqueName="[Activity Status].[Activity Status].[All]" dimensionUniqueName="[Activity Status]" displayFolder="" count="0" unbalanced="0"/>
    <cacheHierarchy uniqueName="[Activity Status].[Activity Status ID]" caption="Activity Status ID" attribute="1" keyAttribute="1" defaultMemberUniqueName="[Activity Status].[Activity Status ID].[All]" allUniqueName="[Activity Status].[Activity Status ID].[All]" dimensionUniqueName="[Activity Status]" displayFolder="" count="0" unbalanced="0"/>
    <cacheHierarchy uniqueName="[Client Event Type].[Client Event Type]" caption="Client Event Type" attribute="1" defaultMemberUniqueName="[Client Event Type].[Client Event Type].[All]" allUniqueName="[Client Event Type].[Client Event Type].[All]" dimensionUniqueName="[Client Event Typ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2" unbalanced="0">
      <fieldsUsage count="2">
        <fieldUsage x="-1"/>
        <fieldUsage x="0"/>
      </fieldsUsage>
    </cacheHierarchy>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0" unbalanced="0"/>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0" unbalanced="0"/>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0"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Client Event Type].[Client Event Type ID]" caption="Client Event Type ID" attribute="1" keyAttribute="1" defaultMemberUniqueName="[Client Event Type].[Client Event Type ID].[All]" allUniqueName="[Client Event Type].[Client Event Type ID].[All]" dimensionUniqueName="[Client Event Typ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ctivities]" caption="Number Of Activities" measure="1" displayFolder="" measureGroup="Activities" count="0"/>
    <cacheHierarchy uniqueName="[Measures].[Unique Client Count]" caption="Unique Client Count" measure="1" displayFolder="" measureGroup="Client" count="0"/>
  </cacheHierarchies>
  <kpis count="0"/>
  <dimensions count="12">
    <dimension name="Activity Status" uniqueName="[Activity Status]" caption="Activity Status"/>
    <dimension name="Client Event Type" uniqueName="[Client Event Type]" caption="Client Event Typ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ctivities" caption="Activities"/>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invalid="1" saveData="0" refreshOnLoad="1" refreshedBy="John Willoughby" refreshedDate="42835.684699652775" backgroundQuery="1" createdVersion="3" refreshedVersion="4" minRefreshableVersion="3" recordCount="0" tupleCache="1" supportSubquery="1" supportAdvancedDrill="1">
  <cacheSource type="external" connectionId="3"/>
  <cacheFields count="9">
    <cacheField name="[Local Organisation].[CAB].[Government Region]" caption="Government Region" numFmtId="0" hierarchy="98" level="1">
      <sharedItems containsSemiMixedTypes="0" containsString="0"/>
    </cacheField>
    <cacheField name="[Local Organisation].[CAB].[Member]" caption="Member" numFmtId="0" hierarchy="98" level="2">
      <sharedItems count="2">
        <s v="[Local Organisation].[CAB].[Member].&amp;[Citizens Advice Member]&amp;[Not recorded/not applicable]" c="Citizens Advice Member"/>
        <s v="[Local Organisation].[CAB].[Member].&amp;[York (member)]&amp;[Yorkshire &amp; the Humber]" c="York (member)"/>
      </sharedItems>
    </cacheField>
    <cacheField name="[AIC Outcome].[Advice Area].[Advice Area]" caption="Advice Area" numFmtId="0" level="1">
      <sharedItems count="17">
        <s v="[AIC Outcome].[Advice Area].&amp;[Benefits &amp; tax credits]" c="Benefits &amp; tax credits"/>
        <s v="[AIC Outcome].[Advice Area].&amp;[Health &amp; community care]" c="Health &amp; community care"/>
        <s v="[AIC Outcome].[Advice Area].&amp;[Financial services &amp; capability]" c="Financial services &amp; capability"/>
        <s v="[AIC Outcome].[Advice Area].&amp;[Education]" c="Education"/>
        <s v="[AIC Outcome].[Advice Area].&amp;[Discrimination]" c="Discrimination"/>
        <s v="[AIC Outcome].[Advice Area].&amp;[Utilities &amp; communications]" c="Utilities &amp; communications"/>
        <s v="[AIC Outcome].[Advice Area].&amp;[Housing]" c="Housing"/>
        <s v="[AIC Outcome].[Advice Area].&amp;[Debt]" c="Debt"/>
        <s v="[AIC Outcome].[Advice Area].&amp;[Travel &amp; transport]" c="Travel &amp; transport"/>
        <s v="[AIC Outcome].[Advice Area].&amp;[Relationships &amp; family]" c="Relationships &amp; family"/>
        <s v="[AIC Outcome].[Advice Area].&amp;[Tax]" c="Tax"/>
        <s v="[AIC Outcome].[Advice Area].&amp;[Legal]" c="Legal"/>
        <s v="[AIC Outcome].[Advice Area].&amp;[Immigration &amp; asylum]" c="Immigration &amp; asylum"/>
        <s v="[AIC Outcome].[Advice Area].&amp;[Employment]" c="Employment"/>
        <s v="[AIC Outcome].[Advice Area].&amp;[Consumer goods &amp; services]" c="Consumer goods &amp; services"/>
        <s v="[AIC Outcome].[Advice Area].&amp;[Other]" c="Other"/>
        <s v="[AIC Outcome].[Advice Area].&amp;[Not recorded/not applicable]" c="Not recorded/not applicable"/>
      </sharedItems>
    </cacheField>
    <cacheField name="[AIC Outcome].[AIC Part1].[AIC Part1]" caption="AIC Part1" numFmtId="0" hierarchy="2" level="1">
      <sharedItems count="3">
        <s v="[AIC Outcome].[AIC Part1].&amp;[Tax]" c="Tax"/>
        <s v="[AIC Outcome].[AIC Part1].&amp;[Consumer goods &amp; services]" c="Consumer goods &amp; services"/>
        <s v="[AIC Outcome].[AIC Part1].&amp;[Debt]" c="Debt"/>
      </sharedItems>
    </cacheField>
    <cacheField name="[AIC Outcome].[Type Of Outcome].[Type Of Outcome]" caption="Type Of Outcome" numFmtId="0" hierarchy="14" level="1">
      <sharedItems count="4">
        <s v="[AIC Outcome].[Type Of Outcome].&amp;[Core]" c="Core"/>
        <s v="[AIC Outcome].[Type Of Outcome].&amp;[Local]" c="Local"/>
        <s v="[AIC Outcome].[Type Of Outcome].&amp;[Not recorded/not applicable]" c="Not recorded/not applicable"/>
        <s v="[AIC Outcome].[Type Of Outcome].&amp;[Project]" c="Project"/>
      </sharedItems>
    </cacheField>
    <cacheField name="[AIC Outcome].[Outcome].[Outcome]" caption="Outcome" numFmtId="0" hierarchy="12" level="1">
      <sharedItems count="369">
        <s v="[AIC Outcome].[Outcome].&amp;[Bereavement Planning]" c="Bereavement Planning"/>
        <s v="[AIC Outcome].[Outcome].&amp;[Other]" c="Other"/>
        <s v="[AIC Outcome].[Outcome].&amp;[North Liverpool - Be Healthy - 1.2 - Manage mental health]" c="North Liverpool - Be Healthy - 1.2 - Manage mental health"/>
        <s v="[AIC Outcome].[Outcome].&amp;[Unfair Insurance challenged - successful]" c="Unfair Insurance challenged - successful"/>
        <s v="[AIC Outcome].[Outcome].&amp;[F2F - Referral to digital debt advice]" c="F2F - Referral to digital debt advice"/>
        <s v="[AIC Outcome].[Outcome].&amp;[East End (Hackney) attend a diagnostic interview]" c="East End (Hackney) attend a diagnostic interview"/>
        <s v="[AIC Outcome].[Outcome].&amp;[North Liverpool 3.1 Greater choice/involvement/control at service level + within the wider community]" c="North Liverpool 3.1 Greater choice/involvement/control at service level + within the wider community"/>
        <s v="[AIC Outcome].[Outcome].&amp;[BHWCAB - Payment from BDC Exceptional Hardship Fund]" c="BHWCAB - Payment from BDC Exceptional Hardship Fund"/>
        <s v="[AIC Outcome].[Outcome].&amp;[Wiltshire - Surviving Winter Grant]" c="Wiltshire - Surviving Winter Grant"/>
        <s v="[AIC Outcome].[Outcome].&amp;[Claim or action - not possible]" c="Claim or action - not possible"/>
        <s v="[AIC Outcome].[Outcome].&amp;[Walsall NHS - Physical Activity]" c="Walsall NHS - Physical Activity"/>
        <s v="[AIC Outcome].[Outcome].&amp;[Wiltshire - Wessex Water Restart]" c="Wiltshire - Wessex Water Restart"/>
        <s v="[AIC Outcome].[Outcome].&amp;[Financial body challenged - unsuccessful]" c="Financial body challenged - unsuccessful"/>
        <s v="[AIC Outcome].[Outcome].&amp;[Bath - H5 housing benefit LHA and CTB]" c="Bath - H5 housing benefit LHA and CTB"/>
        <s v="[AIC Outcome].[Outcome].&amp;[Redbridge - LBR Council/Leasehold]" c="Redbridge - LBR Council/Leasehold"/>
        <s v="[AIC Outcome].[Outcome].&amp;[Tunbridge Wells and District Cashflow]" c="Tunbridge Wells and District Cashflow"/>
        <s v="[AIC Outcome].[Outcome].&amp;[Benefit / tax credit gain - Money put back into payment]" c="Benefit / tax credit gain - Money put back into payment"/>
        <s v="[AIC Outcome].[Outcome].&amp;[Complaint made to organisation]" c="Complaint made to organisation"/>
        <s v="[AIC Outcome].[Outcome].&amp;[Salford District -HWB 5 Improved Physical Health via Advice &amp; Information about Health &amp; Social Care]" c="Salford District -HWB 5 Improved Physical Health via Advice &amp; Information about Health &amp; Social Care"/>
        <s v="[AIC Outcome].[Outcome].&amp;[Legal fines /costs imposed]" c="Legal fines /costs imposed"/>
        <s v="[AIC Outcome].[Outcome].&amp;[Other savings achieved]" c="Other savings achieved"/>
        <s v="[AIC Outcome].[Outcome].&amp;[Southwark - Thames Water Grant Application]" c="Southwark - Thames Water Grant Application"/>
        <s v="[AIC Outcome].[Outcome].&amp;[Appeal made]" c="Appeal made"/>
        <s v="[AIC Outcome].[Outcome].&amp;[Benefit / tax credit gain - a new award or increase]" c="Benefit / tax credit gain - a new award or increase"/>
        <s v="[AIC Outcome].[Outcome].&amp;[Gender based violence - unsuccessful]" c="Gender based violence - unsuccessful"/>
        <s v="[AIC Outcome].[Outcome].&amp;[Rehoused (not Part 7)]" c="Rehoused (not Part 7)"/>
        <s v="[AIC Outcome].[Outcome].&amp;[Lewes District - Avoided homelessness]" c="Lewes District - Avoided homelessness"/>
        <s v="[AIC Outcome].[Outcome].&amp;[Utilities disconnection prevented]" c="Utilities disconnection prevented"/>
        <s v="[AIC Outcome].[Outcome].&amp;[Bath &amp; North East Somerset - Foodbank]" c="Bath &amp; North East Somerset - Foodbank"/>
        <s v="[AIC Outcome].[Outcome].&amp;[Deportation prevented/delayed]" c="Deportation prevented/delayed"/>
        <s v="[AIC Outcome].[Outcome].&amp;[Taunton Aid in Sickness]" c="Taunton Aid in Sickness"/>
        <s v="[AIC Outcome].[Outcome].&amp;[NASS support secured]" c="NASS support secured"/>
        <s v="[AIC Outcome].[Outcome].&amp;[Issue unresolved or appeal unsuccessful]" c="Issue unresolved or appeal unsuccessful"/>
        <s v="[AIC Outcome].[Outcome].&amp;[Claim or action - unsuccessful]" c="Claim or action - unsuccessful"/>
        <s v="[AIC Outcome].[Outcome].&amp;[Croydon HAP – Other]" c="Croydon HAP – Other"/>
        <s v="[AIC Outcome].[Outcome].&amp;[Walton Weybridge &amp; Hersham- Local assistance scheme]" c="Walton Weybridge &amp; Hersham- Local assistance scheme"/>
        <s v="[AIC Outcome].[Outcome].&amp;[Salford District - BLCC 3 Increased Life Skills via  obtaining assessments/ services]" c="Salford District - BLCC 3 Increased Life Skills via  obtaining assessments/ services"/>
        <s v="[AIC Outcome].[Outcome].&amp;[Social care charges reduced or eliminated]" c="Social care charges reduced or eliminated"/>
        <s v="[AIC Outcome].[Outcome].&amp;[Debts repaid]" c="Debts repaid"/>
        <s v="[AIC Outcome].[Outcome].&amp;[Bath - Bath Municipal Charities Grant, Childrens Centres]" c="Bath - Bath Municipal Charities Grant, Childrens Centres"/>
        <s v="[AIC Outcome].[Outcome].&amp;[Overpayment reduced or not recovered]" c="Overpayment reduced or not recovered"/>
        <s v="[AIC Outcome].[Outcome].&amp;[Bailiff's action stopped/suspended/prevented]" c="Bailiff's action stopped/suspended/prevented"/>
        <s v="[AIC Outcome].[Outcome].&amp;[Refund / Cancellation - refused]" c="Refund / Cancellation - refused"/>
        <s v="[AIC Outcome].[Outcome].&amp;[Walsall NHS - Alcohol]" c="Walsall NHS - Alcohol"/>
        <s v="[AIC Outcome].[Outcome].&amp;[Benefit / tax credit gain - award or increase following revision or appeal]" c="Benefit / tax credit gain - award or increase following revision or appeal"/>
        <s v="[AIC Outcome].[Outcome].&amp;[Challenge to disciplinary action - successful]" c="Challenge to disciplinary action - successful"/>
        <s v="[AIC Outcome].[Outcome].&amp;[South Liverpool 4.4 Accessed/received relevant advocacy support]" c="South Liverpool 4.4 Accessed/received relevant advocacy support"/>
        <s v="[AIC Outcome].[Outcome].&amp;[Will /probate outcomes - successful]" c="Will /probate outcomes - successful"/>
        <s v="[AIC Outcome].[Outcome].&amp;[Right to enter/stay secured]" c="Right to enter/stay secured"/>
        <s v="[AIC Outcome].[Outcome].&amp;[Financial body challenged - successful]" c="Financial body challenged - successful"/>
        <s v="[AIC Outcome].[Outcome].&amp;[Bus pass obtained]" c="Bus pass obtained"/>
        <s v="[AIC Outcome].[Outcome].&amp;[Request to be added to Priority Services Reg / Special Ass Reg]" c="Request to be added to Priority Services Reg / Special Ass Reg"/>
        <s v="[AIC Outcome].[Outcome].&amp;[Non-financial]" c="Non-financial"/>
        <s v="[AIC Outcome].[Outcome].&amp;[South Liverpool - Economic Wellbeing - 5.3 - Support to obtain paid work]" c="South Liverpool - Economic Wellbeing - 5.3 - Support to obtain paid work"/>
        <s v="[AIC Outcome].[Outcome].&amp;[East End (Hackney) money management advice, information or training]" c="East End (Hackney) money management advice, information or training"/>
        <s v="[AIC Outcome].[Outcome].&amp;[West Oxfordshire: Settled Accommodation secured]" c="West Oxfordshire: Settled Accommodation secured"/>
        <s v="[AIC Outcome].[Outcome].&amp;[East End (Hackney) Attendance at employment and training advice session]" c="East End (Hackney) Attendance at employment and training advice session"/>
        <s v="[AIC Outcome].[Outcome].&amp;[East End (Hackney) Manage their budgets]" c="East End (Hackney) Manage their budgets"/>
        <s v="[AIC Outcome].[Outcome].&amp;[Money recovered]" c="Money recovered"/>
        <s v="[AIC Outcome].[Outcome].&amp;[Harassment or bullying stopped]" c="Harassment or bullying stopped"/>
        <s v="[AIC Outcome].[Outcome].&amp;[client obtained appropriate help with court forms]" c="client obtained appropriate help with court forms"/>
        <s v="[AIC Outcome].[Outcome].&amp;[East End (Hackney) Residents who open or use a bank account]" c="East End (Hackney) Residents who open or use a bank account"/>
        <s v="[AIC Outcome].[Outcome].&amp;[Barriers to employment removed]" c="Barriers to employment removed"/>
        <s v="[AIC Outcome].[Outcome].&amp;[Gender based violence - successful]" c="Gender based violence - successful"/>
        <s v="[AIC Outcome].[Outcome].&amp;[Non-financial admin issue resolved]" c="Non-financial admin issue resolved"/>
        <s v="[AIC Outcome].[Outcome].&amp;[Salford District - BLCC 1 Improved Physical Health via obtaining Health and Social Care Services]" c="Salford District - BLCC 1 Improved Physical Health via obtaining Health and Social Care Services"/>
        <s v="[AIC Outcome].[Outcome].&amp;[Buckingham Winslow &amp; District - MAP]" c="Buckingham Winslow &amp; District - MAP"/>
        <s v="[AIC Outcome].[Outcome].&amp;[Apology refused]" c="Apology refused"/>
        <s v="[AIC Outcome].[Outcome].&amp;[Refund / Repair / Replacement refused]" c="Refund / Repair / Replacement refused"/>
        <s v="[AIC Outcome].[Outcome].&amp;[Civil proceedings completed]" c="Civil proceedings completed"/>
        <s v="[AIC Outcome].[Outcome].&amp;[Improved health / capacity to manage]" c="Improved health / capacity to manage"/>
        <s v="[AIC Outcome].[Outcome].&amp;[South Liverpool - Positive Contribution - 3.2 - Confidence &amp; ability to have greater choice]" c="South Liverpool - Positive Contribution - 3.2 - Confidence &amp; ability to have greater choice"/>
        <s v="[AIC Outcome].[Outcome].&amp;[CASHflow]" c="CASHflow"/>
        <s v="[AIC Outcome].[Outcome].&amp;[Tax - other (non-financial)]" c="Tax - other (non-financial)"/>
        <s v="[AIC Outcome].[Outcome].&amp;[Change to banking arrangements]" c="Change to banking arrangements"/>
        <s v="[AIC Outcome].[Outcome].&amp;[Immigration status improved]" c="Immigration status improved"/>
        <s v="[AIC Outcome].[Outcome].&amp;[Bath - Wessex Water Assist, Reduced Tariff]" c="Bath - Wessex Water Assist, Reduced Tariff"/>
        <s v="[AIC Outcome].[Outcome].&amp;[Challenge to discriminatory practice / policy / decision rejected]" c="Challenge to discriminatory practice / policy / decision rejected"/>
        <s v="[AIC Outcome].[Outcome].&amp;[Administration order only]" c="Administration order only"/>
        <s v="[AIC Outcome].[Outcome].&amp;[Appropriate service/ support obtained for client - unsuccessful]" c="Appropriate service/ support obtained for client - unsuccessful"/>
        <s v="[AIC Outcome].[Outcome].&amp;[Application made to Fuel Direct scheme]" c="Application made to Fuel Direct scheme"/>
        <s v="[AIC Outcome].[Outcome].&amp;[Lewes District - Reduced stress/anxiety]" c="Lewes District - Reduced stress/anxiety"/>
        <s v="[AIC Outcome].[Outcome].&amp;[RBL Grant Given]" c="RBL Grant Given"/>
        <s v="[AIC Outcome].[Outcome].&amp;[Macmillan Grant]" c="Macmillan Grant"/>
        <s v="[AIC Outcome].[Outcome].&amp;[South Liverpool 6.1 Improve or maintain self-respect]" c="South Liverpool 6.1 Improve or maintain self-respect"/>
        <s v="[AIC Outcome].[Outcome].&amp;[Temporary accomm secured (not Part 7)]" c="Temporary accomm secured (not Part 7)"/>
        <s v="[AIC Outcome].[Outcome].&amp;[Not recorded/not applicable]" c="Not recorded/not applicable"/>
        <s v="[AIC Outcome].[Outcome].&amp;[Walsall NC - Children into school]" c="Walsall NC - Children into school"/>
        <s v="[AIC Outcome].[Outcome].&amp;[Unfair Insurance challenged - unsuccessful]" c="Unfair Insurance challenged - unsuccessful"/>
        <s v="[AIC Outcome].[Outcome].&amp;[ADR - not upheld / unavailable]" c="ADR - not upheld / unavailable"/>
        <s v="[AIC Outcome].[Outcome].&amp;[Food provision / referral]" c="Food provision / referral"/>
        <s v="[AIC Outcome].[Outcome].&amp;[Grievance rejected by employer]" c="Grievance rejected by employer"/>
        <s v="[AIC Outcome].[Outcome].&amp;[East End (Hackney) attend an IT training session]" c="East End (Hackney) attend an IT training session"/>
        <s v="[AIC Outcome].[Outcome].&amp;[UC: Personal Budgeting Support received]" c="UC: Personal Budgeting Support received"/>
        <s v="[AIC Outcome].[Outcome].&amp;[Court or committal proceedings avoided/suspended]" c="Court or committal proceedings avoided/suspended"/>
        <s v="[AIC Outcome].[Outcome].&amp;[Other (non-financial)]" c="Other (non-financial)"/>
        <s v="[AIC Outcome].[Outcome].&amp;[Salford District -  HWB 2 General Health and Wellbeing]" c="Salford District -  HWB 2 General Health and Wellbeing"/>
        <s v="[AIC Outcome].[Outcome].&amp;[Homelessness delayed]" c="Homelessness delayed"/>
        <s v="[AIC Outcome].[Outcome].&amp;[West Oxfordshire: Property/Management improved]" c="West Oxfordshire: Property/Management improved"/>
        <s v="[AIC Outcome].[Outcome].&amp;[Bath -  Wessex Water Restart, Phased Debt Write Off]" c="Bath -  Wessex Water Restart, Phased Debt Write Off"/>
        <s v="[AIC Outcome].[Outcome].&amp;[Terms or conditions maintained/enforced]" c="Terms or conditions maintained/enforced"/>
        <s v="[AIC Outcome].[Outcome].&amp;[Referred to other advice/support]" c="Referred to other advice/support"/>
        <s v="[AIC Outcome].[Outcome].&amp;[Enforcement action avoided/suspended]" c="Enforcement action avoided/suspended"/>
        <s v="[AIC Outcome].[Outcome].&amp;[Child Maintenance Enforcement action taken]" c="Child Maintenance Enforcement action taken"/>
        <s v="[AIC Outcome].[Outcome].&amp;[Bath - H4 eviction suspended]" c="Bath - H4 eviction suspended"/>
        <s v="[AIC Outcome].[Outcome].&amp;[LA / RSL Mortgage rescue]" c="LA / RSL Mortgage rescue"/>
        <s v="[AIC Outcome].[Outcome].&amp;[Better deal through switching supplier]" c="Better deal through switching supplier"/>
        <s v="[AIC Outcome].[Outcome].&amp;[Application under incapacity legislation]" c="Application under incapacity legislation"/>
        <s v="[AIC Outcome].[Outcome].&amp;[Oxfordshire South &amp; Vale: Housing  - rent arrears paid]" c="Oxfordshire South &amp; Vale: Housing  - rent arrears paid"/>
        <s v="[AIC Outcome].[Outcome].&amp;[Reference provided]" c="Reference provided"/>
        <s v="[AIC Outcome].[Outcome].&amp;[Sherwood and Newark - Mortgage Rescue Scheme]" c="Sherwood and Newark - Mortgage Rescue Scheme"/>
        <s v="[AIC Outcome].[Outcome].&amp;[Southwark - EDF Grant]" c="Southwark - EDF Grant"/>
        <s v="[AIC Outcome].[Outcome].&amp;[Discriminatory practice/policy/decision unchanged]" c="Discriminatory practice/policy/decision unchanged"/>
        <s v="[AIC Outcome].[Outcome].&amp;[Southwark - Macmillan Grant for Dimbleby Project]" c="Southwark - Macmillan Grant for Dimbleby Project"/>
        <s v="[AIC Outcome].[Outcome].&amp;[Debt write off - other]" c="Debt write off - other"/>
        <s v="[AIC Outcome].[Outcome].&amp;[Salford District - HWB 1 Choice and Control in Health and Social Care provision]" c="Salford District - HWB 1 Choice and Control in Health and Social Care provision"/>
        <s v="[AIC Outcome].[Outcome].&amp;[Financial gain (please specify)]" c="Financial gain (please specify)"/>
        <s v="[AIC Outcome].[Outcome].&amp;[South Liverpool 4.3 Increased feelings of safety and/or reduced anxiety]" c="South Liverpool 4.3 Increased feelings of safety and/or reduced anxiety"/>
        <s v="[AIC Outcome].[Outcome].&amp;[Croydon - HAP - Other - Part VI / VII (including reviews).]" c="Croydon - HAP - Other - Part VI / VII (including reviews)."/>
        <s v="[AIC Outcome].[Outcome].&amp;[Chiltern - Griffin Club]" c="Chiltern - Griffin Club"/>
        <s v="[AIC Outcome].[Outcome].&amp;[Child maintenance received]" c="Child maintenance received"/>
        <s v="[AIC Outcome].[Outcome].&amp;[Reasonable adjustment for disability - made]" c="Reasonable adjustment for disability - made"/>
        <s v="[AIC Outcome].[Outcome].&amp;[Bath - H2 possesion suspended]" c="Bath - H2 possesion suspended"/>
        <s v="[AIC Outcome].[Outcome].&amp;[Unfair practice remedy - success]" c="Unfair practice remedy - success"/>
        <s v="[AIC Outcome].[Outcome].&amp;[Reasonable adjustment for disability - refused]" c="Reasonable adjustment for disability - refused"/>
        <s v="[AIC Outcome].[Outcome].&amp;[Discrimination remedy – unsuccessful]" c="Discrimination remedy – unsuccessful"/>
        <s v="[AIC Outcome].[Outcome].&amp;[Bath - H3 eviction prevented]" c="Bath - H3 eviction prevented"/>
        <s v="[AIC Outcome].[Outcome].&amp;[East End (Hackney) attend a training session on affordable financial services and products]" c="East End (Hackney) attend a training session on affordable financial services and products"/>
        <s v="[AIC Outcome].[Outcome].&amp;[Application made to energy trust fund]" c="Application made to energy trust fund"/>
        <s v="[AIC Outcome].[Outcome].&amp;[Reference refused]" c="Reference refused"/>
        <s v="[AIC Outcome].[Outcome].&amp;[Taunton Other Grant]" c="Taunton Other Grant"/>
        <s v="[AIC Outcome].[Outcome].&amp;[South Liverpool - Positive Contribution - 3.1 - Confidence, choice, control &amp; involvement]" c="South Liverpool - Positive Contribution - 3.1 - Confidence, choice, control &amp; involvement"/>
        <s v="[AIC Outcome].[Outcome].&amp;[Referred to RAFBF for further assistance]" c="Referred to RAFBF for further assistance"/>
        <s v="[AIC Outcome].[Outcome].&amp;[Lost document returned / replaced - successful]" c="Lost document returned / replaced - successful"/>
        <s v="[AIC Outcome].[Outcome].&amp;[Business not found or ceased trading]" c="Business not found or ceased trading"/>
        <s v="[AIC Outcome].[Outcome].&amp;[Walsall NC - GP Registration]" c="Walsall NC - GP Registration"/>
        <s v="[AIC Outcome].[Outcome].&amp;[Home care/aids/adaptations obtained]" c="Home care/aids/adaptations obtained"/>
        <s v="[AIC Outcome].[Outcome].&amp;[South Liverpool - Stay Safe - 4.4 - Self harm/Stress - Harm/risk to others]" c="South Liverpool - Stay Safe - 4.4 - Self harm/Stress - Harm/risk to others"/>
        <s v="[AIC Outcome].[Outcome].&amp;[Negotiation with creditors by Debt Adviser]" c="Negotiation with creditors by Debt Adviser"/>
        <s v="[AIC Outcome].[Outcome].&amp;[North Liverpool - Be Healthy - 1.1 - Manage physical health]" c="North Liverpool - Be Healthy - 1.1 - Manage physical health"/>
        <s v="[AIC Outcome].[Outcome].&amp;[South Liverpool - Enjoy &amp; Achieve - 2.2 - Leisure/cultural &amp; faith]" c="South Liverpool - Enjoy &amp; Achieve - 2.2 - Leisure/cultural &amp; faith"/>
        <s v="[AIC Outcome].[Outcome].&amp;[Insurance taken out]" c="Insurance taken out"/>
        <s v="[AIC Outcome].[Outcome].&amp;[Creditor action stopped/suspended/prevented]" c="Creditor action stopped/suspended/prevented"/>
        <s v="[AIC Outcome].[Outcome].&amp;[Claim or complaint - unsuccessful]" c="Claim or complaint - unsuccessful"/>
        <s v="[AIC Outcome].[Outcome].&amp;[Southwark - Energy Savings Referrals]" c="Southwark - Energy Savings Referrals"/>
        <s v="[AIC Outcome].[Outcome].&amp;[Referred for energy efficiency advice]" c="Referred for energy efficiency advice"/>
        <s v="[AIC Outcome].[Outcome].&amp;[Grievance or complaint rejected]" c="Grievance or complaint rejected"/>
        <s v="[AIC Outcome].[Outcome].&amp;[Walsall NHS - Non-specific referral]" c="Walsall NHS - Non-specific referral"/>
        <s v="[AIC Outcome].[Outcome].&amp;[Right to benefits secured]" c="Right to benefits secured"/>
        <s v="[AIC Outcome].[Outcome].&amp;[Legal aid obtained - successful]" c="Legal aid obtained - successful"/>
        <s v="[AIC Outcome].[Outcome].&amp;[Complaint resolved]" c="Complaint resolved"/>
        <s v="[AIC Outcome].[Outcome].&amp;[Financial gain/improvement]" c="Financial gain/improvement"/>
        <s v="[AIC Outcome].[Outcome].&amp;[Challenge to disciplinary - unsuccessful]" c="Challenge to disciplinary - unsuccessful"/>
        <s v="[AIC Outcome].[Outcome].&amp;[Tax - other (financial gain)]" c="Tax - other (financial gain)"/>
        <s v="[AIC Outcome].[Outcome].&amp;[Insurance pay-out]" c="Insurance pay-out"/>
        <s v="[AIC Outcome].[Outcome].&amp;[Croydon HAP – Settled accommodation secured]" c="Croydon HAP – Settled accommodation secured"/>
        <s v="[AIC Outcome].[Outcome].&amp;[Not liable for debt]" c="Not liable for debt"/>
        <s v="[AIC Outcome].[Outcome].&amp;[Walsall NC - Other Health Referral]" c="Walsall NC - Other Health Referral"/>
        <s v="[AIC Outcome].[Outcome].&amp;[Criminal proceedings completed]" c="Criminal proceedings completed"/>
        <s v="[AIC Outcome].[Outcome].&amp;[Refund / Cancellation rights - successfully used]" c="Refund / Cancellation rights - successfully used"/>
        <s v="[AIC Outcome].[Outcome].&amp;[Enforcement action taken]" c="Enforcement action taken"/>
        <s v="[AIC Outcome].[Outcome].&amp;[DRO - debt relief order]" c="DRO - debt relief order"/>
        <s v="[AIC Outcome].[Outcome].&amp;[Referred to telephone provider for debt solution]" c="Referred to telephone provider for debt solution"/>
        <s v="[AIC Outcome].[Outcome].&amp;[collection action stopped/suspended/prevented]" c="collection action stopped/suspended/prevented"/>
        <s v="[AIC Outcome].[Outcome].&amp;[Contact arrangements - disputed]" c="Contact arrangements - disputed"/>
        <s v="[AIC Outcome].[Outcome].&amp;[Harassment or neighbour dispute resolved]" c="Harassment or neighbour dispute resolved"/>
        <s v="[AIC Outcome].[Outcome].&amp;[DRO]" c="DRO"/>
        <s v="[AIC Outcome].[Outcome].&amp;[Goods or services provided]" c="Goods or services provided"/>
        <s v="[AIC Outcome].[Outcome].&amp;[North Liverpool 6.1 Improve or maintain self-respect]" c="North Liverpool 6.1 Improve or maintain self-respect"/>
        <s v="[AIC Outcome].[Outcome].&amp;[East End (Hackney) use mainstream financial services including credit]" c="East End (Hackney) use mainstream financial services including credit"/>
        <s v="[AIC Outcome].[Outcome].&amp;[Able to access / engage in community activities]" c="Able to access / engage in community activities"/>
        <s v="[AIC Outcome].[Outcome].&amp;[Action taken to redress under-occupation]" c="Action taken to redress under-occupation"/>
        <s v="[AIC Outcome].[Outcome].&amp;[Reasonable adjustment made for disabled client]" c="Reasonable adjustment made for disabled client"/>
        <s v="[AIC Outcome].[Outcome].&amp;[Compensation or remedy agreed by settlement]" c="Compensation or remedy agreed by settlement"/>
        <s v="[AIC Outcome].[Outcome].&amp;[Civil penalty challenged and repaid]" c="Civil penalty challenged and repaid"/>
        <s v="[AIC Outcome].[Outcome].&amp;[Financial situation stabilised / debts under control]" c="Financial situation stabilised / debts under control"/>
        <s v="[AIC Outcome].[Outcome].&amp;[East Staffordshire - ALES Satisfaction]" c="East Staffordshire - ALES Satisfaction"/>
        <s v="[AIC Outcome].[Outcome].&amp;[South Liverpool - Be Healthy - 1.2 - Manage mental health]" c="South Liverpool - Be Healthy - 1.2 - Manage mental health"/>
        <s v="[AIC Outcome].[Outcome].&amp;[Oxfordshire South &amp; Vale: Non-financial gain - goods]" c="Oxfordshire South &amp; Vale: Non-financial gain - goods"/>
        <s v="[AIC Outcome].[Outcome].&amp;[Oxfordshire South &amp; Vale: Financial gain - benefits]" c="Oxfordshire South &amp; Vale: Financial gain - benefits"/>
        <s v="[AIC Outcome].[Outcome].&amp;[Bath - H6 notice to quit prevented]" c="Bath - H6 notice to quit prevented"/>
        <s v="[AIC Outcome].[Outcome].&amp;[Tax rebate]" c="Tax rebate"/>
        <s v="[AIC Outcome].[Outcome].&amp;[Financial assistance - loans]" c="Financial assistance - loans"/>
        <s v="[AIC Outcome].[Outcome].&amp;[East Staffordshire - ALES Signposting]" c="East Staffordshire - ALES Signposting"/>
        <s v="[AIC Outcome].[Outcome].&amp;[Admission appeal - unsuccessful]" c="Admission appeal - unsuccessful"/>
        <s v="[AIC Outcome].[Outcome].&amp;[Homelessness prevented - remained in home]" c="Homelessness prevented - remained in home"/>
        <s v="[AIC Outcome].[Outcome].&amp;[Lewes District - Identified need for specialist advice]" c="Lewes District - Identified need for specialist advice"/>
        <s v="[AIC Outcome].[Outcome].&amp;[Benefit / tax credit maintained]" c="Benefit / tax credit maintained"/>
        <s v="[AIC Outcome].[Outcome].&amp;[Cancellation - successful]" c="Cancellation - successful"/>
        <s v="[AIC Outcome].[Outcome].&amp;[Grievance upheld by employer]" c="Grievance upheld by employer"/>
        <s v="[AIC Outcome].[Outcome].&amp;[Redbridge - LBR Mortgage/ Debt]" c="Redbridge - LBR Mortgage/ Debt"/>
        <s v="[AIC Outcome].[Outcome].&amp;[Wiltshire - Wessex Water Assist]" c="Wiltshire - Wessex Water Assist"/>
        <s v="[AIC Outcome].[Outcome].&amp;[Feedback passed to third party]" c="Feedback passed to third party"/>
        <s v="[AIC Outcome].[Outcome].&amp;[Oxfordshire South &amp; Vale: Housing  -rent arrears managed]" c="Oxfordshire South &amp; Vale: Housing  -rent arrears managed"/>
        <s v="[AIC Outcome].[Outcome].&amp;[South Gloucestershire - Wessex Water Form Submitted]" c="South Gloucestershire - Wessex Water Form Submitted"/>
        <s v="[AIC Outcome].[Outcome].&amp;[Detention prevented / Client released]" c="Detention prevented / Client released"/>
        <s v="[AIC Outcome].[Outcome].&amp;[Uttlesford - BTU Project - Reduced Isolation]" c="Uttlesford - BTU Project - Reduced Isolation"/>
        <s v="[AIC Outcome].[Outcome].&amp;[Repayment negotiated]" c="Repayment negotiated"/>
        <s v="[AIC Outcome].[Outcome].&amp;[Self help]" c="Self help"/>
        <s v="[AIC Outcome].[Outcome].&amp;[Walsall NC - ESOL Referral]" c="Walsall NC - ESOL Referral"/>
        <s v="[AIC Outcome].[Outcome].&amp;[Tax coding corrected]" c="Tax coding corrected"/>
        <s v="[AIC Outcome].[Outcome].&amp;[DMP - debt management plan]" c="DMP - debt management plan"/>
        <s v="[AIC Outcome].[Outcome].&amp;[Walsall  NHS - Healthy Weight]" c="Walsall  NHS - Healthy Weight"/>
        <s v="[AIC Outcome].[Outcome].&amp;[Better deal with same supplier]" c="Better deal with same supplier"/>
        <s v="[AIC Outcome].[Outcome].&amp;[East End (Hackney) CV apply for jobs and enter the jobs market]" c="East End (Hackney) CV apply for jobs and enter the jobs market"/>
        <s v="[AIC Outcome].[Outcome].&amp;[Rutland - Homelessness Prevention]" c="Rutland - Homelessness Prevention"/>
        <s v="[AIC Outcome].[Outcome].&amp;[Blue badge - denied]" c="Blue badge - denied"/>
        <s v="[AIC Outcome].[Outcome].&amp;[Pension plan made]" c="Pension plan made"/>
        <s v="[AIC Outcome].[Outcome].&amp;[Greater choice and/or involvement and/or control of services]" c="Greater choice and/or involvement and/or control of services"/>
        <s v="[AIC Outcome].[Outcome].&amp;[Application made to govt scheme for financial help/energy efficiency measures]" c="Application made to govt scheme for financial help/energy efficiency measures"/>
        <s v="[AIC Outcome].[Outcome].&amp;[F2F - Referral to other sources of advice]" c="F2F - Referral to other sources of advice"/>
        <s v="[AIC Outcome].[Outcome].&amp;[Disputed fine / charge / action - unsuccessful]" c="Disputed fine / charge / action - unsuccessful"/>
        <s v="[AIC Outcome].[Outcome].&amp;[Salford District - BLCC 2 Decreased Social Isolation and Improved ability to Take Part in Daily Life]" c="Salford District - BLCC 2 Decreased Social Isolation and Improved ability to Take Part in Daily Life"/>
        <s v="[AIC Outcome].[Outcome].&amp;[Cancellation - unsuccessful]" c="Cancellation - unsuccessful"/>
        <s v="[AIC Outcome].[Outcome].&amp;[Tunbridge Wells and District QBC]" c="Tunbridge Wells and District QBC"/>
        <s v="[AIC Outcome].[Outcome].&amp;[Bath - Bath Municipal Charities Grant]" c="Bath - Bath Municipal Charities Grant"/>
        <s v="[AIC Outcome].[Outcome].&amp;[Settled accomm secured (not under a homelessness duty)]" c="Settled accomm secured (not under a homelessness duty)"/>
        <s v="[AIC Outcome].[Outcome].&amp;[Blue badge - obtained]" c="Blue badge - obtained"/>
        <s v="[AIC Outcome].[Outcome].&amp;[Taunton Heritage Trust]" c="Taunton Heritage Trust"/>
        <s v="[AIC Outcome].[Outcome].&amp;[Discrimination remedy – successful]" c="Discrimination remedy – successful"/>
        <s v="[AIC Outcome].[Outcome].&amp;[Bath - H7 homelessness prevented]" c="Bath - H7 homelessness prevented"/>
        <s v="[AIC Outcome].[Outcome].&amp;[North Somerset - NSCAB FunderFinder]" c="North Somerset - NSCAB FunderFinder"/>
        <s v="[AIC Outcome].[Outcome].&amp;[UC: Alternative Payment Arrangement agreed]" c="UC: Alternative Payment Arrangement agreed"/>
        <s v="[AIC Outcome].[Outcome].&amp;[IVA - Individual Voluntary Agreement]" c="IVA - Individual Voluntary Agreement"/>
        <s v="[AIC Outcome].[Outcome].&amp;[Will /probate outcomes - unsuccessful]" c="Will /probate outcomes - unsuccessful"/>
        <s v="[AIC Outcome].[Outcome].&amp;[Remortgage / Consolidation loan]" c="Remortgage / Consolidation loan"/>
        <s v="[AIC Outcome].[Outcome].&amp;[West Oxfordshire: Homelessness delayed]" c="West Oxfordshire: Homelessness delayed"/>
        <s v="[AIC Outcome].[Outcome].&amp;[Other (financial)]" c="Other (financial)"/>
        <s v="[AIC Outcome].[Outcome].&amp;[Walsall NHS - MH and Wellbeing]" c="Walsall NHS - MH and Wellbeing"/>
        <s v="[AIC Outcome].[Outcome].&amp;[Discriminatory practice/policy/decision changed]" c="Discriminatory practice/policy/decision changed"/>
        <s v="[AIC Outcome].[Outcome].&amp;[Client successfully referred to mediation]" c="Client successfully referred to mediation"/>
        <s v="[AIC Outcome].[Outcome].&amp;[Peterborough Food Voucher]" c="Peterborough Food Voucher"/>
        <s v="[AIC Outcome].[Outcome].&amp;[Mediation or conciliation unsuccessful]" c="Mediation or conciliation unsuccessful"/>
        <s v="[AIC Outcome].[Outcome].&amp;[Croydon HAP – Other – Disrepair]" c="Croydon HAP – Other – Disrepair"/>
        <s v="[AIC Outcome].[Outcome].&amp;[Funeral costs paid / part paid]" c="Funeral costs paid / part paid"/>
        <s v="[AIC Outcome].[Outcome].&amp;[Salford District - BLCC 4 Improved Mental Health and Wellbeing]" c="Salford District - BLCC 4 Improved Mental Health and Wellbeing"/>
        <s v="[AIC Outcome].[Outcome].&amp;[Flexible working hours agreed]" c="Flexible working hours agreed"/>
        <s v="[AIC Outcome].[Outcome].&amp;[North Liverpool - Economic Wellbeing - 5.1 - Welfare benefits]" c="North Liverpool - Economic Wellbeing - 5.1 - Welfare benefits"/>
        <s v="[AIC Outcome].[Outcome].&amp;[Buckingham Winslow &amp; District - Court Desk]" c="Buckingham Winslow &amp; District - Court Desk"/>
        <s v="[AIC Outcome].[Outcome].&amp;[Homelessness averted (under a homelessness duty)]" c="Homelessness averted (under a homelessness duty)"/>
        <s v="[AIC Outcome].[Outcome].&amp;[Tunbridge Wells and District Understanding improved]" c="Tunbridge Wells and District Understanding improved"/>
        <s v="[AIC Outcome].[Outcome].&amp;[Benefit / tax credit loss]" c="Benefit / tax credit loss"/>
        <s v="[AIC Outcome].[Outcome].&amp;[Compensation - awarded]" c="Compensation - awarded"/>
        <s v="[AIC Outcome].[Outcome].&amp;[Disputed fine / charge / action - successful]" c="Disputed fine / charge / action - successful"/>
        <s v="[AIC Outcome].[Outcome].&amp;[Full and final settlement]" c="Full and final settlement"/>
        <s v="[AIC Outcome].[Outcome].&amp;[Benefit / tax credit gain - overpayment reduced or not recovered]" c="Benefit / tax credit gain - overpayment reduced or not recovered"/>
        <s v="[AIC Outcome].[Outcome].&amp;[Benefit / tax credit gain - Compensation / &quot;ex-gratia&quot; payment]" c="Benefit / tax credit gain - Compensation / &quot;ex-gratia&quot; payment"/>
        <s v="[AIC Outcome].[Outcome].&amp;[Bankruptcy]" c="Bankruptcy"/>
        <s v="[AIC Outcome].[Outcome].&amp;[Other. Please specify _________________________]" c="Other. Please specify _________________________"/>
        <s v="[AIC Outcome].[Outcome].&amp;[Croydon - HAP - Income Raised/Grant Secured]" c="Croydon - HAP - Income Raised/Grant Secured"/>
        <s v="[AIC Outcome].[Outcome].&amp;[Herefordshire WWCAF award]" c="Herefordshire WWCAF award"/>
        <s v="[AIC Outcome].[Outcome].&amp;[Utility meter installed / moved / recalibrated]" c="Utility meter installed / moved / recalibrated"/>
        <s v="[AIC Outcome].[Outcome].&amp;[South Liverpool - Be Healthy - 1.4 - Aids, adaptations &amp; assisted technology]" c="South Liverpool - Be Healthy - 1.4 - Aids, adaptations &amp; assisted technology"/>
        <s v="[AIC Outcome].[Outcome].&amp;[Southwark - British Gas Grant]" c="Southwark - British Gas Grant"/>
        <s v="[AIC Outcome].[Outcome].&amp;[Harassment or bullying continues]" c="Harassment or bullying continues"/>
        <s v="[AIC Outcome].[Outcome].&amp;[Chiltern - Sick Poor]" c="Chiltern - Sick Poor"/>
        <s v="[AIC Outcome].[Outcome].&amp;[Income maximisation]" c="Income maximisation"/>
        <s v="[AIC Outcome].[Outcome].&amp;[Benefit / tax credit loan agreed]" c="Benefit / tax credit loan agreed"/>
        <s v="[AIC Outcome].[Outcome].&amp;[Benefit / tax credit gain - social fund awarded]" c="Benefit / tax credit gain - social fund awarded"/>
        <s v="[AIC Outcome].[Outcome].&amp;[Leeds - Debt Managed]" c="Leeds - Debt Managed"/>
        <s v="[AIC Outcome].[Outcome].&amp;[Buckingham Winslow &amp; District - Home Visiting]" c="Buckingham Winslow &amp; District - Home Visiting"/>
        <s v="[AIC Outcome].[Outcome].&amp;[South Liverpool - Economic Wellbeing - 5.2 - Debt]" c="South Liverpool - Economic Wellbeing - 5.2 - Debt"/>
        <s v="[AIC Outcome].[Outcome].&amp;[Salford District - HWB 6 Enabled Clients  to live in usual place of residence]" c="Salford District - HWB 6 Enabled Clients  to live in usual place of residence"/>
        <s v="[AIC Outcome].[Outcome].&amp;[Croydon HAP – Other – Part VII (including reviews)]" c="Croydon HAP – Other – Part VII (including reviews)"/>
        <s v="[AIC Outcome].[Outcome].&amp;[Salford District - HWB 4 Reduction in Reliance on Statutory Health and Social Care  Services]" c="Salford District - HWB 4 Reduction in Reliance on Statutory Health and Social Care  Services"/>
        <s v="[AIC Outcome].[Outcome].&amp;[Health/social care charges reduced or eliminated]" c="Health/social care charges reduced or eliminated"/>
        <s v="[AIC Outcome].[Outcome].&amp;[Crime prosecuted]" c="Crime prosecuted"/>
        <s v="[AIC Outcome].[Outcome].&amp;[Token payments]" c="Token payments"/>
        <s v="[AIC Outcome].[Outcome].&amp;[South Liverpool 5.1 Maximise income including receipt of the right benefit]" c="South Liverpool 5.1 Maximise income including receipt of the right benefit"/>
        <s v="[AIC Outcome].[Outcome].&amp;[Savings plan made]" c="Savings plan made"/>
        <s v="[AIC Outcome].[Outcome].&amp;[Bath - NHS Low Income Scheme]" c="Bath - NHS Low Income Scheme"/>
        <s v="[AIC Outcome].[Outcome].&amp;[Chiltern - Madge Fund]" c="Chiltern - Madge Fund"/>
        <s v="[AIC Outcome].[Outcome].&amp;[F2F - Referral to telephone debt advice]" c="F2F - Referral to telephone debt advice"/>
        <s v="[AIC Outcome].[Outcome].&amp;[Tunbridge Wells and District Benefit estimate claim assisted by bureau]" c="Tunbridge Wells and District Benefit estimate claim assisted by bureau"/>
        <s v="[AIC Outcome].[Outcome].&amp;[Salford District - HWB 3 Decreased Social Isolation and Improved ability to Take Part in Daily Life]" c="Salford District - HWB 3 Decreased Social Isolation and Improved ability to Take Part in Daily Life"/>
        <s v="[AIC Outcome].[Outcome].&amp;[ADR - used successfully]" c="ADR - used successfully"/>
        <s v="[AIC Outcome].[Outcome].&amp;[Free or reduced charges/costs]" c="Free or reduced charges/costs"/>
        <s v="[AIC Outcome].[Outcome].&amp;[Taunton Wilton Trust]" c="Taunton Wilton Trust"/>
        <s v="[AIC Outcome].[Outcome].&amp;[Ancillary relief - unsuccessful]" c="Ancillary relief - unsuccessful"/>
        <s v="[AIC Outcome].[Outcome].&amp;[Referral to other advice/support]" c="Referral to other advice/support"/>
        <s v="[AIC Outcome].[Outcome].&amp;[Section 4 payments]" c="Section 4 payments"/>
        <s v="[AIC Outcome].[Outcome].&amp;[Benefit cap or under-occupation - action taken to mitigate]" c="Benefit cap or under-occupation - action taken to mitigate"/>
        <s v="[AIC Outcome].[Outcome].&amp;[Ancillary relief - successful]" c="Ancillary relief - successful"/>
        <s v="[AIC Outcome].[Outcome].&amp;[Taunton Local Assistance Scheme]" c="Taunton Local Assistance Scheme"/>
        <s v="[AIC Outcome].[Outcome].&amp;[Tunbridge Wells and District - IVA set up]" c="Tunbridge Wells and District - IVA set up"/>
        <s v="[AIC Outcome].[Outcome].&amp;[Financial gain]" c="Financial gain"/>
        <s v="[AIC Outcome].[Outcome].&amp;[Sherwood and Newark - HOMELESSNESS PREVENTED: Other Social RP's]" c="Sherwood and Newark - HOMELESSNESS PREVENTED: Other Social RP's"/>
        <s v="[AIC Outcome].[Outcome].&amp;[Tax return completed]" c="Tax return completed"/>
        <s v="[AIC Outcome].[Outcome].&amp;[Administration / Composition order]" c="Administration / Composition order"/>
        <s v="[AIC Outcome].[Outcome].&amp;[Improvement in life skills]" c="Improvement in life skills"/>
        <s v="[AIC Outcome].[Outcome].&amp;[Apology given]" c="Apology given"/>
        <s v="[AIC Outcome].[Outcome].&amp;[Croydon HAP – Delay of homelessness for between 1 and 5 months]" c="Croydon HAP – Delay of homelessness for between 1 and 5 months"/>
        <s v="[AIC Outcome].[Outcome].&amp;[Admission appeal - successful]" c="Admission appeal - successful"/>
        <s v="[AIC Outcome].[Outcome].&amp;[Compensation or remedy awarded by court/tribunal]" c="Compensation or remedy awarded by court/tribunal"/>
        <s v="[AIC Outcome].[Outcome].&amp;[Sherwood and Newark - HOMELESSNESS PREVENTED: N&amp;S Homes]" c="Sherwood and Newark - HOMELESSNESS PREVENTED: N&amp;S Homes"/>
        <s v="[AIC Outcome].[Outcome].&amp;[North Liverpool 4.3 Increased feelings of safety and/or reduced anxiety]" c="North Liverpool 4.3 Increased feelings of safety and/or reduced anxiety"/>
        <s v="[AIC Outcome].[Outcome].&amp;[Walsall NHS - Healthy Eating]" c="Walsall NHS - Healthy Eating"/>
        <s v="[AIC Outcome].[Outcome].&amp;[Referred to RBL for further assistance]" c="Referred to RBL for further assistance"/>
        <s v="[AIC Outcome].[Outcome].&amp;[Financial assistance - associated costs, FSM, uniform, trips, books, travel]" c="Financial assistance - associated costs, FSM, uniform, trips, books, travel"/>
        <s v="[AIC Outcome].[Outcome].&amp;[Administration order with composition order]" c="Administration order with composition order"/>
        <s v="[AIC Outcome].[Outcome].&amp;[Risk assessment conducted]" c="Risk assessment conducted"/>
        <s v="[AIC Outcome].[Outcome].&amp;[Uttlesford - BTU Project - Improved Quality of Life]" c="Uttlesford - BTU Project - Improved Quality of Life"/>
        <s v="[AIC Outcome].[Outcome].&amp;[complaint made]" c="complaint made"/>
        <s v="[AIC Outcome].[Outcome].&amp;[South Liverpool - Enjoy &amp; Achieve - 2.4 - External services/groups]" c="South Liverpool - Enjoy &amp; Achieve - 2.4 - External services/groups"/>
        <s v="[AIC Outcome].[Outcome].&amp;[Compensation ordered/agreed but unpaid]" c="Compensation ordered/agreed but unpaid"/>
        <s v="[AIC Outcome].[Outcome].&amp;[South Liverpool 2.3 Participate in chosen work like/voluntary/unpaid work activities]" c="South Liverpool 2.3 Participate in chosen work like/voluntary/unpaid work activities"/>
        <s v="[AIC Outcome].[Outcome].&amp;[West Oxfordshire: Homelessness prevented - client stayed in home]" c="West Oxfordshire: Homelessness prevented - client stayed in home"/>
        <s v="[AIC Outcome].[Outcome].&amp;[Chiltern - Rotary]" c="Chiltern - Rotary"/>
        <s v="[AIC Outcome].[Outcome].&amp;[Appropriate service/ support obtained for client - successful]" c="Appropriate service/ support obtained for client - successful"/>
        <s v="[AIC Outcome].[Outcome].&amp;[Discrimination remedy –  successful]" c="Discrimination remedy –  successful"/>
        <s v="[AIC Outcome].[Outcome].&amp;[Lewes District - Helped to make informed choice]" c="Lewes District - Helped to make informed choice"/>
        <s v="[AIC Outcome].[Outcome].&amp;[Mediation successful]" c="Mediation successful"/>
        <s v="[AIC Outcome].[Outcome].&amp;[South Liverpool - Be Healthy - 1.1 - Manage physical health]" c="South Liverpool - Be Healthy - 1.1 - Manage physical health"/>
        <s v="[AIC Outcome].[Outcome].&amp;[East End (Hackney) CV or use IT jobsearch]" c="East End (Hackney) CV or use IT jobsearch"/>
        <s v="[AIC Outcome].[Outcome].&amp;[South Liverpool - Stay Safe - 4.1 - Secure/obtain/maintain accom &amp; avoid eviction]" c="South Liverpool - Stay Safe - 4.1 - Secure/obtain/maintain accom &amp; avoid eviction"/>
        <s v="[AIC Outcome].[Outcome].&amp;[Community Care assessment obtained]" c="Community Care assessment obtained"/>
        <s v="[AIC Outcome].[Outcome].&amp;[Indefinite leave]" c="Indefinite leave"/>
        <s v="[AIC Outcome].[Outcome].&amp;[Health charges reduced or eliminated]" c="Health charges reduced or eliminated"/>
        <s v="[AIC Outcome].[Outcome].&amp;[East End (Hackney) use of online financial health check.]" c="East End (Hackney) use of online financial health check."/>
        <s v="[AIC Outcome].[Outcome].&amp;[Referred to IVA provider]" c="Referred to IVA provider"/>
        <s v="[AIC Outcome].[Outcome].&amp;[Croydon HAP – Prevention of homelessness for 6 months or more]" c="Croydon HAP – Prevention of homelessness for 6 months or more"/>
        <s v="[AIC Outcome].[Outcome].&amp;[Financial planning for the future]" c="Financial planning for the future"/>
        <s v="[AIC Outcome].[Outcome].&amp;[Court fees waived or refunded]" c="Court fees waived or refunded"/>
        <s v="[AIC Outcome].[Outcome].&amp;[Reduction/removal charges]" c="Reduction/removal charges"/>
        <s v="[AIC Outcome].[Outcome].&amp;[Chiltern - CAB Fund]" c="Chiltern - CAB Fund"/>
        <s v="[AIC Outcome].[Outcome].&amp;[Charitable payment]" c="Charitable payment"/>
        <s v="[AIC Outcome].[Outcome].&amp;[Benefit cap exemption obtained]" c="Benefit cap exemption obtained"/>
        <s v="[AIC Outcome].[Outcome].&amp;[Public transport access - successful]" c="Public transport access - successful"/>
        <s v="[AIC Outcome].[Outcome].&amp;[Radar key]" c="Radar key"/>
        <s v="[AIC Outcome].[Outcome].&amp;[Claim or complaint - not possible]" c="Claim or complaint - not possible"/>
        <s v="[AIC Outcome].[Outcome].&amp;[Walsall NHS - Smoking Cessation]" c="Walsall NHS - Smoking Cessation"/>
        <s v="[AIC Outcome].[Outcome].&amp;[Realising assets (excluding home)]" c="Realising assets (excluding home)"/>
        <s v="[AIC Outcome].[Outcome].&amp;[North Liverpool - Economic Wellbeing - 5.2 - Debt]" c="North Liverpool - Economic Wellbeing - 5.2 - Debt"/>
        <s v="[AIC Outcome].[Outcome].&amp;[Annual increase in income]" c="Annual increase in income"/>
        <s v="[AIC Outcome].[Outcome].&amp;[Client represented in court]" c="Client represented in court"/>
        <s v="[AIC Outcome].[Outcome].&amp;[Tunbridge Wells and District Appeal process started]" c="Tunbridge Wells and District Appeal process started"/>
        <s v="[AIC Outcome].[Outcome].&amp;[Complaint successful]" c="Complaint successful"/>
        <s v="[AIC Outcome].[Outcome].&amp;[Contact arrangements - agreed]" c="Contact arrangements - agreed"/>
        <s v="[AIC Outcome].[Outcome].&amp;[New tax liability identified]" c="New tax liability identified"/>
        <s v="[AIC Outcome].[Outcome].&amp;[Unfair practice remedy - unsuccessful]" c="Unfair practice remedy - unsuccessful"/>
        <s v="[AIC Outcome].[Outcome].&amp;[Oxfordshire South &amp; Vale:  Financial - charitable grant]" c="Oxfordshire South &amp; Vale:  Financial - charitable grant"/>
        <s v="[AIC Outcome].[Outcome].&amp;[Uttlesford - BTU Project - Client Empowered]" c="Uttlesford - BTU Project - Client Empowered"/>
        <s v="[AIC Outcome].[Outcome].&amp;[Legal aid obtained - unsuccessful]" c="Legal aid obtained - unsuccessful"/>
        <s v="[AIC Outcome].[Outcome].&amp;[Refund / Repair / Replacement agreed/scheduled]" c="Refund / Repair / Replacement agreed/scheduled"/>
        <s v="[AIC Outcome].[Outcome].&amp;[Claimant Commitment amended]" c="Claimant Commitment amended"/>
        <s v="[AIC Outcome].[Outcome].&amp;[Bath - H1 possesion prevented]" c="Bath - H1 possesion prevented"/>
        <s v="[AIC Outcome].[Outcome].&amp;[Financial assistance - fees &amp; maintenance grants/waivers]" c="Financial assistance - fees &amp; maintenance grants/waivers"/>
        <s v="[AIC Outcome].[Outcome].&amp;[Sherwood and Newark - HOMELESSNESS PREVENTED: Private]" c="Sherwood and Newark - HOMELESSNESS PREVENTED: Private"/>
        <s v="[AIC Outcome].[Outcome].&amp;[Other Consumer Credit Act remedy]" c="Other Consumer Credit Act remedy"/>
        <s v="[AIC Outcome].[Outcome].&amp;[Able to participate in chosen training and/or education]" c="Able to participate in chosen training and/or education"/>
        <s v="[AIC Outcome].[Outcome].&amp;[Piper lifeline]" c="Piper lifeline"/>
        <s v="[AIC Outcome].[Outcome].&amp;[LA intervened &amp; provided support - success]" c="LA intervened &amp; provided support - success"/>
        <s v="[AIC Outcome].[Outcome].&amp;[Stratford upon Avon and District - Debt Managed]" c="Stratford upon Avon and District - Debt Managed"/>
        <s v="[AIC Outcome].[Outcome].&amp;[Tunbridge Wells and District Increased wellbeing of client]" c="Tunbridge Wells and District Increased wellbeing of client"/>
        <s v="[AIC Outcome].[Outcome].&amp;[Oxfordshire South &amp; Vale: Financial gain - fuel grant]" c="Oxfordshire South &amp; Vale: Financial gain - fuel grant"/>
        <s v="[AIC Outcome].[Outcome].&amp;[Exclusion overturned]" c="Exclusion overturned"/>
        <s v="[AIC Outcome].[Outcome].&amp;[Reinstatement]" c="Reinstatement"/>
        <s v="[AIC Outcome].[Outcome].&amp;[Budgeting change]" c="Budgeting change"/>
        <s v="[AIC Outcome].[Outcome].&amp;[Gwynedd &amp; De Ynys Mon: Welsh Water/Dwr Cymru CAF - Accepted]" c="Gwynedd &amp; De Ynys Mon: Welsh Water/Dwr Cymru CAF - Accepted"/>
        <s v="[AIC Outcome].[Outcome].&amp;[Lewes District - Helped keep family together]" c="Lewes District - Helped keep family together"/>
        <s v="[AIC Outcome].[Outcome].&amp;[Food Vouchers]" c="Food Vouchers"/>
        <s v="[AIC Outcome].[Outcome].&amp;[North Liverpool 5.1 Maximise income including receipt of the right benefit]" c="North Liverpool 5.1 Maximise income including receipt of the right benefit"/>
        <s v="[AIC Outcome].[Outcome].&amp;[Property or management improved]" c="Property or management improved"/>
        <s v="[AIC Outcome].[Outcome].&amp;[Road tax exemption]" c="Road tax exemption"/>
        <s v="[AIC Outcome].[Outcome].&amp;[Tunbridge Wells and District Client empowered]" c="Tunbridge Wells and District Client empowered"/>
        <s v="[AIC Outcome].[Outcome].&amp;[Sherwood and Newark - Mortgage repossession prevented]" c="Sherwood and Newark - Mortgage repossession prevented"/>
        <s v="[AIC Outcome].[Outcome].&amp;[Uttlesford - BTU Project - Benefitted Others/Community]" c="Uttlesford - BTU Project - Benefitted Others/Community"/>
        <s v="[AIC Outcome].[Outcome].&amp;[South Liverpool - Economic Wellbeing - 5.1 - Welfare benefits]" c="South Liverpool - Economic Wellbeing - 5.1 - Welfare benefits"/>
        <s v="[AIC Outcome].[Outcome].&amp;[Compensation - denied]" c="Compensation - denied"/>
      </sharedItems>
    </cacheField>
    <cacheField name="[Measures].[MeasuresLevel]" caption="MeasuresLevel" numFmtId="0" hierarchy="102">
      <sharedItems count="3">
        <s v="[Measures].[Annualised Value]" c="Annualised Value"/>
        <s v="[Measures].[Unique Client Count]" c="Unique Client Count"/>
        <s v="[Measures].[Number of Outcomes]" c="Number of Outcomes"/>
      </sharedItems>
    </cacheField>
    <cacheField name="[AIC Outcome].[Financial Outcome Category].[Financial Outcome Category]" caption="Financial Outcome Category" numFmtId="0" hierarchy="7" level="1">
      <sharedItems count="5">
        <s v="[AIC Outcome].[Financial Outcome Category].&amp;[Re-imbursements, services, loans]" c="Re-imbursements, services, loans"/>
        <s v="[AIC Outcome].[Financial Outcome Category].&amp;[Repayments rescheduled]" c="Repayments rescheduled"/>
        <s v="[AIC Outcome].[Financial Outcome Category].&amp;[Debts written off]" c="Debts written off"/>
        <s v="[AIC Outcome].[Financial Outcome Category].&amp;[Income gain]" c="Income gain"/>
        <s v="[AIC Outcome].[Financial Outcome Category].&amp;[Not recorded/not applicable]" c="Not recorded/not applicable"/>
      </sharedItems>
    </cacheField>
    <cacheField name="[Monthly Calendar Outcome Date].[Financial].[Year]" caption="Year" numFmtId="0" hierarchy="108" level="1">
      <sharedItems count="2">
        <s v="[Monthly Calendar Outcome Date].[Financial].[Year].&amp;[2013-14]" c="2013-14"/>
        <s v="[Monthly Calendar Outcome Date].[Financial].[Year].&amp;[2016-17]" c="2016-17"/>
      </sharedItems>
    </cacheField>
  </cacheFields>
  <cacheHierarchies count="131">
    <cacheHierarchy uniqueName="[AIC Outcome].[Advice Area]" caption="Advice Area" attribute="1" defaultMemberUniqueName="[AIC Outcome].[Advice Area].[All]" allUniqueName="[AIC Outcome].[Advice Area].[All]" allCaption="All" dimensionUniqueName="[AIC Outcome]" displayFolder="" count="2" unbalanced="0">
      <fieldsUsage count="2">
        <fieldUsage x="-1"/>
        <fieldUsage x="2"/>
      </fieldsUsage>
    </cacheHierarchy>
    <cacheHierarchy uniqueName="[AIC Outcome].[AIC]" caption="AIC" defaultMemberUniqueName="[AIC Outcome].[AIC].[All]" allUniqueName="[AIC Outcome].[AIC].[All]" dimensionUniqueName="[AIC Outcome]" displayFolder="" count="4" unbalanced="0"/>
    <cacheHierarchy uniqueName="[AIC Outcome].[AIC Part1]" caption="AIC Part1" attribute="1" defaultMemberUniqueName="[AIC Outcome].[AIC Part1].[All]" allUniqueName="[AIC Outcome].[AIC Part1].[All]" dimensionUniqueName="[AIC Outcome]" displayFolder="" count="2" unbalanced="0">
      <fieldsUsage count="2">
        <fieldUsage x="-1"/>
        <fieldUsage x="3"/>
      </fieldsUsage>
    </cacheHierarchy>
    <cacheHierarchy uniqueName="[AIC Outcome].[AIC Part2]" caption="AIC Part2" attribute="1" defaultMemberUniqueName="[AIC Outcome].[AIC Part2].[All]" allUniqueName="[AIC Outcome].[AIC Part2].[All]" dimensionUniqueName="[AIC Outcome]" displayFolder="" count="2" unbalanced="0"/>
    <cacheHierarchy uniqueName="[AIC Outcome].[AIC Part3]" caption="AIC Part3" attribute="1" defaultMemberUniqueName="[AIC Outcome].[AIC Part3].[All]" allUniqueName="[AIC Outcome].[AIC Part3].[All]" dimensionUniqueName="[AIC Outcome]" displayFolder="" count="2" unbalanced="0"/>
    <cacheHierarchy uniqueName="[AIC Outcome].[Confirmation]" caption="Confirmation" attribute="1" defaultMemberUniqueName="[AIC Outcome].[Confirmation].[All]" allUniqueName="[AIC Outcome].[Confirmation].[All]" dimensionUniqueName="[AIC Outcome]" displayFolder="" count="2" unbalanced="0"/>
    <cacheHierarchy uniqueName="[AIC Outcome].[Financial Flag]" caption="Financial Flag" attribute="1" defaultMemberUniqueName="[AIC Outcome].[Financial Flag].[All]" allUniqueName="[AIC Outcome].[Financial Flag].[All]" dimensionUniqueName="[AIC Outcome]" displayFolder="" count="2" unbalanced="0"/>
    <cacheHierarchy uniqueName="[AIC Outcome].[Financial Outcome Category]" caption="Financial Outcome Category" attribute="1" defaultMemberUniqueName="[AIC Outcome].[Financial Outcome Category].[All]" allUniqueName="[AIC Outcome].[Financial Outcome Category].[All]" dimensionUniqueName="[AIC Outcome]" displayFolder="" count="2" unbalanced="0">
      <fieldsUsage count="2">
        <fieldUsage x="-1"/>
        <fieldUsage x="7"/>
      </fieldsUsage>
    </cacheHierarchy>
    <cacheHierarchy uniqueName="[AIC Outcome].[Frequency Of Amount]" caption="Frequency Of Amount" attribute="1" defaultMemberUniqueName="[AIC Outcome].[Frequency Of Amount].[All]" allUniqueName="[AIC Outcome].[Frequency Of Amount].[All]" dimensionUniqueName="[AIC Outcome]" displayFolder="" count="2" unbalanced="0"/>
    <cacheHierarchy uniqueName="[AIC Outcome].[Further Details]" caption="Further Details" attribute="1" defaultMemberUniqueName="[AIC Outcome].[Further Details].[All]" allUniqueName="[AIC Outcome].[Further Details].[All]" dimensionUniqueName="[AIC Outcome]" displayFolder="" count="2" unbalanced="0"/>
    <cacheHierarchy uniqueName="[AIC Outcome].[How Outcome Was Achieved]" caption="How Outcome Was Achieved" attribute="1" defaultMemberUniqueName="[AIC Outcome].[How Outcome Was Achieved].[All]" allUniqueName="[AIC Outcome].[How Outcome Was Achieved].[All]" dimensionUniqueName="[AIC Outcome]" displayFolder="" count="2" unbalanced="0"/>
    <cacheHierarchy uniqueName="[AIC Outcome].[Issue]" caption="Issue" attribute="1" defaultMemberUniqueName="[AIC Outcome].[Issue].[All]" allUniqueName="[AIC Outcome].[Issue].[All]" dimensionUniqueName="[AIC Outcome]" displayFolder="" count="2" unbalanced="0"/>
    <cacheHierarchy uniqueName="[AIC Outcome].[Outcome]" caption="Outcome" attribute="1" defaultMemberUniqueName="[AIC Outcome].[Outcome].[All]" allUniqueName="[AIC Outcome].[Outcome].[All]" dimensionUniqueName="[AIC Outcome]" displayFolder="" count="2" unbalanced="0">
      <fieldsUsage count="2">
        <fieldUsage x="-1"/>
        <fieldUsage x="5"/>
      </fieldsUsage>
    </cacheHierarchy>
    <cacheHierarchy uniqueName="[AIC Outcome].[Outcome Ready]" caption="Outcome Ready" attribute="1" defaultMemberUniqueName="[AIC Outcome].[Outcome Ready].[All]" allUniqueName="[AIC Outcome].[Outcome Ready].[All]" dimensionUniqueName="[AIC Outcome]" displayFolder="" count="2" unbalanced="0"/>
    <cacheHierarchy uniqueName="[AIC Outcome].[Type Of Outcome]" caption="Type Of Outcome" attribute="1" defaultMemberUniqueName="[AIC Outcome].[Type Of Outcome].[All]" allUniqueName="[AIC Outcome].[Type Of Outcome].[All]" allCaption="All" dimensionUniqueName="[AIC Outcome]" displayFolder="" count="2" unbalanced="0">
      <fieldsUsage count="2">
        <fieldUsage x="-1"/>
        <fieldUsage x="4"/>
      </fieldsUsage>
    </cacheHierarchy>
    <cacheHierarchy uniqueName="[Client Geography].[Census Output Area]" caption="Census Output Area" attribute="1" defaultMemberUniqueName="[Client Geography].[Census Output Area].[All]" allUniqueName="[Client Geography].[Census Output Area].[All]" dimensionUniqueName="[Client Geography]" displayFolder="" count="2" unbalanced="0"/>
    <cacheHierarchy uniqueName="[Client Geography].[CensusOutputArea]" caption="CensusOutputArea" defaultMemberUniqueName="[Client Geography].[CensusOutputArea].[All]" allUniqueName="[Client Geography].[CensusOutputArea].[All]" dimensionUniqueName="[Client Geography]" displayFolder="" count="2" unbalanced="0"/>
    <cacheHierarchy uniqueName="[Client Geography].[ClientCounty]" caption="ClientCounty" defaultMemberUniqueName="[Client Geography].[ClientCounty].[All]" allUniqueName="[Client Geography].[ClientCounty].[All]" dimensionUniqueName="[Client Geography]" displayFolder="" count="2" unbalanced="0"/>
    <cacheHierarchy uniqueName="[Client Geography].[ClientParish]" caption="ClientParish" defaultMemberUniqueName="[Client Geography].[ClientParish].[All]" allUniqueName="[Client Geography].[ClientParish].[All]" dimensionUniqueName="[Client Geography]" displayFolder="" count="2"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2"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2" unbalanced="0"/>
    <cacheHierarchy uniqueName="[Client Geography].[County]" caption="County" attribute="1" defaultMemberUniqueName="[Client Geography].[County].[All]" allUniqueName="[Client Geography].[County].[All]" dimensionUniqueName="[Client Geography]" displayFolder="" count="2" unbalanced="0"/>
    <cacheHierarchy uniqueName="[Client Geography].[Local Authority]" caption="Local Authority" attribute="1" defaultMemberUniqueName="[Client Geography].[Local Authority].[All]" allUniqueName="[Client Geography].[Local Authority].[All]" dimensionUniqueName="[Client Geography]" displayFolder="" count="2"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2" unbalanced="0"/>
    <cacheHierarchy uniqueName="[Client Geography].[Local council]" caption="Local council" defaultMemberUniqueName="[Client Geography].[Local council].[All]" allUniqueName="[Client Geography].[Local council].[All]" dimensionUniqueName="[Client Geography]" displayFolder="" count="3"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2" unbalanced="0"/>
    <cacheHierarchy uniqueName="[Client Geography].[LowerSuperOutputArea]" caption="LowerSuperOutputArea" defaultMemberUniqueName="[Client Geography].[LowerSuperOutputArea].[All]" allUniqueName="[Client Geography].[LowerSuperOutputArea].[All]" dimensionUniqueName="[Client Geography]" displayFolder="" count="2" unbalanced="0"/>
    <cacheHierarchy uniqueName="[Client Geography].[Parish]" caption="Parish" attribute="1" defaultMemberUniqueName="[Client Geography].[Parish].[All]" allUniqueName="[Client Geography].[Parish].[All]" dimensionUniqueName="[Client Geography]" displayFolder="" count="2"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2" unbalanced="0"/>
    <cacheHierarchy uniqueName="[Client Geography].[Political]" caption="Political" defaultMemberUniqueName="[Client Geography].[Political].[All]" allUniqueName="[Client Geography].[Political].[All]" dimensionUniqueName="[Client Geography]" displayFolder="" count="3" unbalanced="0"/>
    <cacheHierarchy uniqueName="[Client Geography].[Political Party]" caption="Political Party" attribute="1" defaultMemberUniqueName="[Client Geography].[Political Party].[All]" allUniqueName="[Client Geography].[Political Party].[All]" dimensionUniqueName="[Client Geography]" displayFolder="" count="2" unbalanced="0"/>
    <cacheHierarchy uniqueName="[Client Geography].[Primary care]" caption="Primary care" defaultMemberUniqueName="[Client Geography].[Primary care].[All]" allUniqueName="[Client Geography].[Primary care].[All]" dimensionUniqueName="[Client Geography]" displayFolder="" count="2" unbalanced="0"/>
    <cacheHierarchy uniqueName="[Client Geography].[Primary Care Trust]" caption="Primary Care Trust" attribute="1" defaultMemberUniqueName="[Client Geography].[Primary Care Trust].[All]" allUniqueName="[Client Geography].[Primary Care Trust].[All]" dimensionUniqueName="[Client Geography]" displayFolder="" count="2"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2"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2"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2"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2" unbalanced="0"/>
    <cacheHierarchy uniqueName="[Client Profile].[Age]" caption="Age" attribute="1" defaultMemberUniqueName="[Client Profile].[Age].[All]" allUniqueName="[Client Profile].[Age].[All]" dimensionUniqueName="[Client Profile]" displayFolder="" count="2" unbalanced="0"/>
    <cacheHierarchy uniqueName="[Client Profile].[Age Group]" caption="Age Group" attribute="1" defaultMemberUniqueName="[Client Profile].[Age Group].[All]" allUniqueName="[Client Profile].[Age Group].[All]" dimensionUniqueName="[Client Profile]" displayFolder="" count="2" unbalanced="0"/>
    <cacheHierarchy uniqueName="[Client Profile].[Anonymous]" caption="Anonymous" attribute="1" defaultMemberUniqueName="[Client Profile].[Anonymous].[All]" allUniqueName="[Client Profile].[Anonymous].[All]" dimensionUniqueName="[Client Profile]" displayFolder="" count="2"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2"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2"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2"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2" unbalanced="0"/>
    <cacheHierarchy uniqueName="[Client Profile].[Ethnic Origin]" caption="Ethnic Origin" attribute="1" defaultMemberUniqueName="[Client Profile].[Ethnic Origin].[All]" allUniqueName="[Client Profile].[Ethnic Origin].[All]" dimensionUniqueName="[Client Profile]" displayFolder="" count="2" unbalanced="0"/>
    <cacheHierarchy uniqueName="[Client Profile].[First Language]" caption="First Language" attribute="1" defaultMemberUniqueName="[Client Profile].[First Language].[All]" allUniqueName="[Client Profile].[First Language].[All]" dimensionUniqueName="[Client Profile]" displayFolder="" count="2"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2" unbalanced="0"/>
    <cacheHierarchy uniqueName="[Client Profile].[Gender]" caption="Gender" attribute="1" defaultMemberUniqueName="[Client Profile].[Gender].[All]" allUniqueName="[Client Profile].[Gender].[All]" dimensionUniqueName="[Client Profile]" displayFolder="" count="2" unbalanced="0"/>
    <cacheHierarchy uniqueName="[Client Profile].[Household Type]" caption="Household Type" attribute="1" defaultMemberUniqueName="[Client Profile].[Household Type].[All]" allUniqueName="[Client Profile].[Household Type].[All]" dimensionUniqueName="[Client Profile]" displayFolder="" count="2" unbalanced="0"/>
    <cacheHierarchy uniqueName="[Client Profile].[Housing Tenure]" caption="Housing Tenure" attribute="1" defaultMemberUniqueName="[Client Profile].[Housing Tenure].[All]" allUniqueName="[Client Profile].[Housing Tenure].[All]" dimensionUniqueName="[Client Profile]" displayFolder="" count="2" unbalanced="0"/>
    <cacheHierarchy uniqueName="[Client Profile].[Incomes Profile]" caption="Incomes Profile" attribute="1" defaultMemberUniqueName="[Client Profile].[Incomes Profile].[All]" allUniqueName="[Client Profile].[Incomes Profile].[All]" dimensionUniqueName="[Client Profile]" displayFolder="" count="2" unbalanced="0"/>
    <cacheHierarchy uniqueName="[Client Profile].[Local Code A Set 1]" caption="Local Code A Set 1" attribute="1" defaultMemberUniqueName="[Client Profile].[Local Code A Set 1].[All]" allUniqueName="[Client Profile].[Local Code A Set 1].[All]" dimensionUniqueName="[Client Profile]" displayFolder="" count="2" unbalanced="0"/>
    <cacheHierarchy uniqueName="[Client Profile].[Local Code A Set 2]" caption="Local Code A Set 2" attribute="1" defaultMemberUniqueName="[Client Profile].[Local Code A Set 2].[All]" allUniqueName="[Client Profile].[Local Code A Set 2].[All]" dimensionUniqueName="[Client Profile]" displayFolder="" count="2" unbalanced="0"/>
    <cacheHierarchy uniqueName="[Client Profile].[Local Code A Set 3]" caption="Local Code A Set 3" attribute="1" defaultMemberUniqueName="[Client Profile].[Local Code A Set 3].[All]" allUniqueName="[Client Profile].[Local Code A Set 3].[All]" dimensionUniqueName="[Client Profile]" displayFolder="" count="2" unbalanced="0"/>
    <cacheHierarchy uniqueName="[Client Profile].[Local Code B Set 1]" caption="Local Code B Set 1" attribute="1" defaultMemberUniqueName="[Client Profile].[Local Code B Set 1].[All]" allUniqueName="[Client Profile].[Local Code B Set 1].[All]" dimensionUniqueName="[Client Profile]" displayFolder="" count="2" unbalanced="0"/>
    <cacheHierarchy uniqueName="[Client Profile].[Local Code B Set 2]" caption="Local Code B Set 2" attribute="1" defaultMemberUniqueName="[Client Profile].[Local Code B Set 2].[All]" allUniqueName="[Client Profile].[Local Code B Set 2].[All]" dimensionUniqueName="[Client Profile]" displayFolder="" count="2" unbalanced="0"/>
    <cacheHierarchy uniqueName="[Client Profile].[Local Code B Set 3]" caption="Local Code B Set 3" attribute="1" defaultMemberUniqueName="[Client Profile].[Local Code B Set 3].[All]" allUniqueName="[Client Profile].[Local Code B Set 3].[All]" dimensionUniqueName="[Client Profile]" displayFolder="" count="2" unbalanced="0"/>
    <cacheHierarchy uniqueName="[Client Profile].[Marital Status]" caption="Marital Status" attribute="1" defaultMemberUniqueName="[Client Profile].[Marital Status].[All]" allUniqueName="[Client Profile].[Marital Status].[All]" dimensionUniqueName="[Client Profile]" displayFolder="" count="2" unbalanced="0"/>
    <cacheHierarchy uniqueName="[Client Profile].[Nationality]" caption="Nationality" attribute="1" defaultMemberUniqueName="[Client Profile].[Nationality].[All]" allUniqueName="[Client Profile].[Nationality].[All]" dimensionUniqueName="[Client Profile]" displayFolder="" count="2" unbalanced="0"/>
    <cacheHierarchy uniqueName="[Client Profile].[Occupation]" caption="Occupation" attribute="1" defaultMemberUniqueName="[Client Profile].[Occupation].[All]" allUniqueName="[Client Profile].[Occupation].[All]" dimensionUniqueName="[Client Profile]" displayFolder="" count="2"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2" unbalanced="0"/>
    <cacheHierarchy uniqueName="[Client Profile].[RBL]" caption="RBL" attribute="1" defaultMemberUniqueName="[Client Profile].[RBL].[All]" allUniqueName="[Client Profile].[RBL].[All]" dimensionUniqueName="[Client Profile]" displayFolder="" count="2" unbalanced="0"/>
    <cacheHierarchy uniqueName="[Client Profile].[Religion or Belief]" caption="Religion or Belief" attribute="1" defaultMemberUniqueName="[Client Profile].[Religion or Belief].[All]" allUniqueName="[Client Profile].[Religion or Belief].[All]" dimensionUniqueName="[Client Profile]" displayFolder="" count="2" unbalanced="0"/>
    <cacheHierarchy uniqueName="[Client Profile].[Second Language]" caption="Second Language" attribute="1" defaultMemberUniqueName="[Client Profile].[Second Language].[All]" allUniqueName="[Client Profile].[Second Language].[All]" dimensionUniqueName="[Client Profile]" displayFolder="" count="2" unbalanced="0"/>
    <cacheHierarchy uniqueName="[Client Profile].[Sexual Orientation]" caption="Sexual Orientation" attribute="1" defaultMemberUniqueName="[Client Profile].[Sexual Orientation].[All]" allUniqueName="[Client Profile].[Sexual Orientation].[All]" dimensionUniqueName="[Client Profile]" displayFolder="" count="2"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2"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2" unbalanced="0"/>
    <cacheHierarchy uniqueName="[Event Profile].[Channel]" caption="Channel" attribute="1" defaultMemberUniqueName="[Event Profile].[Channel].[All]" allUniqueName="[Event Profile].[Channel].[All]" dimensionUniqueName="[Event Profile]" displayFolder="" count="2"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2"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2"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2" unbalanced="0"/>
    <cacheHierarchy uniqueName="[Event Profile].[Enquiry Status]" caption="Enquiry Status" attribute="1" defaultMemberUniqueName="[Event Profile].[Enquiry Status].[All]" allUniqueName="[Event Profile].[Enquiry Status].[All]" dimensionUniqueName="[Event Profile]" displayFolder="" count="2" unbalanced="0"/>
    <cacheHierarchy uniqueName="[Event Profile].[Enquiry Type]" caption="Enquiry Type" attribute="1" defaultMemberUniqueName="[Event Profile].[Enquiry Type].[All]" allUniqueName="[Event Profile].[Enquiry Type].[All]" dimensionUniqueName="[Event Profile]" displayFolder="" count="2"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2"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2"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2" unbalanced="0"/>
    <cacheHierarchy uniqueName="[Event Profile].[Next Step]" caption="Next Step" attribute="1" defaultMemberUniqueName="[Event Profile].[Next Step].[All]" allUniqueName="[Event Profile].[Next Step].[All]" dimensionUniqueName="[Event Profile]" displayFolder="" count="2" unbalanced="0"/>
    <cacheHierarchy uniqueName="[Event Profile].[No Bank Account]" caption="No Bank Account" attribute="1" defaultMemberUniqueName="[Event Profile].[No Bank Account].[All]" allUniqueName="[Event Profile].[No Bank Account].[All]" dimensionUniqueName="[Event Profile]" displayFolder="" count="2"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2" unbalanced="0"/>
    <cacheHierarchy uniqueName="[Event Profile].[No Savings Held]" caption="No Savings Held" attribute="1" defaultMemberUniqueName="[Event Profile].[No Savings Held].[All]" allUniqueName="[Event Profile].[No Savings Held].[All]" dimensionUniqueName="[Event Profile]" displayFolder="" count="2" unbalanced="0"/>
    <cacheHierarchy uniqueName="[Event Profile].[Parent Enquiry]" caption="Parent Enquiry" attribute="1" defaultMemberUniqueName="[Event Profile].[Parent Enquiry].[All]" allUniqueName="[Event Profile].[Parent Enquiry].[All]" dimensionUniqueName="[Event Profile]" displayFolder="" count="2" unbalanced="0"/>
    <cacheHierarchy uniqueName="[Event Profile].[Parent Gateway]" caption="Parent Gateway" attribute="1" defaultMemberUniqueName="[Event Profile].[Parent Gateway].[All]" allUniqueName="[Event Profile].[Parent Gateway].[All]" dimensionUniqueName="[Event Profile]" displayFolder="" count="2" unbalanced="0"/>
    <cacheHierarchy uniqueName="[Event Profile].[Priority Debts Owed]" caption="Priority Debts Owed" attribute="1" defaultMemberUniqueName="[Event Profile].[Priority Debts Owed].[All]" allUniqueName="[Event Profile].[Priority Debts Owed].[All]" dimensionUniqueName="[Event Profile]" displayFolder="" count="2" unbalanced="0"/>
    <cacheHierarchy uniqueName="[Event Profile].[Receives Benefit]" caption="Receives Benefit" attribute="1" defaultMemberUniqueName="[Event Profile].[Receives Benefit].[All]" allUniqueName="[Event Profile].[Receives Benefit].[All]" dimensionUniqueName="[Event Profile]" displayFolder="" count="2" unbalanced="0"/>
    <cacheHierarchy uniqueName="[Event Profile].[Referral Details]" caption="Referral Details" attribute="1" defaultMemberUniqueName="[Event Profile].[Referral Details].[All]" allUniqueName="[Event Profile].[Referral Details].[All]" dimensionUniqueName="[Event Profile]" displayFolder="" count="2" unbalanced="0"/>
    <cacheHierarchy uniqueName="[Event Profile].[Referred By]" caption="Referred By" attribute="1" defaultMemberUniqueName="[Event Profile].[Referred By].[All]" allUniqueName="[Event Profile].[Referred By].[All]" dimensionUniqueName="[Event Profile]" displayFolder="" count="2" unbalanced="0"/>
    <cacheHierarchy uniqueName="[Event Profile].[Signposted Details]" caption="Signposted Details" attribute="1" defaultMemberUniqueName="[Event Profile].[Signposted Details].[All]" allUniqueName="[Event Profile].[Signposted Details].[All]" dimensionUniqueName="[Event Profile]" displayFolder="" count="2" unbalanced="0"/>
    <cacheHierarchy uniqueName="[Event Profile].[Signposted To]" caption="Signposted To" attribute="1" defaultMemberUniqueName="[Event Profile].[Signposted To].[All]" allUniqueName="[Event Profile].[Signposted To].[All]" dimensionUniqueName="[Event Profile]" displayFolder="" count="2"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2"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2" unbalanced="0"/>
    <cacheHierarchy uniqueName="[Event Profile].[Total Numberof Debts]" caption="Total Numberof Debts" attribute="1" defaultMemberUniqueName="[Event Profile].[Total Numberof Debts].[All]" allUniqueName="[Event Profile].[Total Numberof Debts].[All]" dimensionUniqueName="[Event Profile]" displayFolder="" count="2"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2" unbalanced="0"/>
    <cacheHierarchy uniqueName="[Event Profile].[Universal Credit]" caption="Universal Credit" attribute="1" defaultMemberUniqueName="[Event Profile].[Universal Credit].[All]" allUniqueName="[Event Profile].[Universal Credit].[All]" dimensionUniqueName="[Event Profile]" displayFolder="" count="2" unbalanced="0"/>
    <cacheHierarchy uniqueName="[Event Profile].[Urgency]" caption="Urgency" attribute="1" defaultMemberUniqueName="[Event Profile].[Urgency].[All]" allUniqueName="[Event Profile].[Urgency].[All]" dimensionUniqueName="[Event Profile]" displayFolder="" count="2"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2" unbalanced="0"/>
    <cacheHierarchy uniqueName="[Local Funder].[Funder]" caption="Funder" attribute="1" defaultMemberUniqueName="[Local Funder].[Funder].[All]" allUniqueName="[Local Funder].[Funder].[All]" dimensionUniqueName="[Local Funder]" displayFolder="" count="2" unbalanced="0"/>
    <cacheHierarchy uniqueName="[Local Funder].[Funder ID]" caption="Funder ID" attribute="1" keyAttribute="1" defaultMemberUniqueName="[Local Funder].[Funder ID].[All]" allUniqueName="[Local Funder].[Funder ID].[All]" dimensionUniqueName="[Local Funder]" displayFolder="" count="2" unbalanced="0"/>
    <cacheHierarchy uniqueName="[Local Organisation].[Bureau]" caption="Bureau" attribute="1" defaultMemberUniqueName="[Local Organisation].[Bureau].[All]" allUniqueName="[Local Organisation].[Bureau].[All]" dimensionUniqueName="[Local Organisation]" displayFolder="" count="2" unbalanced="0"/>
    <cacheHierarchy uniqueName="[Local Organisation].[CAB]" caption="CAB" defaultMemberUniqueName="[Local Organisation].[CAB].[All]" allUniqueName="[Local Organisation].[CAB].[All]" dimensionUniqueName="[Local Organisation]" displayFolder="" count="5" unbalanced="0">
      <fieldsUsage count="3">
        <fieldUsage x="-1"/>
        <fieldUsage x="0"/>
        <fieldUsage x="1"/>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2" unbalanced="0"/>
    <cacheHierarchy uniqueName="[Local Organisation].[Member]" caption="Member" attribute="1" defaultMemberUniqueName="[Local Organisation].[Member].[All]" allUniqueName="[Local Organisation].[Member].[All]" dimensionUniqueName="[Local Organisation]" displayFolder="" count="2" unbalanced="0"/>
    <cacheHierarchy uniqueName="[Local Organisation].[Outreach]" caption="Outreach" attribute="1" defaultMemberUniqueName="[Local Organisation].[Outreach].[All]" allUniqueName="[Local Organisation].[Outreach].[All]" dimensionUniqueName="[Local Organisation]" displayFolder="" count="2" unbalanced="0"/>
    <cacheHierarchy uniqueName="[Measures]" caption="Measures" attribute="1" keyAttribute="1" defaultMemberUniqueName="[Measures].[Annualised Value]" dimensionUniqueName="[Measures]" displayFolder="" measures="1" count="1" unbalanced="0">
      <fieldsUsage count="1">
        <fieldUsage x="6"/>
      </fieldsUsage>
    </cacheHierarchy>
    <cacheHierarchy uniqueName="[Monthly Calendar Enquiry Created].[Financial]" caption="Monthly Calendar Enquiry Created.Financial" time="1" defaultMemberUniqueName="[Monthly Calendar Enquiry Created].[Financial].[All]" allUniqueName="[Monthly Calendar Enquiry Created].[Financial].[All]" allCaption="All" dimensionUniqueName="[Monthly Calendar Enquiry Created]" displayFolder="" count="4" unbalanced="0"/>
    <cacheHierarchy uniqueName="[Monthly Calendar Enquiry Created].[Month Name]" caption="Monthly Calendar Enquiry Created.Month Name" attribute="1" time="1" defaultMemberUniqueName="[Monthly Calendar Enquiry Created].[Month Name].[All]" allUniqueName="[Monthly Calendar Enquiry Created].[Month Name].[All]" dimensionUniqueName="[Monthly Calendar Enquiry Created]" displayFolder="" count="2" unbalanced="0"/>
    <cacheHierarchy uniqueName="[Monthly Calendar Enquiry Created].[Month Number]" caption="Monthly Calendar Enquiry Created.Month Number" attribute="1" time="1" defaultMemberUniqueName="[Monthly Calendar Enquiry Created].[Month Number].[All]" allUniqueName="[Monthly Calendar Enquiry Created].[Month Number].[All]" dimensionUniqueName="[Monthly Calendar Enquiry Created]" displayFolder="" count="2" unbalanced="0"/>
    <cacheHierarchy uniqueName="[Monthly Calendar Enquiry Created].[Quarter]" caption="Monthly Calendar Enquiry Created.Quarter" attribute="1" time="1" defaultMemberUniqueName="[Monthly Calendar Enquiry Created].[Quarter].[All]" allUniqueName="[Monthly Calendar Enquiry Created].[Quarter].[All]" dimensionUniqueName="[Monthly Calendar Enquiry Created]" displayFolder="" count="2" unbalanced="0"/>
    <cacheHierarchy uniqueName="[Monthly Calendar Enquiry Created].[Year]" caption="Monthly Calendar Enquiry Created.Year" attribute="1" time="1" defaultMemberUniqueName="[Monthly Calendar Enquiry Created].[Year].[All]" allUniqueName="[Monthly Calendar Enquiry Created].[Year].[All]" dimensionUniqueName="[Monthly Calendar Enquiry Created]" displayFolder="" count="2" unbalanced="0"/>
    <cacheHierarchy uniqueName="[Monthly Calendar Outcome Date].[Financial]" caption="Monthly Calendar Outcome Date.Financial" time="1" defaultMemberUniqueName="[Monthly Calendar Outcome Date].[Financial].[All]" allUniqueName="[Monthly Calendar Outcome Date].[Financial].[All]" dimensionUniqueName="[Monthly Calendar Outcome Date]" displayFolder="" count="4" unbalanced="0">
      <fieldsUsage count="2">
        <fieldUsage x="-1"/>
        <fieldUsage x="8"/>
      </fieldsUsage>
    </cacheHierarchy>
    <cacheHierarchy uniqueName="[Monthly Calendar Outcome Date].[Month Name]" caption="Monthly Calendar Outcome Date.Month Name" attribute="1" time="1" defaultMemberUniqueName="[Monthly Calendar Outcome Date].[Month Name].[All]" allUniqueName="[Monthly Calendar Outcome Date].[Month Name].[All]" dimensionUniqueName="[Monthly Calendar Outcome Date]" displayFolder="" count="2" unbalanced="0"/>
    <cacheHierarchy uniqueName="[Monthly Calendar Outcome Date].[Month Number]" caption="Monthly Calendar Outcome Date.Month Number" attribute="1" time="1" defaultMemberUniqueName="[Monthly Calendar Outcome Date].[Month Number].[All]" allUniqueName="[Monthly Calendar Outcome Date].[Month Number].[All]" dimensionUniqueName="[Monthly Calendar Outcome Date]" displayFolder="" count="2" unbalanced="0"/>
    <cacheHierarchy uniqueName="[Monthly Calendar Outcome Date].[Quarter]" caption="Monthly Calendar Outcome Date.Quarter" attribute="1" time="1" defaultMemberUniqueName="[Monthly Calendar Outcome Date].[Quarter].[All]" allUniqueName="[Monthly Calendar Outcome Date].[Quarter].[All]" dimensionUniqueName="[Monthly Calendar Outcome Date]" displayFolder="" count="2" unbalanced="0"/>
    <cacheHierarchy uniqueName="[Monthly Calendar Outcome Date].[Year]" caption="Monthly Calendar Outcome Date.Year" attribute="1" time="1" defaultMemberUniqueName="[Monthly Calendar Outcome Date].[Year].[All]" allUniqueName="[Monthly Calendar Outcome Date].[Year].[All]" dimensionUniqueName="[Monthly Calendar Outcome Date]" displayFolder="" count="2" unbalanced="0"/>
    <cacheHierarchy uniqueName="[National Funder].[Funder]" caption="Funder" attribute="1" defaultMemberUniqueName="[National Funder].[Funder].[All]" allUniqueName="[National Funder].[Funder].[All]" allCaption="All" dimensionUniqueName="[National Funder]" displayFolder="" count="2" unbalanced="0"/>
    <cacheHierarchy uniqueName="[National Funder].[Funder ID]" caption="Funder ID" attribute="1" keyAttribute="1" defaultMemberUniqueName="[National Funder].[Funder ID].[All]" allUniqueName="[National Funder].[Funder ID].[All]" dimensionUniqueName="[National Funder]" displayFolder="" count="2" unbalanced="0"/>
    <cacheHierarchy uniqueName="[National Funder].[Funder Type]" caption="Funder Type" attribute="1" defaultMemberUniqueName="[National Funder].[Funder Type].[All]" allUniqueName="[National Funder].[Funder Type].[All]" dimensionUniqueName="[National Funder]" displayFolder="" count="2" unbalanced="0"/>
    <cacheHierarchy uniqueName="[Work Level].[Work Level]" caption="Work Level" attribute="1" defaultMemberUniqueName="[Work Level].[Work Level].[All]" allUniqueName="[Work Level].[Work Level].[All]" dimensionUniqueName="[Work Level]" displayFolder="" count="2" unbalanced="0"/>
    <cacheHierarchy uniqueName="[Work Type].[Work Type]" caption="Work Type" attribute="1" defaultMemberUniqueName="[Work Type].[Work Type].[All]" allUniqueName="[Work Type].[Work Type].[All]" dimensionUniqueName="[Work Type]" displayFolder="" count="2" unbalanced="0"/>
    <cacheHierarchy uniqueName="[AIC Outcome].[AIC Outcome ID]" caption="AIC Outcome ID" attribute="1" keyAttribute="1" defaultMemberUniqueName="[AIC Outcome].[AIC Outcome ID].[All]" allUniqueName="[AIC Outcome].[AIC Outcome ID].[All]" dimensionUniqueName="[AIC Outcome]" displayFolder="" count="2"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2"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2" unbalanced="0" hidden="1"/>
    <cacheHierarchy uniqueName="[Event Profile].[Event Profile ID]" caption="Event Profile ID" attribute="1" keyAttribute="1" defaultMemberUniqueName="[Event Profile].[Event Profile ID].[All]" allUniqueName="[Event Profile].[Event Profile ID].[All]" dimensionUniqueName="[Event Profile]" displayFolder="" count="2" unbalanced="0" hidden="1"/>
    <cacheHierarchy uniqueName="[Local Funder].[Funder Type]" caption="Funder Type" attribute="1" defaultMemberUniqueName="[Local Funder].[Funder Type].[All]" allUniqueName="[Local Funder].[Funder Type].[All]" dimensionUniqueName="[Local Funder]" displayFolder="" count="2"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2" unbalanced="0" hidden="1"/>
    <cacheHierarchy uniqueName="[Monthly Calendar Enquiry Created].[Date ID]" caption="Monthly Calendar Enquiry Created.Date ID" attribute="1" time="1" keyAttribute="1" defaultMemberUniqueName="[Monthly Calendar Enquiry Created].[Date ID].[All]" allUniqueName="[Monthly Calendar Enquiry Created].[Date ID].[All]" dimensionUniqueName="[Monthly Calendar Enquiry Created]" displayFolder="" count="2" unbalanced="0" hidden="1"/>
    <cacheHierarchy uniqueName="[Monthly Calendar Outcome Date].[Date ID]" caption="Monthly Calendar Outcome Date.Date ID" attribute="1" time="1" keyAttribute="1" defaultMemberUniqueName="[Monthly Calendar Outcome Date].[Date ID].[All]" allUniqueName="[Monthly Calendar Outcome Date].[Date ID].[All]" dimensionUniqueName="[Monthly Calendar Outcome Date]" displayFolder="" count="2" unbalanced="0" hidden="1"/>
    <cacheHierarchy uniqueName="[Work Level].[Work Level ID]" caption="Work Level ID" attribute="1" keyAttribute="1" defaultMemberUniqueName="[Work Level].[Work Level ID].[All]" allUniqueName="[Work Level].[Work Level ID].[All]" dimensionUniqueName="[Work Level]" displayFolder="" count="2" unbalanced="0" hidden="1"/>
    <cacheHierarchy uniqueName="[Work Type].[Work Type ID]" caption="Work Type ID" attribute="1" keyAttribute="1" defaultMemberUniqueName="[Work Type].[Work Type ID].[All]" allUniqueName="[Work Type].[Work Type ID].[All]" dimensionUniqueName="[Work Type]" displayFolder="" count="2" unbalanced="0" hidden="1"/>
    <cacheHierarchy uniqueName="[Measures].[Annualised Value]" caption="Annualised Value" measure="1" displayFolder="" measureGroup="Advice" count="0"/>
    <cacheHierarchy uniqueName="[Measures].[Number of Outcomes]" caption="Number of Outcomes" measure="1" displayFolder="" measureGroup="Advice" count="0"/>
    <cacheHierarchy uniqueName="[Measures].[Unique Client Count]" caption="Unique Client Count" measure="1" displayFolder="" measureGroup="Client" count="0"/>
  </cacheHierarchies>
  <kpis count="0"/>
  <tupleCache>
    <entries count="1298">
      <n v="229">
        <tpls c="6">
          <tpl fld="4" item="0"/>
          <tpl hier="98" item="1"/>
          <tpl fld="6" item="2"/>
          <tpl hier="103" item="4294967295"/>
          <tpl fld="8" item="0"/>
          <tpl hier="113" item="4"/>
        </tpls>
      </n>
      <n v="11">
        <tpls c="6">
          <tpl fld="4" item="3"/>
          <tpl hier="98" item="1"/>
          <tpl fld="6" item="2"/>
          <tpl hier="103" item="4294967295"/>
          <tpl fld="8" item="0"/>
          <tpl hier="113" item="4"/>
        </tpls>
      </n>
      <n v="262">
        <tpls c="6">
          <tpl hier="14" item="4294967295"/>
          <tpl hier="98" item="1"/>
          <tpl fld="6" item="2"/>
          <tpl hier="103" item="4294967295"/>
          <tpl fld="8" item="0"/>
          <tpl hier="113" item="4"/>
        </tpls>
      </n>
      <m>
        <tpls c="6">
          <tpl fld="4" item="1"/>
          <tpl hier="98" item="1"/>
          <tpl fld="6" item="2"/>
          <tpl hier="103" item="4294967295"/>
          <tpl fld="8" item="0"/>
          <tpl hier="113" item="4"/>
        </tpls>
      </m>
      <n v="22">
        <tpls c="6">
          <tpl fld="4" item="2"/>
          <tpl hier="98" item="1"/>
          <tpl fld="6" item="2"/>
          <tpl hier="103" item="4294967295"/>
          <tpl fld="8" item="0"/>
          <tpl hier="113" item="4"/>
        </tpls>
      </n>
      <m>
        <tpls c="7">
          <tpl fld="5" item="31"/>
          <tpl fld="4" item="0"/>
          <tpl hier="98" item="1"/>
          <tpl fld="6" item="1"/>
          <tpl hier="103" item="5"/>
          <tpl hier="108" item="3"/>
          <tpl hier="113" item="4"/>
        </tpls>
      </m>
      <m>
        <tpls c="7">
          <tpl fld="2" item="13"/>
          <tpl fld="7" item="0"/>
          <tpl hier="98" item="1"/>
          <tpl hier="102" item="4294967295"/>
          <tpl hier="103" item="5"/>
          <tpl hier="108" item="3"/>
          <tpl hier="113" item="4"/>
        </tpls>
      </m>
      <m>
        <tpls c="7">
          <tpl fld="5" item="22"/>
          <tpl fld="4" item="0"/>
          <tpl hier="98" item="1"/>
          <tpl fld="6" item="1"/>
          <tpl hier="103" item="5"/>
          <tpl hier="108" item="3"/>
          <tpl hier="113" item="4"/>
        </tpls>
      </m>
      <n v="1">
        <tpls c="7">
          <tpl fld="5" item="3"/>
          <tpl fld="4" item="0"/>
          <tpl hier="98" item="1"/>
          <tpl fld="6" item="1"/>
          <tpl hier="103" item="5"/>
          <tpl hier="108" item="3"/>
          <tpl hier="113" item="4"/>
        </tpls>
      </n>
      <m>
        <tpls c="7">
          <tpl fld="5" item="6"/>
          <tpl fld="4" item="1"/>
          <tpl hier="98" item="1"/>
          <tpl fld="6" item="1"/>
          <tpl hier="103" item="5"/>
          <tpl hier="108" item="3"/>
          <tpl hier="113" item="4"/>
        </tpls>
      </m>
      <m>
        <tpls c="7">
          <tpl fld="5" item="26"/>
          <tpl fld="4" item="1"/>
          <tpl hier="98" item="1"/>
          <tpl fld="6" item="1"/>
          <tpl hier="103" item="5"/>
          <tpl hier="108" item="3"/>
          <tpl hier="113" item="4"/>
        </tpls>
      </m>
      <m>
        <tpls c="7">
          <tpl fld="5" item="11"/>
          <tpl fld="4" item="1"/>
          <tpl hier="98" item="1"/>
          <tpl fld="6" item="1"/>
          <tpl hier="103" item="5"/>
          <tpl hier="108" item="3"/>
          <tpl hier="113" item="4"/>
        </tpls>
      </m>
      <m>
        <tpls c="7">
          <tpl fld="5" item="69"/>
          <tpl fld="4" item="0"/>
          <tpl hier="98" item="1"/>
          <tpl fld="6" item="1"/>
          <tpl hier="103" item="5"/>
          <tpl hier="108" item="3"/>
          <tpl hier="113" item="4"/>
        </tpls>
      </m>
      <n v="17">
        <tpls c="7">
          <tpl fld="5" item="16"/>
          <tpl fld="4" item="0"/>
          <tpl hier="98" item="1"/>
          <tpl fld="6" item="1"/>
          <tpl hier="103" item="5"/>
          <tpl hier="108" item="3"/>
          <tpl hier="113" item="4"/>
        </tpls>
      </n>
      <m>
        <tpls c="7">
          <tpl fld="5" item="2"/>
          <tpl fld="4" item="1"/>
          <tpl hier="98" item="1"/>
          <tpl fld="6" item="1"/>
          <tpl hier="103" item="5"/>
          <tpl hier="108" item="3"/>
          <tpl hier="113" item="4"/>
        </tpls>
      </m>
      <m>
        <tpls c="7">
          <tpl fld="5" item="67"/>
          <tpl fld="4" item="0"/>
          <tpl hier="98" item="1"/>
          <tpl fld="6" item="1"/>
          <tpl hier="103" item="5"/>
          <tpl hier="108" item="3"/>
          <tpl hier="113" item="4"/>
        </tpls>
      </m>
      <m>
        <tpls c="7">
          <tpl fld="5" item="76"/>
          <tpl fld="4" item="1"/>
          <tpl hier="98" item="1"/>
          <tpl fld="6" item="1"/>
          <tpl hier="103" item="5"/>
          <tpl hier="108" item="3"/>
          <tpl hier="113" item="4"/>
        </tpls>
      </m>
      <m>
        <tpls c="7">
          <tpl fld="5" item="43"/>
          <tpl fld="4" item="1"/>
          <tpl hier="98" item="1"/>
          <tpl fld="6" item="1"/>
          <tpl hier="103" item="5"/>
          <tpl hier="108" item="3"/>
          <tpl hier="113" item="4"/>
        </tpls>
      </m>
      <m>
        <tpls c="7">
          <tpl fld="5" item="83"/>
          <tpl fld="4" item="3"/>
          <tpl hier="98" item="1"/>
          <tpl fld="6" item="1"/>
          <tpl hier="103" item="5"/>
          <tpl hier="108" item="3"/>
          <tpl hier="113" item="4"/>
        </tpls>
      </m>
      <n v="1">
        <tpls c="7">
          <tpl fld="5" item="78"/>
          <tpl fld="4" item="0"/>
          <tpl hier="98" item="1"/>
          <tpl fld="6" item="1"/>
          <tpl hier="103" item="5"/>
          <tpl hier="108" item="3"/>
          <tpl hier="113" item="4"/>
        </tpls>
      </n>
      <m>
        <tpls c="7">
          <tpl fld="5" item="47"/>
          <tpl fld="4" item="0"/>
          <tpl hier="98" item="1"/>
          <tpl fld="6" item="1"/>
          <tpl hier="103" item="5"/>
          <tpl hier="108" item="3"/>
          <tpl hier="113" item="4"/>
        </tpls>
      </m>
      <m>
        <tpls c="7">
          <tpl fld="5" item="57"/>
          <tpl fld="4" item="1"/>
          <tpl hier="98" item="1"/>
          <tpl fld="6" item="1"/>
          <tpl hier="103" item="5"/>
          <tpl hier="108" item="3"/>
          <tpl hier="113" item="4"/>
        </tpls>
      </m>
      <m>
        <tpls c="7">
          <tpl fld="5" item="94"/>
          <tpl fld="4" item="0"/>
          <tpl hier="98" item="1"/>
          <tpl fld="6" item="1"/>
          <tpl hier="103" item="5"/>
          <tpl hier="108" item="3"/>
          <tpl hier="113" item="4"/>
        </tpls>
      </m>
      <m>
        <tpls c="7">
          <tpl fld="2" item="14"/>
          <tpl fld="7" item="2"/>
          <tpl hier="98" item="1"/>
          <tpl hier="102" item="4294967295"/>
          <tpl hier="103" item="5"/>
          <tpl hier="108" item="3"/>
          <tpl hier="113" item="4"/>
        </tpls>
      </m>
      <m>
        <tpls c="7">
          <tpl fld="5" item="32"/>
          <tpl fld="4" item="0"/>
          <tpl hier="98" item="1"/>
          <tpl fld="6" item="1"/>
          <tpl hier="103" item="5"/>
          <tpl hier="108" item="3"/>
          <tpl hier="113" item="4"/>
        </tpls>
      </m>
      <m>
        <tpls c="7">
          <tpl fld="5" item="61"/>
          <tpl fld="4" item="1"/>
          <tpl hier="98" item="1"/>
          <tpl fld="6" item="1"/>
          <tpl hier="103" item="5"/>
          <tpl hier="108" item="3"/>
          <tpl hier="113" item="4"/>
        </tpls>
      </m>
      <m>
        <tpls c="7">
          <tpl fld="5" item="104"/>
          <tpl fld="4" item="1"/>
          <tpl hier="98" item="1"/>
          <tpl fld="6" item="1"/>
          <tpl hier="103" item="5"/>
          <tpl hier="108" item="3"/>
          <tpl hier="113" item="4"/>
        </tpls>
      </m>
      <m>
        <tpls c="7">
          <tpl fld="5" item="137"/>
          <tpl fld="4" item="1"/>
          <tpl hier="98" item="1"/>
          <tpl fld="6" item="1"/>
          <tpl hier="103" item="5"/>
          <tpl hier="108" item="3"/>
          <tpl hier="113" item="4"/>
        </tpls>
      </m>
      <m>
        <tpls c="7">
          <tpl fld="5" item="17"/>
          <tpl fld="4" item="0"/>
          <tpl hier="98" item="1"/>
          <tpl fld="6" item="1"/>
          <tpl hier="103" item="5"/>
          <tpl hier="108" item="3"/>
          <tpl hier="113" item="4"/>
        </tpls>
      </m>
      <m>
        <tpls c="7">
          <tpl fld="5" item="19"/>
          <tpl fld="4" item="0"/>
          <tpl hier="98" item="1"/>
          <tpl fld="6" item="1"/>
          <tpl hier="103" item="5"/>
          <tpl hier="108" item="3"/>
          <tpl hier="113" item="4"/>
        </tpls>
      </m>
      <m>
        <tpls c="7">
          <tpl fld="5" item="92"/>
          <tpl fld="4" item="1"/>
          <tpl hier="98" item="1"/>
          <tpl fld="6" item="1"/>
          <tpl hier="103" item="5"/>
          <tpl hier="108" item="3"/>
          <tpl hier="113" item="4"/>
        </tpls>
      </m>
      <m>
        <tpls c="7">
          <tpl fld="5" item="144"/>
          <tpl fld="4" item="1"/>
          <tpl hier="98" item="1"/>
          <tpl fld="6" item="1"/>
          <tpl hier="103" item="5"/>
          <tpl hier="108" item="3"/>
          <tpl hier="113" item="4"/>
        </tpls>
      </m>
      <m>
        <tpls c="7">
          <tpl fld="2" item="2"/>
          <tpl fld="7" item="2"/>
          <tpl hier="98" item="1"/>
          <tpl hier="102" item="4294967295"/>
          <tpl hier="103" item="5"/>
          <tpl hier="108" item="3"/>
          <tpl hier="113" item="4"/>
        </tpls>
      </m>
      <m>
        <tpls c="7">
          <tpl fld="5" item="154"/>
          <tpl fld="4" item="0"/>
          <tpl hier="98" item="1"/>
          <tpl fld="6" item="1"/>
          <tpl hier="103" item="5"/>
          <tpl hier="108" item="3"/>
          <tpl hier="113" item="4"/>
        </tpls>
      </m>
      <m>
        <tpls c="7">
          <tpl fld="5" item="101"/>
          <tpl fld="4" item="3"/>
          <tpl hier="98" item="1"/>
          <tpl fld="6" item="1"/>
          <tpl hier="103" item="5"/>
          <tpl hier="108" item="3"/>
          <tpl hier="113" item="4"/>
        </tpls>
      </m>
      <m>
        <tpls c="7">
          <tpl fld="5" item="13"/>
          <tpl fld="4" item="1"/>
          <tpl hier="98" item="1"/>
          <tpl fld="6" item="1"/>
          <tpl hier="103" item="5"/>
          <tpl hier="108" item="3"/>
          <tpl hier="113" item="4"/>
        </tpls>
      </m>
      <m>
        <tpls c="7">
          <tpl fld="5" item="65"/>
          <tpl fld="4" item="1"/>
          <tpl hier="98" item="1"/>
          <tpl fld="6" item="1"/>
          <tpl hier="103" item="5"/>
          <tpl hier="108" item="3"/>
          <tpl hier="113" item="4"/>
        </tpls>
      </m>
      <n v="8">
        <tpls c="7">
          <tpl fld="5" item="156"/>
          <tpl fld="4" item="0"/>
          <tpl hier="98" item="1"/>
          <tpl fld="6" item="1"/>
          <tpl hier="103" item="5"/>
          <tpl hier="108" item="3"/>
          <tpl hier="113" item="4"/>
        </tpls>
      </n>
      <m>
        <tpls c="7">
          <tpl fld="5" item="7"/>
          <tpl fld="4" item="1"/>
          <tpl hier="98" item="1"/>
          <tpl fld="6" item="1"/>
          <tpl hier="103" item="5"/>
          <tpl hier="108" item="3"/>
          <tpl hier="113" item="4"/>
        </tpls>
      </m>
      <m>
        <tpls c="7">
          <tpl fld="5" item="38"/>
          <tpl fld="4" item="0"/>
          <tpl hier="98" item="1"/>
          <tpl fld="6" item="1"/>
          <tpl hier="103" item="5"/>
          <tpl hier="108" item="3"/>
          <tpl hier="113" item="4"/>
        </tpls>
      </m>
      <m>
        <tpls c="7">
          <tpl fld="2" item="16"/>
          <tpl fld="7" item="2"/>
          <tpl hier="98" item="1"/>
          <tpl hier="102" item="4294967295"/>
          <tpl hier="103" item="5"/>
          <tpl hier="108" item="3"/>
          <tpl hier="113" item="4"/>
        </tpls>
      </m>
      <m>
        <tpls c="7">
          <tpl fld="5" item="28"/>
          <tpl fld="4" item="1"/>
          <tpl hier="98" item="1"/>
          <tpl fld="6" item="1"/>
          <tpl hier="103" item="5"/>
          <tpl hier="108" item="3"/>
          <tpl hier="113" item="4"/>
        </tpls>
      </m>
      <n v="1">
        <tpls c="7">
          <tpl fld="5" item="145"/>
          <tpl fld="4" item="0"/>
          <tpl hier="98" item="1"/>
          <tpl fld="6" item="1"/>
          <tpl hier="103" item="5"/>
          <tpl hier="108" item="3"/>
          <tpl hier="113" item="4"/>
        </tpls>
      </n>
      <n v="66">
        <tpls c="7">
          <tpl fld="5" item="106"/>
          <tpl fld="4" item="0"/>
          <tpl hier="98" item="1"/>
          <tpl fld="6" item="1"/>
          <tpl hier="103" item="5"/>
          <tpl hier="108" item="3"/>
          <tpl hier="113" item="4"/>
        </tpls>
      </n>
      <n v="2">
        <tpls c="7">
          <tpl fld="5" item="50"/>
          <tpl fld="4" item="0"/>
          <tpl hier="98" item="1"/>
          <tpl fld="6" item="1"/>
          <tpl hier="103" item="5"/>
          <tpl hier="108" item="3"/>
          <tpl hier="113" item="4"/>
        </tpls>
      </n>
      <m>
        <tpls c="7">
          <tpl fld="2" item="16"/>
          <tpl fld="7" item="1"/>
          <tpl hier="98" item="1"/>
          <tpl hier="102" item="4294967295"/>
          <tpl hier="103" item="5"/>
          <tpl hier="108" item="3"/>
          <tpl hier="113" item="4"/>
        </tpls>
      </m>
      <m>
        <tpls c="7">
          <tpl fld="5" item="112"/>
          <tpl fld="4" item="0"/>
          <tpl hier="98" item="1"/>
          <tpl fld="6" item="1"/>
          <tpl hier="103" item="5"/>
          <tpl hier="108" item="3"/>
          <tpl hier="113" item="4"/>
        </tpls>
      </m>
      <m>
        <tpls c="7">
          <tpl fld="5" item="168"/>
          <tpl fld="4" item="1"/>
          <tpl hier="98" item="1"/>
          <tpl fld="6" item="1"/>
          <tpl hier="103" item="5"/>
          <tpl hier="108" item="3"/>
          <tpl hier="113" item="4"/>
        </tpls>
      </m>
      <n v="1">
        <tpls c="7">
          <tpl fld="5" item="64"/>
          <tpl fld="4" item="0"/>
          <tpl hier="98" item="1"/>
          <tpl fld="6" item="1"/>
          <tpl hier="103" item="5"/>
          <tpl hier="108" item="3"/>
          <tpl hier="113" item="4"/>
        </tpls>
      </n>
      <m>
        <tpls c="7">
          <tpl fld="2" item="7"/>
          <tpl fld="7" item="0"/>
          <tpl hier="98" item="1"/>
          <tpl hier="102" item="4294967295"/>
          <tpl hier="103" item="5"/>
          <tpl hier="108" item="3"/>
          <tpl hier="113" item="4"/>
        </tpls>
      </m>
      <m>
        <tpls c="7">
          <tpl fld="5" item="77"/>
          <tpl fld="4" item="0"/>
          <tpl hier="98" item="1"/>
          <tpl fld="6" item="1"/>
          <tpl hier="103" item="5"/>
          <tpl hier="108" item="3"/>
          <tpl hier="113" item="4"/>
        </tpls>
      </m>
      <m>
        <tpls c="7">
          <tpl fld="5" item="171"/>
          <tpl fld="4" item="0"/>
          <tpl hier="98" item="1"/>
          <tpl fld="6" item="1"/>
          <tpl hier="103" item="5"/>
          <tpl hier="108" item="3"/>
          <tpl hier="113" item="4"/>
        </tpls>
      </m>
      <m>
        <tpls c="7">
          <tpl fld="5" item="172"/>
          <tpl fld="4" item="0"/>
          <tpl hier="98" item="1"/>
          <tpl fld="6" item="1"/>
          <tpl hier="103" item="5"/>
          <tpl hier="108" item="3"/>
          <tpl hier="113" item="4"/>
        </tpls>
      </m>
      <n v="8">
        <tpls c="7">
          <tpl fld="5" item="175"/>
          <tpl fld="4" item="0"/>
          <tpl hier="98" item="1"/>
          <tpl fld="6" item="1"/>
          <tpl hier="103" item="5"/>
          <tpl hier="108" item="3"/>
          <tpl hier="113" item="4"/>
        </tpls>
      </n>
      <m>
        <tpls c="7">
          <tpl fld="5" item="177"/>
          <tpl fld="4" item="1"/>
          <tpl hier="98" item="1"/>
          <tpl fld="6" item="1"/>
          <tpl hier="103" item="5"/>
          <tpl hier="108" item="3"/>
          <tpl hier="113" item="4"/>
        </tpls>
      </m>
      <m>
        <tpls c="7">
          <tpl fld="5" item="40"/>
          <tpl fld="4" item="0"/>
          <tpl hier="98" item="1"/>
          <tpl fld="6" item="1"/>
          <tpl hier="103" item="5"/>
          <tpl hier="108" item="3"/>
          <tpl hier="113" item="4"/>
        </tpls>
      </m>
      <m>
        <tpls c="7">
          <tpl fld="5" item="146"/>
          <tpl fld="4" item="0"/>
          <tpl hier="98" item="1"/>
          <tpl fld="6" item="1"/>
          <tpl hier="103" item="5"/>
          <tpl hier="108" item="3"/>
          <tpl hier="113" item="4"/>
        </tpls>
      </m>
      <m>
        <tpls c="7">
          <tpl fld="5" item="5"/>
          <tpl fld="4" item="1"/>
          <tpl hier="98" item="1"/>
          <tpl fld="6" item="1"/>
          <tpl hier="103" item="5"/>
          <tpl hier="108" item="3"/>
          <tpl hier="113" item="4"/>
        </tpls>
      </m>
      <m>
        <tpls c="7">
          <tpl fld="5" item="152"/>
          <tpl fld="4" item="0"/>
          <tpl hier="98" item="1"/>
          <tpl fld="6" item="1"/>
          <tpl hier="103" item="5"/>
          <tpl hier="108" item="3"/>
          <tpl hier="113" item="4"/>
        </tpls>
      </m>
      <m>
        <tpls c="7">
          <tpl fld="5" item="157"/>
          <tpl fld="4" item="1"/>
          <tpl hier="98" item="1"/>
          <tpl fld="6" item="1"/>
          <tpl hier="103" item="5"/>
          <tpl hier="108" item="3"/>
          <tpl hier="113" item="4"/>
        </tpls>
      </m>
      <m>
        <tpls c="7">
          <tpl fld="5" item="29"/>
          <tpl fld="4" item="0"/>
          <tpl hier="98" item="1"/>
          <tpl fld="6" item="1"/>
          <tpl hier="103" item="5"/>
          <tpl hier="108" item="3"/>
          <tpl hier="113" item="4"/>
        </tpls>
      </m>
      <m>
        <tpls c="7">
          <tpl fld="2" item="1"/>
          <tpl fld="7" item="1"/>
          <tpl hier="98" item="1"/>
          <tpl hier="102" item="4294967295"/>
          <tpl hier="103" item="5"/>
          <tpl hier="108" item="3"/>
          <tpl hier="113" item="4"/>
        </tpls>
      </m>
      <m>
        <tpls c="7">
          <tpl fld="2" item="9"/>
          <tpl fld="7" item="0"/>
          <tpl hier="98" item="1"/>
          <tpl hier="102" item="4294967295"/>
          <tpl hier="103" item="5"/>
          <tpl hier="108" item="3"/>
          <tpl hier="113" item="4"/>
        </tpls>
      </m>
      <n v="1">
        <tpls c="7">
          <tpl fld="5" item="60"/>
          <tpl fld="4" item="0"/>
          <tpl hier="98" item="1"/>
          <tpl fld="6" item="1"/>
          <tpl hier="103" item="5"/>
          <tpl hier="108" item="3"/>
          <tpl hier="113" item="4"/>
        </tpls>
      </n>
      <m>
        <tpls c="7">
          <tpl fld="5" item="166"/>
          <tpl fld="4" item="3"/>
          <tpl hier="98" item="1"/>
          <tpl fld="6" item="1"/>
          <tpl hier="103" item="5"/>
          <tpl hier="108" item="3"/>
          <tpl hier="113" item="4"/>
        </tpls>
      </m>
      <m>
        <tpls c="7">
          <tpl fld="5" item="21"/>
          <tpl fld="4" item="1"/>
          <tpl hier="98" item="1"/>
          <tpl fld="6" item="1"/>
          <tpl hier="103" item="5"/>
          <tpl hier="108" item="3"/>
          <tpl hier="113" item="4"/>
        </tpls>
      </m>
      <n v="165">
        <tpls c="7">
          <tpl fld="5" item="23"/>
          <tpl fld="4" item="0"/>
          <tpl hier="98" item="1"/>
          <tpl fld="6" item="1"/>
          <tpl hier="103" item="5"/>
          <tpl hier="108" item="3"/>
          <tpl hier="113" item="4"/>
        </tpls>
      </n>
      <n v="10">
        <tpls c="7">
          <tpl fld="5" item="95"/>
          <tpl fld="4" item="0"/>
          <tpl hier="98" item="1"/>
          <tpl fld="6" item="1"/>
          <tpl hier="103" item="5"/>
          <tpl hier="108" item="3"/>
          <tpl hier="113" item="4"/>
        </tpls>
      </n>
      <m>
        <tpls c="7">
          <tpl fld="2" item="5"/>
          <tpl fld="7" item="0"/>
          <tpl hier="98" item="1"/>
          <tpl hier="102" item="4294967295"/>
          <tpl hier="103" item="5"/>
          <tpl hier="108" item="3"/>
          <tpl hier="113" item="4"/>
        </tpls>
      </m>
      <m>
        <tpls c="7">
          <tpl fld="5" item="147"/>
          <tpl fld="4" item="1"/>
          <tpl hier="98" item="1"/>
          <tpl fld="6" item="1"/>
          <tpl hier="103" item="5"/>
          <tpl hier="108" item="3"/>
          <tpl hier="113" item="4"/>
        </tpls>
      </m>
      <m>
        <tpls c="7">
          <tpl fld="5" item="75"/>
          <tpl fld="4" item="0"/>
          <tpl hier="98" item="1"/>
          <tpl fld="6" item="1"/>
          <tpl hier="103" item="5"/>
          <tpl hier="108" item="3"/>
          <tpl hier="113" item="4"/>
        </tpls>
      </m>
      <m>
        <tpls c="7">
          <tpl fld="5" item="191"/>
          <tpl fld="4" item="1"/>
          <tpl hier="98" item="1"/>
          <tpl fld="6" item="1"/>
          <tpl hier="103" item="5"/>
          <tpl hier="108" item="3"/>
          <tpl hier="113" item="4"/>
        </tpls>
      </m>
      <n v="391">
        <tpls c="7">
          <tpl fld="2" item="1"/>
          <tpl fld="7" item="0"/>
          <tpl hier="98" item="1"/>
          <tpl hier="102" item="4294967295"/>
          <tpl hier="103" item="5"/>
          <tpl hier="108" item="3"/>
          <tpl hier="113" item="4"/>
        </tpls>
      </n>
      <m>
        <tpls c="7">
          <tpl fld="5" item="162"/>
          <tpl fld="4" item="3"/>
          <tpl hier="98" item="1"/>
          <tpl fld="6" item="1"/>
          <tpl hier="103" item="5"/>
          <tpl hier="108" item="3"/>
          <tpl hier="113" item="4"/>
        </tpls>
      </m>
      <n v="0">
        <tpls c="7">
          <tpl fld="2" item="2"/>
          <tpl fld="7" item="0"/>
          <tpl hier="98" item="1"/>
          <tpl hier="102" item="4294967295"/>
          <tpl hier="103" item="5"/>
          <tpl hier="108" item="3"/>
          <tpl hier="113" item="4"/>
        </tpls>
      </n>
      <n v="8">
        <tpls c="7">
          <tpl fld="5" item="167"/>
          <tpl fld="4" item="0"/>
          <tpl hier="98" item="1"/>
          <tpl fld="6" item="1"/>
          <tpl hier="103" item="5"/>
          <tpl hier="108" item="3"/>
          <tpl hier="113" item="4"/>
        </tpls>
      </n>
      <n v="1">
        <tpls c="7">
          <tpl fld="5" item="58"/>
          <tpl fld="4" item="0"/>
          <tpl hier="98" item="1"/>
          <tpl fld="6" item="1"/>
          <tpl hier="103" item="5"/>
          <tpl hier="108" item="3"/>
          <tpl hier="113" item="4"/>
        </tpls>
      </n>
      <m>
        <tpls c="7">
          <tpl fld="5" item="127"/>
          <tpl fld="4" item="1"/>
          <tpl hier="98" item="1"/>
          <tpl fld="6" item="1"/>
          <tpl hier="103" item="5"/>
          <tpl hier="108" item="3"/>
          <tpl hier="113" item="4"/>
        </tpls>
      </m>
      <m>
        <tpls c="7">
          <tpl fld="5" item="14"/>
          <tpl fld="4" item="1"/>
          <tpl hier="98" item="1"/>
          <tpl fld="6" item="1"/>
          <tpl hier="103" item="5"/>
          <tpl hier="108" item="3"/>
          <tpl hier="113" item="4"/>
        </tpls>
      </m>
      <m>
        <tpls c="7">
          <tpl fld="5" item="42"/>
          <tpl fld="4" item="0"/>
          <tpl hier="98" item="1"/>
          <tpl fld="6" item="1"/>
          <tpl hier="103" item="5"/>
          <tpl hier="108" item="3"/>
          <tpl hier="113" item="4"/>
        </tpls>
      </m>
      <n v="104198.3">
        <tpls c="6">
          <tpl fld="2" item="15"/>
          <tpl hier="98" item="1"/>
          <tpl hier="102" item="4294967295"/>
          <tpl hier="103" item="5"/>
          <tpl hier="108" item="3"/>
          <tpl hier="113" item="4"/>
        </tpls>
      </n>
      <m>
        <tpls c="7">
          <tpl fld="5" item="206"/>
          <tpl fld="4" item="0"/>
          <tpl hier="98" item="1"/>
          <tpl fld="6" item="1"/>
          <tpl hier="103" item="5"/>
          <tpl hier="108" item="3"/>
          <tpl hier="113" item="4"/>
        </tpls>
      </m>
      <m>
        <tpls c="7">
          <tpl fld="5" item="208"/>
          <tpl fld="4" item="0"/>
          <tpl hier="98" item="1"/>
          <tpl fld="6" item="1"/>
          <tpl hier="103" item="5"/>
          <tpl hier="108" item="3"/>
          <tpl hier="113" item="4"/>
        </tpls>
      </m>
      <n v="5">
        <tpls c="7">
          <tpl fld="5" item="209"/>
          <tpl fld="4" item="0"/>
          <tpl hier="98" item="1"/>
          <tpl fld="6" item="1"/>
          <tpl hier="103" item="5"/>
          <tpl hier="108" item="3"/>
          <tpl hier="113" item="4"/>
        </tpls>
      </n>
      <m>
        <tpls c="7">
          <tpl fld="5" item="219"/>
          <tpl fld="4" item="0"/>
          <tpl hier="98" item="1"/>
          <tpl fld="6" item="1"/>
          <tpl hier="103" item="5"/>
          <tpl hier="108" item="3"/>
          <tpl hier="113" item="4"/>
        </tpls>
      </m>
      <m>
        <tpls c="7">
          <tpl fld="5" item="220"/>
          <tpl fld="4" item="1"/>
          <tpl hier="98" item="1"/>
          <tpl fld="6" item="1"/>
          <tpl hier="103" item="5"/>
          <tpl hier="108" item="3"/>
          <tpl hier="113" item="4"/>
        </tpls>
      </m>
      <m>
        <tpls c="7">
          <tpl fld="5" item="12"/>
          <tpl fld="4" item="0"/>
          <tpl hier="98" item="1"/>
          <tpl fld="6" item="1"/>
          <tpl hier="103" item="5"/>
          <tpl hier="108" item="3"/>
          <tpl hier="113" item="4"/>
        </tpls>
      </m>
      <m>
        <tpls c="7">
          <tpl fld="5" item="18"/>
          <tpl fld="4" item="1"/>
          <tpl hier="98" item="1"/>
          <tpl fld="6" item="1"/>
          <tpl hier="103" item="5"/>
          <tpl hier="108" item="3"/>
          <tpl hier="113" item="4"/>
        </tpls>
      </m>
      <m>
        <tpls c="7">
          <tpl fld="5" item="139"/>
          <tpl fld="4" item="1"/>
          <tpl hier="98" item="1"/>
          <tpl fld="6" item="1"/>
          <tpl hier="103" item="5"/>
          <tpl hier="108" item="3"/>
          <tpl hier="113" item="4"/>
        </tpls>
      </m>
      <n v="4">
        <tpls c="7">
          <tpl fld="5" item="223"/>
          <tpl fld="4" item="0"/>
          <tpl hier="98" item="1"/>
          <tpl fld="6" item="1"/>
          <tpl hier="103" item="5"/>
          <tpl hier="108" item="3"/>
          <tpl hier="113" item="4"/>
        </tpls>
      </n>
      <m>
        <tpls c="7">
          <tpl fld="5" item="15"/>
          <tpl fld="4" item="1"/>
          <tpl hier="98" item="1"/>
          <tpl fld="6" item="1"/>
          <tpl hier="103" item="5"/>
          <tpl hier="108" item="3"/>
          <tpl hier="113" item="4"/>
        </tpls>
      </m>
      <m>
        <tpls c="7">
          <tpl fld="5" item="45"/>
          <tpl fld="4" item="0"/>
          <tpl hier="98" item="1"/>
          <tpl hier="102" item="4294967295"/>
          <tpl hier="103" item="5"/>
          <tpl hier="108" item="3"/>
          <tpl hier="113" item="4"/>
        </tpls>
      </m>
      <m>
        <tpls c="7">
          <tpl fld="5" item="210"/>
          <tpl fld="4" item="3"/>
          <tpl hier="98" item="1"/>
          <tpl fld="6" item="1"/>
          <tpl hier="103" item="5"/>
          <tpl hier="108" item="3"/>
          <tpl hier="113" item="4"/>
        </tpls>
      </m>
      <n v="29">
        <tpls c="7">
          <tpl fld="5" item="114"/>
          <tpl fld="4" item="0"/>
          <tpl hier="98" item="1"/>
          <tpl fld="6" item="1"/>
          <tpl hier="103" item="5"/>
          <tpl hier="108" item="3"/>
          <tpl hier="113" item="4"/>
        </tpls>
      </n>
      <m>
        <tpls c="7">
          <tpl fld="5" item="155"/>
          <tpl fld="4" item="1"/>
          <tpl hier="98" item="1"/>
          <tpl fld="6" item="1"/>
          <tpl hier="103" item="5"/>
          <tpl hier="108" item="3"/>
          <tpl hier="113" item="4"/>
        </tpls>
      </m>
      <m>
        <tpls c="7">
          <tpl fld="2" item="5"/>
          <tpl fld="7" item="1"/>
          <tpl hier="98" item="1"/>
          <tpl hier="102" item="4294967295"/>
          <tpl hier="103" item="5"/>
          <tpl hier="108" item="3"/>
          <tpl hier="113" item="4"/>
        </tpls>
      </m>
      <n v="0">
        <tpls c="7">
          <tpl fld="5" item="136"/>
          <tpl fld="4" item="0"/>
          <tpl hier="98" item="1"/>
          <tpl hier="102" item="4294967295"/>
          <tpl hier="103" item="5"/>
          <tpl hier="108" item="3"/>
          <tpl hier="113" item="4"/>
        </tpls>
      </n>
      <m>
        <tpls c="7">
          <tpl fld="5" item="98"/>
          <tpl fld="4" item="1"/>
          <tpl hier="98" item="1"/>
          <tpl fld="6" item="1"/>
          <tpl hier="103" item="5"/>
          <tpl hier="108" item="3"/>
          <tpl hier="113" item="4"/>
        </tpls>
      </m>
      <n v="51729.66">
        <tpls c="7">
          <tpl fld="5" item="114"/>
          <tpl fld="4" item="0"/>
          <tpl hier="98" item="1"/>
          <tpl hier="102" item="4294967295"/>
          <tpl hier="103" item="5"/>
          <tpl hier="108" item="3"/>
          <tpl hier="113" item="4"/>
        </tpls>
      </n>
      <m>
        <tpls c="7">
          <tpl fld="5" item="59"/>
          <tpl fld="4" item="0"/>
          <tpl hier="98" item="1"/>
          <tpl fld="6" item="1"/>
          <tpl hier="103" item="5"/>
          <tpl hier="108" item="3"/>
          <tpl hier="113" item="4"/>
        </tpls>
      </m>
      <m>
        <tpls c="7">
          <tpl fld="5" item="10"/>
          <tpl fld="4" item="1"/>
          <tpl hier="98" item="1"/>
          <tpl fld="6" item="1"/>
          <tpl hier="103" item="5"/>
          <tpl hier="108" item="3"/>
          <tpl hier="113" item="4"/>
        </tpls>
      </m>
      <n v="0">
        <tpls c="7">
          <tpl fld="5" item="175"/>
          <tpl fld="4" item="0"/>
          <tpl hier="98" item="1"/>
          <tpl hier="102" item="4294967295"/>
          <tpl hier="103" item="5"/>
          <tpl hier="108" item="3"/>
          <tpl hier="113" item="4"/>
        </tpls>
      </n>
      <m>
        <tpls c="7">
          <tpl fld="5" item="48"/>
          <tpl fld="4" item="0"/>
          <tpl hier="98" item="1"/>
          <tpl fld="6" item="1"/>
          <tpl hier="103" item="5"/>
          <tpl hier="108" item="3"/>
          <tpl hier="113" item="4"/>
        </tpls>
      </m>
      <m>
        <tpls c="7">
          <tpl fld="5" item="126"/>
          <tpl fld="4" item="1"/>
          <tpl hier="98" item="1"/>
          <tpl fld="6" item="1"/>
          <tpl hier="103" item="5"/>
          <tpl hier="108" item="3"/>
          <tpl hier="113" item="4"/>
        </tpls>
      </m>
      <m>
        <tpls c="7">
          <tpl fld="5" item="142"/>
          <tpl fld="4" item="0"/>
          <tpl hier="98" item="1"/>
          <tpl fld="6" item="1"/>
          <tpl hier="103" item="5"/>
          <tpl hier="108" item="3"/>
          <tpl hier="113" item="4"/>
        </tpls>
      </m>
      <m>
        <tpls c="7">
          <tpl fld="5" item="81"/>
          <tpl fld="4" item="1"/>
          <tpl hier="98" item="1"/>
          <tpl fld="6" item="1"/>
          <tpl hier="103" item="5"/>
          <tpl hier="108" item="3"/>
          <tpl hier="113" item="4"/>
        </tpls>
      </m>
      <n v="1183039.4100000001">
        <tpls c="7">
          <tpl fld="5" item="23"/>
          <tpl fld="4" item="0"/>
          <tpl hier="98" item="1"/>
          <tpl hier="102" item="4294967295"/>
          <tpl hier="103" item="5"/>
          <tpl hier="108" item="3"/>
          <tpl hier="113" item="4"/>
        </tpls>
      </n>
      <m>
        <tpls c="7">
          <tpl fld="5" item="141"/>
          <tpl fld="4" item="0"/>
          <tpl hier="98" item="1"/>
          <tpl fld="6" item="1"/>
          <tpl hier="103" item="5"/>
          <tpl hier="108" item="3"/>
          <tpl hier="113" item="4"/>
        </tpls>
      </m>
      <m>
        <tpls c="7">
          <tpl fld="5" item="123"/>
          <tpl fld="4" item="0"/>
          <tpl hier="98" item="1"/>
          <tpl fld="6" item="1"/>
          <tpl hier="103" item="5"/>
          <tpl hier="108" item="3"/>
          <tpl hier="113" item="4"/>
        </tpls>
      </m>
      <m>
        <tpls c="7">
          <tpl fld="2" item="2"/>
          <tpl fld="7" item="1"/>
          <tpl hier="98" item="1"/>
          <tpl hier="102" item="4294967295"/>
          <tpl hier="103" item="5"/>
          <tpl hier="108" item="3"/>
          <tpl hier="113" item="4"/>
        </tpls>
      </m>
      <m>
        <tpls c="7">
          <tpl fld="5" item="143"/>
          <tpl fld="4" item="0"/>
          <tpl hier="98" item="1"/>
          <tpl fld="6" item="1"/>
          <tpl hier="103" item="5"/>
          <tpl hier="108" item="3"/>
          <tpl hier="113" item="4"/>
        </tpls>
      </m>
      <m>
        <tpls c="7">
          <tpl fld="5" item="129"/>
          <tpl fld="4" item="0"/>
          <tpl hier="98" item="1"/>
          <tpl fld="6" item="1"/>
          <tpl hier="103" item="5"/>
          <tpl hier="108" item="3"/>
          <tpl hier="113" item="4"/>
        </tpls>
      </m>
      <n v="3468">
        <tpls c="7">
          <tpl fld="2" item="7"/>
          <tpl fld="7" item="1"/>
          <tpl hier="98" item="1"/>
          <tpl hier="102" item="4294967295"/>
          <tpl hier="103" item="5"/>
          <tpl hier="108" item="3"/>
          <tpl hier="113" item="4"/>
        </tpls>
      </n>
      <m>
        <tpls c="7">
          <tpl fld="5" item="33"/>
          <tpl fld="4" item="0"/>
          <tpl hier="98" item="1"/>
          <tpl hier="102" item="4294967295"/>
          <tpl hier="103" item="5"/>
          <tpl hier="108" item="3"/>
          <tpl hier="113" item="4"/>
        </tpls>
      </m>
      <n v="3547.85">
        <tpls c="7">
          <tpl fld="5" item="153"/>
          <tpl fld="4" item="0"/>
          <tpl hier="98" item="1"/>
          <tpl hier="102" item="4294967295"/>
          <tpl hier="103" item="5"/>
          <tpl hier="108" item="3"/>
          <tpl hier="113" item="4"/>
        </tpls>
      </n>
      <m>
        <tpls c="7">
          <tpl fld="5" item="51"/>
          <tpl fld="4" item="0"/>
          <tpl hier="98" item="1"/>
          <tpl fld="6" item="1"/>
          <tpl hier="103" item="5"/>
          <tpl hier="108" item="3"/>
          <tpl hier="113" item="4"/>
        </tpls>
      </m>
      <m>
        <tpls c="7">
          <tpl fld="5" item="146"/>
          <tpl fld="4" item="0"/>
          <tpl hier="98" item="1"/>
          <tpl hier="102" item="4294967295"/>
          <tpl hier="103" item="5"/>
          <tpl hier="108" item="3"/>
          <tpl hier="113" item="4"/>
        </tpls>
      </m>
      <m>
        <tpls c="7">
          <tpl fld="5" item="174"/>
          <tpl fld="4" item="0"/>
          <tpl hier="98" item="1"/>
          <tpl hier="102" item="4294967295"/>
          <tpl hier="103" item="5"/>
          <tpl hier="108" item="3"/>
          <tpl hier="113" item="4"/>
        </tpls>
      </m>
      <m>
        <tpls c="7">
          <tpl fld="5" item="176"/>
          <tpl fld="4" item="1"/>
          <tpl hier="98" item="1"/>
          <tpl hier="102" item="4294967295"/>
          <tpl hier="103" item="5"/>
          <tpl hier="108" item="3"/>
          <tpl hier="113" item="4"/>
        </tpls>
      </m>
      <n v="136.35">
        <tpls c="7">
          <tpl fld="5" item="181"/>
          <tpl fld="4" item="0"/>
          <tpl hier="98" item="1"/>
          <tpl hier="102" item="4294967295"/>
          <tpl hier="103" item="5"/>
          <tpl hier="108" item="3"/>
          <tpl hier="113" item="4"/>
        </tpls>
      </n>
      <m>
        <tpls c="7">
          <tpl fld="5" item="28"/>
          <tpl fld="4" item="1"/>
          <tpl hier="98" item="1"/>
          <tpl hier="102" item="4294967295"/>
          <tpl hier="103" item="5"/>
          <tpl hier="108" item="3"/>
          <tpl hier="113" item="4"/>
        </tpls>
      </m>
      <m>
        <tpls c="7">
          <tpl fld="5" item="45"/>
          <tpl fld="4" item="0"/>
          <tpl hier="98" item="1"/>
          <tpl fld="6" item="1"/>
          <tpl hier="103" item="5"/>
          <tpl hier="108" item="3"/>
          <tpl hier="113" item="4"/>
        </tpls>
      </m>
      <n v="36">
        <tpls c="7">
          <tpl fld="5" item="70"/>
          <tpl fld="4" item="0"/>
          <tpl hier="98" item="1"/>
          <tpl fld="6" item="1"/>
          <tpl hier="103" item="5"/>
          <tpl hier="108" item="3"/>
          <tpl hier="113" item="4"/>
        </tpls>
      </n>
      <m>
        <tpls c="7">
          <tpl fld="5" item="166"/>
          <tpl fld="4" item="3"/>
          <tpl hier="98" item="1"/>
          <tpl hier="102" item="4294967295"/>
          <tpl hier="103" item="5"/>
          <tpl hier="108" item="3"/>
          <tpl hier="113" item="4"/>
        </tpls>
      </m>
      <m>
        <tpls c="7">
          <tpl fld="5" item="152"/>
          <tpl fld="4" item="0"/>
          <tpl hier="98" item="1"/>
          <tpl hier="102" item="4294967295"/>
          <tpl hier="103" item="5"/>
          <tpl hier="108" item="3"/>
          <tpl hier="113" item="4"/>
        </tpls>
      </m>
      <m>
        <tpls c="7">
          <tpl fld="5" item="238"/>
          <tpl fld="4" item="1"/>
          <tpl hier="98" item="1"/>
          <tpl fld="6" item="1"/>
          <tpl hier="103" item="5"/>
          <tpl hier="108" item="3"/>
          <tpl hier="113" item="4"/>
        </tpls>
      </m>
      <m>
        <tpls c="7">
          <tpl fld="5" item="240"/>
          <tpl fld="4" item="1"/>
          <tpl hier="98" item="1"/>
          <tpl fld="6" item="1"/>
          <tpl hier="103" item="5"/>
          <tpl hier="108" item="3"/>
          <tpl hier="113" item="4"/>
        </tpls>
      </m>
      <n v="1">
        <tpls c="7">
          <tpl fld="5" item="241"/>
          <tpl fld="4" item="0"/>
          <tpl hier="98" item="1"/>
          <tpl fld="6" item="1"/>
          <tpl hier="103" item="5"/>
          <tpl hier="108" item="3"/>
          <tpl hier="113" item="4"/>
        </tpls>
      </n>
      <n v="1">
        <tpls c="7">
          <tpl fld="5" item="242"/>
          <tpl fld="4" item="0"/>
          <tpl hier="98" item="1"/>
          <tpl fld="6" item="1"/>
          <tpl hier="103" item="5"/>
          <tpl hier="108" item="3"/>
          <tpl hier="113" item="4"/>
        </tpls>
      </n>
      <n v="1">
        <tpls c="7">
          <tpl fld="5" item="136"/>
          <tpl fld="4" item="0"/>
          <tpl hier="98" item="1"/>
          <tpl fld="6" item="1"/>
          <tpl hier="103" item="5"/>
          <tpl hier="108" item="3"/>
          <tpl hier="113" item="4"/>
        </tpls>
      </n>
      <m>
        <tpls c="7">
          <tpl fld="5" item="244"/>
          <tpl fld="4" item="0"/>
          <tpl hier="98" item="1"/>
          <tpl fld="6" item="1"/>
          <tpl hier="103" item="5"/>
          <tpl hier="108" item="3"/>
          <tpl hier="113" item="4"/>
        </tpls>
      </m>
      <m>
        <tpls c="7">
          <tpl fld="5" item="73"/>
          <tpl fld="4" item="0"/>
          <tpl hier="98" item="1"/>
          <tpl fld="6" item="1"/>
          <tpl hier="103" item="5"/>
          <tpl hier="108" item="3"/>
          <tpl hier="113" item="4"/>
        </tpls>
      </m>
      <m>
        <tpls c="7">
          <tpl fld="5" item="246"/>
          <tpl fld="4" item="0"/>
          <tpl hier="98" item="1"/>
          <tpl hier="102" item="4294967295"/>
          <tpl hier="103" item="5"/>
          <tpl hier="108" item="3"/>
          <tpl hier="113" item="4"/>
        </tpls>
      </m>
      <n v="179301.52000000002">
        <tpls c="7">
          <tpl fld="5" item="247"/>
          <tpl fld="4" item="0"/>
          <tpl hier="98" item="1"/>
          <tpl hier="102" item="4294967295"/>
          <tpl hier="103" item="5"/>
          <tpl hier="108" item="3"/>
          <tpl hier="113" item="4"/>
        </tpls>
      </n>
      <m>
        <tpls c="7">
          <tpl fld="5" item="147"/>
          <tpl fld="4" item="1"/>
          <tpl hier="98" item="1"/>
          <tpl hier="102" item="4294967295"/>
          <tpl hier="103" item="5"/>
          <tpl hier="108" item="3"/>
          <tpl hier="113" item="4"/>
        </tpls>
      </m>
      <m>
        <tpls c="7">
          <tpl fld="5" item="93"/>
          <tpl fld="4" item="0"/>
          <tpl hier="98" item="1"/>
          <tpl hier="102" item="4294967295"/>
          <tpl hier="103" item="5"/>
          <tpl hier="108" item="3"/>
          <tpl hier="113" item="4"/>
        </tpls>
      </m>
      <m>
        <tpls c="7">
          <tpl fld="5" item="63"/>
          <tpl fld="4" item="0"/>
          <tpl hier="98" item="1"/>
          <tpl fld="6" item="1"/>
          <tpl hier="103" item="5"/>
          <tpl hier="108" item="3"/>
          <tpl hier="113" item="4"/>
        </tpls>
      </m>
      <n v="1">
        <tpls c="7">
          <tpl fld="5" item="74"/>
          <tpl fld="4" item="0"/>
          <tpl hier="98" item="1"/>
          <tpl fld="6" item="1"/>
          <tpl hier="103" item="5"/>
          <tpl hier="108" item="3"/>
          <tpl hier="113" item="4"/>
        </tpls>
      </n>
      <m>
        <tpls c="7">
          <tpl fld="5" item="163"/>
          <tpl fld="4" item="0"/>
          <tpl hier="98" item="1"/>
          <tpl fld="6" item="1"/>
          <tpl hier="103" item="5"/>
          <tpl hier="108" item="3"/>
          <tpl hier="113" item="4"/>
        </tpls>
      </m>
      <m>
        <tpls c="7">
          <tpl fld="5" item="68"/>
          <tpl fld="4" item="0"/>
          <tpl hier="98" item="1"/>
          <tpl fld="6" item="1"/>
          <tpl hier="103" item="5"/>
          <tpl hier="108" item="3"/>
          <tpl hier="113" item="4"/>
        </tpls>
      </m>
      <m>
        <tpls c="7">
          <tpl fld="5" item="93"/>
          <tpl fld="4" item="0"/>
          <tpl hier="98" item="1"/>
          <tpl fld="6" item="1"/>
          <tpl hier="103" item="5"/>
          <tpl hier="108" item="3"/>
          <tpl hier="113" item="4"/>
        </tpls>
      </m>
      <m>
        <tpls c="7">
          <tpl fld="2" item="13"/>
          <tpl fld="7" item="2"/>
          <tpl hier="98" item="1"/>
          <tpl hier="102" item="4294967295"/>
          <tpl hier="103" item="5"/>
          <tpl hier="108" item="3"/>
          <tpl hier="113" item="4"/>
        </tpls>
      </m>
      <n v="0">
        <tpls c="7">
          <tpl fld="5" item="64"/>
          <tpl fld="4" item="0"/>
          <tpl hier="98" item="1"/>
          <tpl hier="102" item="4294967295"/>
          <tpl hier="103" item="5"/>
          <tpl hier="108" item="3"/>
          <tpl hier="113" item="4"/>
        </tpls>
      </n>
      <m>
        <tpls c="7">
          <tpl fld="5" item="24"/>
          <tpl fld="4" item="0"/>
          <tpl hier="98" item="1"/>
          <tpl fld="6" item="1"/>
          <tpl hier="103" item="5"/>
          <tpl hier="108" item="3"/>
          <tpl hier="113" item="4"/>
        </tpls>
      </m>
      <n v="0">
        <tpls c="7">
          <tpl fld="5" item="121"/>
          <tpl fld="4" item="0"/>
          <tpl hier="98" item="1"/>
          <tpl hier="102" item="4294967295"/>
          <tpl hier="103" item="5"/>
          <tpl hier="108" item="3"/>
          <tpl hier="113" item="4"/>
        </tpls>
      </n>
      <n v="3">
        <tpls c="7">
          <tpl fld="5" item="102"/>
          <tpl fld="4" item="0"/>
          <tpl hier="98" item="1"/>
          <tpl fld="6" item="1"/>
          <tpl hier="103" item="5"/>
          <tpl hier="108" item="3"/>
          <tpl hier="113" item="4"/>
        </tpls>
      </n>
      <m>
        <tpls c="7">
          <tpl fld="5" item="80"/>
          <tpl fld="4" item="0"/>
          <tpl hier="98" item="1"/>
          <tpl hier="102" item="4294967295"/>
          <tpl hier="103" item="5"/>
          <tpl hier="108" item="3"/>
          <tpl hier="113" item="4"/>
        </tpls>
      </m>
      <m>
        <tpls c="7">
          <tpl fld="5" item="258"/>
          <tpl fld="4" item="0"/>
          <tpl hier="98" item="1"/>
          <tpl hier="102" item="4294967295"/>
          <tpl hier="103" item="5"/>
          <tpl hier="108" item="3"/>
          <tpl hier="113" item="4"/>
        </tpls>
      </m>
      <m>
        <tpls c="7">
          <tpl fld="2" item="9"/>
          <tpl fld="7" item="1"/>
          <tpl hier="98" item="1"/>
          <tpl hier="102" item="4294967295"/>
          <tpl hier="103" item="5"/>
          <tpl hier="108" item="3"/>
          <tpl hier="113" item="4"/>
        </tpls>
      </m>
      <n v="47">
        <tpls c="7">
          <tpl fld="5" item="44"/>
          <tpl fld="4" item="0"/>
          <tpl hier="98" item="1"/>
          <tpl fld="6" item="1"/>
          <tpl hier="103" item="5"/>
          <tpl hier="108" item="3"/>
          <tpl hier="113" item="4"/>
        </tpls>
      </n>
      <m>
        <tpls c="7">
          <tpl fld="5" item="194"/>
          <tpl fld="4" item="1"/>
          <tpl hier="98" item="1"/>
          <tpl fld="6" item="1"/>
          <tpl hier="103" item="5"/>
          <tpl hier="108" item="3"/>
          <tpl hier="113" item="4"/>
        </tpls>
      </m>
      <m>
        <tpls c="7">
          <tpl fld="5" item="249"/>
          <tpl fld="4" item="1"/>
          <tpl hier="98" item="1"/>
          <tpl hier="102" item="4294967295"/>
          <tpl hier="103" item="5"/>
          <tpl hier="108" item="3"/>
          <tpl hier="113" item="4"/>
        </tpls>
      </m>
      <n v="0">
        <tpls c="7">
          <tpl fld="5" item="170"/>
          <tpl fld="4" item="0"/>
          <tpl hier="98" item="1"/>
          <tpl hier="102" item="4294967295"/>
          <tpl hier="103" item="5"/>
          <tpl hier="108" item="3"/>
          <tpl hier="113" item="4"/>
        </tpls>
      </n>
      <m>
        <tpls c="7">
          <tpl fld="5" item="148"/>
          <tpl fld="4" item="0"/>
          <tpl hier="98" item="1"/>
          <tpl hier="102" item="4294967295"/>
          <tpl hier="103" item="5"/>
          <tpl hier="108" item="3"/>
          <tpl hier="113" item="4"/>
        </tpls>
      </m>
      <m>
        <tpls c="7">
          <tpl fld="5" item="210"/>
          <tpl fld="4" item="3"/>
          <tpl hier="98" item="1"/>
          <tpl hier="102" item="4294967295"/>
          <tpl hier="103" item="5"/>
          <tpl hier="108" item="3"/>
          <tpl hier="113" item="4"/>
        </tpls>
      </m>
      <n v="12">
        <tpls c="7">
          <tpl fld="5" item="90"/>
          <tpl fld="4" item="0"/>
          <tpl hier="98" item="1"/>
          <tpl fld="6" item="1"/>
          <tpl hier="103" item="5"/>
          <tpl hier="108" item="3"/>
          <tpl hier="113" item="4"/>
        </tpls>
      </n>
      <m>
        <tpls c="7">
          <tpl fld="5" item="66"/>
          <tpl fld="4" item="1"/>
          <tpl hier="98" item="1"/>
          <tpl fld="6" item="1"/>
          <tpl hier="103" item="5"/>
          <tpl hier="108" item="3"/>
          <tpl hier="113" item="4"/>
        </tpls>
      </m>
      <m>
        <tpls c="7">
          <tpl fld="5" item="244"/>
          <tpl fld="4" item="0"/>
          <tpl hier="98" item="1"/>
          <tpl hier="102" item="4294967295"/>
          <tpl hier="103" item="5"/>
          <tpl hier="108" item="3"/>
          <tpl hier="113" item="4"/>
        </tpls>
      </m>
      <n v="0">
        <tpls c="7">
          <tpl fld="5" item="78"/>
          <tpl fld="4" item="0"/>
          <tpl hier="98" item="1"/>
          <tpl hier="102" item="4294967295"/>
          <tpl hier="103" item="5"/>
          <tpl hier="108" item="3"/>
          <tpl hier="113" item="4"/>
        </tpls>
      </n>
      <m>
        <tpls c="7">
          <tpl fld="5" item="15"/>
          <tpl fld="4" item="1"/>
          <tpl hier="98" item="1"/>
          <tpl hier="102" item="4294967295"/>
          <tpl hier="103" item="5"/>
          <tpl hier="108" item="3"/>
          <tpl hier="113" item="4"/>
        </tpls>
      </m>
      <m>
        <tpls c="7">
          <tpl fld="5" item="100"/>
          <tpl fld="4" item="0"/>
          <tpl hier="98" item="1"/>
          <tpl fld="6" item="1"/>
          <tpl hier="103" item="5"/>
          <tpl hier="108" item="3"/>
          <tpl hier="113" item="4"/>
        </tpls>
      </m>
      <m>
        <tpls c="7">
          <tpl fld="5" item="105"/>
          <tpl fld="4" item="0"/>
          <tpl hier="98" item="1"/>
          <tpl hier="102" item="4294967295"/>
          <tpl hier="103" item="5"/>
          <tpl hier="108" item="3"/>
          <tpl hier="113" item="4"/>
        </tpls>
      </m>
      <m>
        <tpls c="7">
          <tpl fld="5" item="178"/>
          <tpl fld="4" item="1"/>
          <tpl hier="98" item="1"/>
          <tpl hier="102" item="4294967295"/>
          <tpl hier="103" item="5"/>
          <tpl hier="108" item="3"/>
          <tpl hier="113" item="4"/>
        </tpls>
      </m>
      <m>
        <tpls c="7">
          <tpl fld="5" item="4"/>
          <tpl fld="4" item="3"/>
          <tpl hier="98" item="1"/>
          <tpl fld="6" item="1"/>
          <tpl hier="103" item="5"/>
          <tpl hier="108" item="3"/>
          <tpl hier="113" item="4"/>
        </tpls>
      </m>
      <m>
        <tpls c="7">
          <tpl fld="5" item="72"/>
          <tpl fld="4" item="3"/>
          <tpl hier="98" item="1"/>
          <tpl fld="6" item="1"/>
          <tpl hier="103" item="5"/>
          <tpl hier="108" item="3"/>
          <tpl hier="113" item="4"/>
        </tpls>
      </m>
      <n v="2">
        <tpls c="7">
          <tpl fld="5" item="128"/>
          <tpl fld="4" item="0"/>
          <tpl hier="98" item="1"/>
          <tpl fld="6" item="1"/>
          <tpl hier="103" item="5"/>
          <tpl hier="108" item="3"/>
          <tpl hier="113" item="4"/>
        </tpls>
      </n>
      <m>
        <tpls c="7">
          <tpl fld="5" item="212"/>
          <tpl fld="4" item="1"/>
          <tpl hier="98" item="1"/>
          <tpl hier="102" item="4294967295"/>
          <tpl hier="103" item="5"/>
          <tpl hier="108" item="3"/>
          <tpl hier="113" item="4"/>
        </tpls>
      </m>
      <m>
        <tpls c="7">
          <tpl fld="5" item="228"/>
          <tpl fld="4" item="1"/>
          <tpl hier="98" item="1"/>
          <tpl fld="6" item="1"/>
          <tpl hier="103" item="5"/>
          <tpl hier="108" item="3"/>
          <tpl hier="113" item="4"/>
        </tpls>
      </m>
      <n v="930">
        <tpls c="7">
          <tpl fld="5" item="128"/>
          <tpl fld="4" item="0"/>
          <tpl hier="98" item="1"/>
          <tpl hier="102" item="4294967295"/>
          <tpl hier="103" item="5"/>
          <tpl hier="108" item="3"/>
          <tpl hier="113" item="4"/>
        </tpls>
      </n>
      <m>
        <tpls c="7">
          <tpl fld="5" item="63"/>
          <tpl fld="4" item="0"/>
          <tpl hier="98" item="1"/>
          <tpl hier="102" item="4294967295"/>
          <tpl hier="103" item="5"/>
          <tpl hier="108" item="3"/>
          <tpl hier="113" item="4"/>
        </tpls>
      </m>
      <n v="0">
        <tpls c="7">
          <tpl fld="5" item="200"/>
          <tpl fld="4" item="0"/>
          <tpl hier="98" item="1"/>
          <tpl hier="102" item="4294967295"/>
          <tpl hier="103" item="5"/>
          <tpl hier="108" item="3"/>
          <tpl hier="113" item="4"/>
        </tpls>
      </n>
      <m>
        <tpls c="7">
          <tpl fld="5" item="256"/>
          <tpl fld="4" item="3"/>
          <tpl hier="98" item="1"/>
          <tpl fld="6" item="1"/>
          <tpl hier="103" item="5"/>
          <tpl hier="108" item="3"/>
          <tpl hier="113" item="4"/>
        </tpls>
      </m>
      <n v="2">
        <tpls c="7">
          <tpl fld="5" item="243"/>
          <tpl fld="4" item="0"/>
          <tpl hier="98" item="1"/>
          <tpl fld="6" item="1"/>
          <tpl hier="103" item="5"/>
          <tpl hier="108" item="3"/>
          <tpl hier="113" item="4"/>
        </tpls>
      </n>
      <m>
        <tpls c="7">
          <tpl fld="5" item="92"/>
          <tpl fld="4" item="1"/>
          <tpl hier="98" item="1"/>
          <tpl hier="102" item="4294967295"/>
          <tpl hier="103" item="5"/>
          <tpl hier="108" item="3"/>
          <tpl hier="113" item="4"/>
        </tpls>
      </m>
      <m>
        <tpls c="7">
          <tpl fld="5" item="129"/>
          <tpl fld="4" item="0"/>
          <tpl hier="98" item="1"/>
          <tpl hier="102" item="4294967295"/>
          <tpl hier="103" item="5"/>
          <tpl hier="108" item="3"/>
          <tpl hier="113" item="4"/>
        </tpls>
      </m>
      <m>
        <tpls c="7">
          <tpl fld="5" item="98"/>
          <tpl fld="4" item="1"/>
          <tpl hier="98" item="1"/>
          <tpl hier="102" item="4294967295"/>
          <tpl hier="103" item="5"/>
          <tpl hier="108" item="3"/>
          <tpl hier="113" item="4"/>
        </tpls>
      </m>
      <n v="14">
        <tpls c="7">
          <tpl fld="5" item="187"/>
          <tpl fld="4" item="0"/>
          <tpl hier="98" item="1"/>
          <tpl fld="6" item="1"/>
          <tpl hier="103" item="5"/>
          <tpl hier="108" item="3"/>
          <tpl hier="113" item="4"/>
        </tpls>
      </n>
      <m>
        <tpls c="7">
          <tpl fld="5" item="142"/>
          <tpl fld="4" item="0"/>
          <tpl hier="98" item="1"/>
          <tpl hier="102" item="4294967295"/>
          <tpl hier="103" item="5"/>
          <tpl hier="108" item="3"/>
          <tpl hier="113" item="4"/>
        </tpls>
      </m>
      <m>
        <tpls c="7">
          <tpl fld="5" item="46"/>
          <tpl fld="4" item="1"/>
          <tpl hier="98" item="1"/>
          <tpl hier="102" item="4294967295"/>
          <tpl hier="103" item="5"/>
          <tpl hier="108" item="3"/>
          <tpl hier="113" item="4"/>
        </tpls>
      </m>
      <m>
        <tpls c="7">
          <tpl fld="5" item="86"/>
          <tpl fld="4" item="0"/>
          <tpl hier="98" item="1"/>
          <tpl hier="102" item="4294967295"/>
          <tpl hier="103" item="5"/>
          <tpl hier="108" item="3"/>
          <tpl hier="113" item="4"/>
        </tpls>
      </m>
      <m>
        <tpls c="7">
          <tpl fld="5" item="164"/>
          <tpl fld="4" item="0"/>
          <tpl hier="98" item="1"/>
          <tpl fld="6" item="1"/>
          <tpl hier="103" item="5"/>
          <tpl hier="108" item="3"/>
          <tpl hier="113" item="4"/>
        </tpls>
      </m>
      <n v="2003.85">
        <tpls c="6">
          <tpl fld="2" item="8"/>
          <tpl hier="98" item="1"/>
          <tpl hier="102" item="4294967295"/>
          <tpl hier="103" item="5"/>
          <tpl hier="108" item="3"/>
          <tpl hier="113" item="4"/>
        </tpls>
      </n>
      <m>
        <tpls c="7">
          <tpl fld="5" item="1"/>
          <tpl fld="4" item="3"/>
          <tpl hier="98" item="1"/>
          <tpl hier="102" item="4294967295"/>
          <tpl hier="103" item="5"/>
          <tpl hier="108" item="3"/>
          <tpl hier="113" item="4"/>
        </tpls>
      </m>
      <m>
        <tpls c="7">
          <tpl fld="5" item="22"/>
          <tpl fld="4" item="0"/>
          <tpl hier="98" item="1"/>
          <tpl hier="102" item="4294967295"/>
          <tpl hier="103" item="5"/>
          <tpl hier="108" item="3"/>
          <tpl hier="113" item="4"/>
        </tpls>
      </m>
      <m>
        <tpls c="7">
          <tpl fld="5" item="264"/>
          <tpl fld="4" item="1"/>
          <tpl hier="98" item="1"/>
          <tpl fld="6" item="1"/>
          <tpl hier="103" item="5"/>
          <tpl hier="108" item="3"/>
          <tpl hier="113" item="4"/>
        </tpls>
      </m>
      <m>
        <tpls c="7">
          <tpl fld="5" item="130"/>
          <tpl fld="4" item="1"/>
          <tpl hier="98" item="1"/>
          <tpl fld="6" item="1"/>
          <tpl hier="103" item="5"/>
          <tpl hier="108" item="3"/>
          <tpl hier="113" item="4"/>
        </tpls>
      </m>
      <m>
        <tpls c="7">
          <tpl fld="5" item="113"/>
          <tpl fld="4" item="1"/>
          <tpl hier="98" item="1"/>
          <tpl fld="6" item="1"/>
          <tpl hier="103" item="5"/>
          <tpl hier="108" item="3"/>
          <tpl hier="113" item="4"/>
        </tpls>
      </m>
      <m>
        <tpls c="7">
          <tpl fld="5" item="190"/>
          <tpl fld="4" item="1"/>
          <tpl hier="98" item="1"/>
          <tpl fld="6" item="1"/>
          <tpl hier="103" item="5"/>
          <tpl hier="108" item="3"/>
          <tpl hier="113" item="4"/>
        </tpls>
      </m>
      <m>
        <tpls c="7">
          <tpl fld="2" item="10"/>
          <tpl fld="7" item="2"/>
          <tpl hier="98" item="1"/>
          <tpl hier="102" item="4294967295"/>
          <tpl hier="103" item="5"/>
          <tpl hier="108" item="3"/>
          <tpl hier="113" item="4"/>
        </tpls>
      </m>
      <n v="0">
        <tpls c="7">
          <tpl fld="5" item="149"/>
          <tpl fld="4" item="0"/>
          <tpl hier="98" item="1"/>
          <tpl hier="102" item="4294967295"/>
          <tpl hier="103" item="5"/>
          <tpl hier="108" item="3"/>
          <tpl hier="113" item="4"/>
        </tpls>
      </n>
      <m>
        <tpls c="7">
          <tpl fld="5" item="177"/>
          <tpl fld="4" item="1"/>
          <tpl hier="98" item="1"/>
          <tpl hier="102" item="4294967295"/>
          <tpl hier="103" item="5"/>
          <tpl hier="108" item="3"/>
          <tpl hier="113" item="4"/>
        </tpls>
      </m>
      <n v="56">
        <tpls c="7">
          <tpl fld="5" item="86"/>
          <tpl fld="4" item="2"/>
          <tpl hier="98" item="1"/>
          <tpl fld="6" item="1"/>
          <tpl hier="103" item="5"/>
          <tpl hier="108" item="3"/>
          <tpl hier="113" item="4"/>
        </tpls>
      </n>
      <m>
        <tpls c="7">
          <tpl fld="5" item="96"/>
          <tpl fld="4" item="1"/>
          <tpl hier="98" item="1"/>
          <tpl fld="6" item="1"/>
          <tpl hier="103" item="5"/>
          <tpl hier="108" item="3"/>
          <tpl hier="113" item="4"/>
        </tpls>
      </m>
      <m>
        <tpls c="7">
          <tpl fld="5" item="189"/>
          <tpl fld="4" item="0"/>
          <tpl hier="98" item="1"/>
          <tpl hier="102" item="4294967295"/>
          <tpl hier="103" item="5"/>
          <tpl hier="108" item="3"/>
          <tpl hier="113" item="4"/>
        </tpls>
      </m>
      <n v="0">
        <tpls c="7">
          <tpl fld="5" item="185"/>
          <tpl fld="4" item="0"/>
          <tpl hier="98" item="1"/>
          <tpl hier="102" item="4294967295"/>
          <tpl hier="103" item="5"/>
          <tpl hier="108" item="3"/>
          <tpl hier="113" item="4"/>
        </tpls>
      </n>
      <m>
        <tpls c="7">
          <tpl fld="5" item="196"/>
          <tpl fld="4" item="1"/>
          <tpl hier="98" item="1"/>
          <tpl fld="6" item="1"/>
          <tpl hier="103" item="5"/>
          <tpl hier="108" item="3"/>
          <tpl hier="113" item="4"/>
        </tpls>
      </m>
      <n v="0">
        <tpls c="7">
          <tpl fld="5" item="197"/>
          <tpl fld="4" item="0"/>
          <tpl hier="98" item="1"/>
          <tpl hier="102" item="4294967295"/>
          <tpl hier="103" item="5"/>
          <tpl hier="108" item="3"/>
          <tpl hier="113" item="4"/>
        </tpls>
      </n>
      <n v="2656">
        <tpls c="6">
          <tpl fld="2" item="6"/>
          <tpl hier="98" item="1"/>
          <tpl hier="102" item="4294967295"/>
          <tpl hier="103" item="5"/>
          <tpl hier="108" item="3"/>
          <tpl hier="113" item="4"/>
        </tpls>
      </n>
      <m>
        <tpls c="7">
          <tpl fld="5" item="47"/>
          <tpl fld="4" item="0"/>
          <tpl hier="98" item="1"/>
          <tpl hier="102" item="4294967295"/>
          <tpl hier="103" item="5"/>
          <tpl hier="108" item="3"/>
          <tpl hier="113" item="4"/>
        </tpls>
      </m>
      <m>
        <tpls c="7">
          <tpl fld="5" item="7"/>
          <tpl fld="4" item="1"/>
          <tpl hier="98" item="1"/>
          <tpl hier="102" item="4294967295"/>
          <tpl hier="103" item="5"/>
          <tpl hier="108" item="3"/>
          <tpl hier="113" item="4"/>
        </tpls>
      </m>
      <m>
        <tpls c="7">
          <tpl fld="5" item="91"/>
          <tpl fld="4" item="0"/>
          <tpl hier="98" item="1"/>
          <tpl fld="6" item="1"/>
          <tpl hier="103" item="5"/>
          <tpl hier="108" item="3"/>
          <tpl hier="113" item="4"/>
        </tpls>
      </m>
      <m>
        <tpls c="7">
          <tpl fld="5" item="229"/>
          <tpl fld="4" item="0"/>
          <tpl hier="98" item="1"/>
          <tpl hier="102" item="4294967295"/>
          <tpl hier="103" item="5"/>
          <tpl hier="108" item="3"/>
          <tpl hier="113" item="4"/>
        </tpls>
      </m>
      <m>
        <tpls c="7">
          <tpl fld="5" item="226"/>
          <tpl fld="4" item="1"/>
          <tpl hier="98" item="1"/>
          <tpl fld="6" item="1"/>
          <tpl hier="103" item="5"/>
          <tpl hier="108" item="3"/>
          <tpl hier="113" item="4"/>
        </tpls>
      </m>
      <m>
        <tpls c="7">
          <tpl fld="5" item="261"/>
          <tpl fld="4" item="1"/>
          <tpl hier="98" item="1"/>
          <tpl fld="6" item="1"/>
          <tpl hier="103" item="5"/>
          <tpl hier="108" item="3"/>
          <tpl hier="113" item="4"/>
        </tpls>
      </m>
      <n v="1630277.9300000004">
        <tpls c="6">
          <tpl fld="2" item="0"/>
          <tpl hier="98" item="1"/>
          <tpl hier="102" item="4294967295"/>
          <tpl hier="103" item="5"/>
          <tpl hier="108" item="3"/>
          <tpl hier="113" item="4"/>
        </tpls>
      </n>
      <m>
        <tpls c="7">
          <tpl fld="5" item="204"/>
          <tpl fld="4" item="1"/>
          <tpl hier="98" item="1"/>
          <tpl hier="102" item="4294967295"/>
          <tpl hier="103" item="5"/>
          <tpl hier="108" item="3"/>
          <tpl hier="113" item="4"/>
        </tpls>
      </m>
      <m>
        <tpls c="7">
          <tpl fld="5" item="246"/>
          <tpl fld="4" item="0"/>
          <tpl hier="98" item="1"/>
          <tpl fld="6" item="1"/>
          <tpl hier="103" item="5"/>
          <tpl hier="108" item="3"/>
          <tpl hier="113" item="4"/>
        </tpls>
      </m>
      <m>
        <tpls c="7">
          <tpl fld="5" item="90"/>
          <tpl fld="4" item="2"/>
          <tpl hier="98" item="1"/>
          <tpl hier="102" item="4294967295"/>
          <tpl hier="103" item="5"/>
          <tpl hier="108" item="3"/>
          <tpl hier="113" item="4"/>
        </tpls>
      </m>
      <n v="14595.65">
        <tpls c="6">
          <tpl fld="2" item="13"/>
          <tpl hier="98" item="1"/>
          <tpl hier="102" item="4294967295"/>
          <tpl hier="103" item="5"/>
          <tpl hier="108" item="3"/>
          <tpl hier="113" item="4"/>
        </tpls>
      </n>
      <m>
        <tpls c="7">
          <tpl fld="5" item="199"/>
          <tpl fld="4" item="1"/>
          <tpl hier="98" item="1"/>
          <tpl hier="102" item="4294967295"/>
          <tpl hier="103" item="5"/>
          <tpl hier="108" item="3"/>
          <tpl hier="113" item="4"/>
        </tpls>
      </m>
      <m>
        <tpls c="7">
          <tpl fld="5" item="255"/>
          <tpl fld="4" item="1"/>
          <tpl hier="98" item="1"/>
          <tpl fld="6" item="1"/>
          <tpl hier="103" item="5"/>
          <tpl hier="108" item="3"/>
          <tpl hier="113" item="4"/>
        </tpls>
      </m>
      <m>
        <tpls c="7">
          <tpl fld="5" item="232"/>
          <tpl fld="4" item="0"/>
          <tpl hier="98" item="1"/>
          <tpl hier="102" item="4294967295"/>
          <tpl hier="103" item="5"/>
          <tpl hier="108" item="3"/>
          <tpl hier="113" item="4"/>
        </tpls>
      </m>
      <m>
        <tpls c="7">
          <tpl fld="5" item="262"/>
          <tpl fld="4" item="1"/>
          <tpl hier="98" item="1"/>
          <tpl hier="102" item="4294967295"/>
          <tpl hier="103" item="5"/>
          <tpl hier="108" item="3"/>
          <tpl hier="113" item="4"/>
        </tpls>
      </m>
      <m>
        <tpls c="7">
          <tpl fld="5" item="265"/>
          <tpl fld="4" item="0"/>
          <tpl hier="98" item="1"/>
          <tpl hier="102" item="4294967295"/>
          <tpl hier="103" item="5"/>
          <tpl hier="108" item="3"/>
          <tpl hier="113" item="4"/>
        </tpls>
      </m>
      <n v="300">
        <tpls c="7">
          <tpl fld="5" item="217"/>
          <tpl fld="4" item="0"/>
          <tpl hier="98" item="1"/>
          <tpl hier="102" item="4294967295"/>
          <tpl hier="103" item="5"/>
          <tpl hier="108" item="3"/>
          <tpl hier="113" item="4"/>
        </tpls>
      </n>
      <n v="1">
        <tpls c="7">
          <tpl fld="5" item="173"/>
          <tpl fld="4" item="0"/>
          <tpl hier="98" item="1"/>
          <tpl fld="6" item="1"/>
          <tpl hier="103" item="5"/>
          <tpl hier="108" item="3"/>
          <tpl hier="113" item="4"/>
        </tpls>
      </n>
      <n v="17608.21">
        <tpls c="7">
          <tpl fld="5" item="227"/>
          <tpl fld="4" item="0"/>
          <tpl hier="98" item="1"/>
          <tpl hier="102" item="4294967295"/>
          <tpl hier="103" item="5"/>
          <tpl hier="108" item="3"/>
          <tpl hier="113" item="4"/>
        </tpls>
      </n>
      <m>
        <tpls c="7">
          <tpl fld="5" item="82"/>
          <tpl fld="4" item="3"/>
          <tpl hier="98" item="1"/>
          <tpl fld="6" item="1"/>
          <tpl hier="103" item="5"/>
          <tpl hier="108" item="3"/>
          <tpl hier="113" item="4"/>
        </tpls>
      </m>
      <m>
        <tpls c="7">
          <tpl fld="5" item="107"/>
          <tpl fld="4" item="0"/>
          <tpl hier="98" item="1"/>
          <tpl hier="102" item="4294967295"/>
          <tpl hier="103" item="5"/>
          <tpl hier="108" item="3"/>
          <tpl hier="113" item="4"/>
        </tpls>
      </m>
      <m>
        <tpls c="7">
          <tpl fld="5" item="112"/>
          <tpl fld="4" item="0"/>
          <tpl hier="98" item="1"/>
          <tpl hier="102" item="4294967295"/>
          <tpl hier="103" item="5"/>
          <tpl hier="108" item="3"/>
          <tpl hier="113" item="4"/>
        </tpls>
      </m>
      <m>
        <tpls c="7">
          <tpl fld="5" item="180"/>
          <tpl fld="4" item="1"/>
          <tpl hier="98" item="1"/>
          <tpl fld="6" item="1"/>
          <tpl hier="103" item="5"/>
          <tpl hier="108" item="3"/>
          <tpl hier="113" item="4"/>
        </tpls>
      </m>
      <n v="1">
        <tpls c="7">
          <tpl fld="5" item="188"/>
          <tpl fld="4" item="0"/>
          <tpl hier="98" item="1"/>
          <tpl fld="6" item="1"/>
          <tpl hier="103" item="5"/>
          <tpl hier="108" item="3"/>
          <tpl hier="113" item="4"/>
        </tpls>
      </n>
      <m>
        <tpls c="7">
          <tpl fld="5" item="81"/>
          <tpl fld="4" item="1"/>
          <tpl hier="98" item="1"/>
          <tpl hier="102" item="4294967295"/>
          <tpl hier="103" item="5"/>
          <tpl hier="108" item="3"/>
          <tpl hier="113" item="4"/>
        </tpls>
      </m>
      <m>
        <tpls c="7">
          <tpl fld="5" item="220"/>
          <tpl fld="4" item="1"/>
          <tpl hier="98" item="1"/>
          <tpl hier="102" item="4294967295"/>
          <tpl hier="103" item="5"/>
          <tpl hier="108" item="3"/>
          <tpl hier="113" item="4"/>
        </tpls>
      </m>
      <n v="572">
        <tpls c="7">
          <tpl fld="5" item="116"/>
          <tpl fld="4" item="0"/>
          <tpl hier="98" item="1"/>
          <tpl hier="102" item="4294967295"/>
          <tpl hier="103" item="5"/>
          <tpl hier="108" item="3"/>
          <tpl hier="113" item="4"/>
        </tpls>
      </n>
      <m>
        <tpls c="7">
          <tpl fld="5" item="103"/>
          <tpl fld="4" item="0"/>
          <tpl hier="98" item="1"/>
          <tpl fld="6" item="1"/>
          <tpl hier="103" item="5"/>
          <tpl hier="108" item="3"/>
          <tpl hier="113" item="4"/>
        </tpls>
      </m>
      <m>
        <tpls c="7">
          <tpl fld="5" item="224"/>
          <tpl fld="4" item="0"/>
          <tpl hier="98" item="1"/>
          <tpl fld="6" item="1"/>
          <tpl hier="103" item="5"/>
          <tpl hier="108" item="3"/>
          <tpl hier="113" item="4"/>
        </tpls>
      </m>
      <m>
        <tpls c="7">
          <tpl fld="5" item="120"/>
          <tpl fld="4" item="0"/>
          <tpl hier="98" item="1"/>
          <tpl hier="102" item="4294967295"/>
          <tpl hier="103" item="5"/>
          <tpl hier="108" item="3"/>
          <tpl hier="113" item="4"/>
        </tpls>
      </m>
      <m>
        <tpls c="7">
          <tpl fld="5" item="39"/>
          <tpl fld="4" item="1"/>
          <tpl hier="98" item="1"/>
          <tpl hier="102" item="4294967295"/>
          <tpl hier="103" item="5"/>
          <tpl hier="108" item="3"/>
          <tpl hier="113" item="4"/>
        </tpls>
      </m>
      <m>
        <tpls c="7">
          <tpl fld="5" item="137"/>
          <tpl fld="4" item="1"/>
          <tpl hier="98" item="1"/>
          <tpl hier="102" item="4294967295"/>
          <tpl hier="103" item="5"/>
          <tpl hier="108" item="3"/>
          <tpl hier="113" item="4"/>
        </tpls>
      </m>
      <m>
        <tpls c="7">
          <tpl fld="5" item="79"/>
          <tpl fld="4" item="0"/>
          <tpl hier="98" item="1"/>
          <tpl hier="102" item="4294967295"/>
          <tpl hier="103" item="5"/>
          <tpl hier="108" item="3"/>
          <tpl hier="113" item="4"/>
        </tpls>
      </m>
      <m>
        <tpls c="7">
          <tpl fld="5" item="144"/>
          <tpl fld="4" item="1"/>
          <tpl hier="98" item="1"/>
          <tpl hier="102" item="4294967295"/>
          <tpl hier="103" item="5"/>
          <tpl hier="108" item="3"/>
          <tpl hier="113" item="4"/>
        </tpls>
      </m>
      <m>
        <tpls c="7">
          <tpl fld="5" item="19"/>
          <tpl fld="4" item="0"/>
          <tpl hier="98" item="1"/>
          <tpl hier="102" item="4294967295"/>
          <tpl hier="103" item="5"/>
          <tpl hier="108" item="3"/>
          <tpl hier="113" item="4"/>
        </tpls>
      </m>
      <m>
        <tpls c="7">
          <tpl fld="5" item="273"/>
          <tpl fld="4" item="1"/>
          <tpl hier="98" item="1"/>
          <tpl fld="6" item="1"/>
          <tpl hier="103" item="5"/>
          <tpl hier="108" item="3"/>
          <tpl hier="113" item="4"/>
        </tpls>
      </m>
      <m>
        <tpls c="7">
          <tpl fld="5" item="274"/>
          <tpl fld="4" item="1"/>
          <tpl hier="98" item="1"/>
          <tpl hier="102" item="4294967295"/>
          <tpl hier="103" item="5"/>
          <tpl hier="108" item="3"/>
          <tpl hier="113" item="4"/>
        </tpls>
      </m>
      <m>
        <tpls c="7">
          <tpl fld="5" item="27"/>
          <tpl fld="4" item="0"/>
          <tpl hier="98" item="1"/>
          <tpl fld="6" item="1"/>
          <tpl hier="103" item="5"/>
          <tpl hier="108" item="3"/>
          <tpl hier="113" item="4"/>
        </tpls>
      </m>
      <m>
        <tpls c="7">
          <tpl fld="2" item="16"/>
          <tpl fld="7" item="0"/>
          <tpl hier="98" item="1"/>
          <tpl hier="102" item="4294967295"/>
          <tpl hier="103" item="5"/>
          <tpl hier="108" item="3"/>
          <tpl hier="113" item="4"/>
        </tpls>
      </m>
      <m>
        <tpls c="7">
          <tpl fld="5" item="133"/>
          <tpl fld="4" item="0"/>
          <tpl hier="98" item="1"/>
          <tpl fld="6" item="1"/>
          <tpl hier="103" item="5"/>
          <tpl hier="108" item="3"/>
          <tpl hier="113" item="4"/>
        </tpls>
      </m>
      <m>
        <tpls c="7">
          <tpl fld="5" item="77"/>
          <tpl fld="4" item="0"/>
          <tpl hier="98" item="1"/>
          <tpl hier="102" item="4294967295"/>
          <tpl hier="103" item="5"/>
          <tpl hier="108" item="3"/>
          <tpl hier="113" item="4"/>
        </tpls>
      </m>
      <m>
        <tpls c="7">
          <tpl fld="5" item="84"/>
          <tpl fld="4" item="1"/>
          <tpl hier="98" item="1"/>
          <tpl hier="102" item="4294967295"/>
          <tpl hier="103" item="5"/>
          <tpl hier="108" item="3"/>
          <tpl hier="113" item="4"/>
        </tpls>
      </m>
      <m>
        <tpls c="7">
          <tpl fld="5" item="240"/>
          <tpl fld="4" item="1"/>
          <tpl hier="98" item="1"/>
          <tpl hier="102" item="4294967295"/>
          <tpl hier="103" item="5"/>
          <tpl hier="108" item="3"/>
          <tpl hier="113" item="4"/>
        </tpls>
      </m>
      <n v="1">
        <tpls c="7">
          <tpl fld="5" item="49"/>
          <tpl fld="4" item="0"/>
          <tpl hier="98" item="1"/>
          <tpl fld="6" item="1"/>
          <tpl hier="103" item="5"/>
          <tpl hier="108" item="3"/>
          <tpl hier="113" item="4"/>
        </tpls>
      </n>
      <m>
        <tpls c="7">
          <tpl fld="5" item="168"/>
          <tpl fld="4" item="1"/>
          <tpl hier="98" item="1"/>
          <tpl hier="102" item="4294967295"/>
          <tpl hier="103" item="5"/>
          <tpl hier="108" item="3"/>
          <tpl hier="113" item="4"/>
        </tpls>
      </m>
      <m>
        <tpls c="7">
          <tpl fld="5" item="134"/>
          <tpl fld="4" item="0"/>
          <tpl hier="98" item="1"/>
          <tpl hier="102" item="4294967295"/>
          <tpl hier="103" item="5"/>
          <tpl hier="108" item="3"/>
          <tpl hier="113" item="4"/>
        </tpls>
      </m>
      <m>
        <tpls c="7">
          <tpl fld="5" item="135"/>
          <tpl fld="4" item="1"/>
          <tpl hier="98" item="1"/>
          <tpl fld="6" item="1"/>
          <tpl hier="103" item="5"/>
          <tpl hier="108" item="3"/>
          <tpl hier="113" item="4"/>
        </tpls>
      </m>
      <m>
        <tpls c="7">
          <tpl fld="5" item="283"/>
          <tpl fld="4" item="1"/>
          <tpl hier="98" item="1"/>
          <tpl hier="102" item="4294967295"/>
          <tpl hier="103" item="5"/>
          <tpl hier="108" item="3"/>
          <tpl hier="113" item="4"/>
        </tpls>
      </m>
      <n v="3">
        <tpls c="7">
          <tpl fld="5" item="285"/>
          <tpl fld="4" item="0"/>
          <tpl hier="98" item="1"/>
          <tpl fld="6" item="1"/>
          <tpl hier="103" item="5"/>
          <tpl hier="108" item="3"/>
          <tpl hier="113" item="4"/>
        </tpls>
      </n>
      <m>
        <tpls c="7">
          <tpl fld="5" item="53"/>
          <tpl fld="4" item="1"/>
          <tpl hier="98" item="1"/>
          <tpl fld="6" item="1"/>
          <tpl hier="103" item="5"/>
          <tpl hier="108" item="3"/>
          <tpl hier="113" item="4"/>
        </tpls>
      </m>
      <m>
        <tpls c="7">
          <tpl fld="5" item="247"/>
          <tpl fld="4" item="3"/>
          <tpl hier="98" item="1"/>
          <tpl fld="6" item="1"/>
          <tpl hier="103" item="5"/>
          <tpl hier="108" item="3"/>
          <tpl hier="113" item="4"/>
        </tpls>
      </m>
      <n v="0">
        <tpls c="7">
          <tpl fld="5" item="145"/>
          <tpl fld="4" item="0"/>
          <tpl hier="98" item="1"/>
          <tpl hier="102" item="4294967295"/>
          <tpl hier="103" item="5"/>
          <tpl hier="108" item="3"/>
          <tpl hier="113" item="4"/>
        </tpls>
      </n>
      <m>
        <tpls c="7">
          <tpl fld="5" item="39"/>
          <tpl fld="4" item="1"/>
          <tpl hier="98" item="1"/>
          <tpl fld="6" item="1"/>
          <tpl hier="103" item="5"/>
          <tpl hier="108" item="3"/>
          <tpl hier="113" item="4"/>
        </tpls>
      </m>
      <m>
        <tpls c="7">
          <tpl fld="5" item="14"/>
          <tpl fld="4" item="1"/>
          <tpl hier="98" item="1"/>
          <tpl hier="102" item="4294967295"/>
          <tpl hier="103" item="5"/>
          <tpl hier="108" item="3"/>
          <tpl hier="113" item="4"/>
        </tpls>
      </m>
      <m>
        <tpls c="7">
          <tpl fld="5" item="283"/>
          <tpl fld="4" item="1"/>
          <tpl hier="98" item="1"/>
          <tpl fld="6" item="1"/>
          <tpl hier="103" item="5"/>
          <tpl hier="108" item="3"/>
          <tpl hier="113" item="4"/>
        </tpls>
      </m>
      <m>
        <tpls c="7">
          <tpl fld="5" item="140"/>
          <tpl fld="4" item="1"/>
          <tpl hier="98" item="1"/>
          <tpl hier="102" item="4294967295"/>
          <tpl hier="103" item="5"/>
          <tpl hier="108" item="3"/>
          <tpl hier="113" item="4"/>
        </tpls>
      </m>
      <n v="8">
        <tpls c="7">
          <tpl fld="5" item="153"/>
          <tpl fld="4" item="0"/>
          <tpl hier="98" item="1"/>
          <tpl fld="6" item="1"/>
          <tpl hier="103" item="5"/>
          <tpl hier="108" item="3"/>
          <tpl hier="113" item="4"/>
        </tpls>
      </n>
      <m>
        <tpls c="7">
          <tpl fld="5" item="119"/>
          <tpl fld="4" item="1"/>
          <tpl hier="98" item="1"/>
          <tpl fld="6" item="1"/>
          <tpl hier="103" item="5"/>
          <tpl hier="108" item="3"/>
          <tpl hier="113" item="4"/>
        </tpls>
      </m>
      <m>
        <tpls c="7">
          <tpl fld="5" item="62"/>
          <tpl fld="4" item="0"/>
          <tpl hier="98" item="1"/>
          <tpl fld="6" item="1"/>
          <tpl hier="103" item="5"/>
          <tpl hier="108" item="3"/>
          <tpl hier="113" item="4"/>
        </tpls>
      </m>
      <m>
        <tpls c="7">
          <tpl fld="5" item="190"/>
          <tpl fld="4" item="1"/>
          <tpl hier="98" item="1"/>
          <tpl hier="102" item="4294967295"/>
          <tpl hier="103" item="5"/>
          <tpl hier="108" item="3"/>
          <tpl hier="113" item="4"/>
        </tpls>
      </m>
      <m>
        <tpls c="7">
          <tpl fld="5" item="238"/>
          <tpl fld="4" item="1"/>
          <tpl hier="98" item="1"/>
          <tpl hier="102" item="4294967295"/>
          <tpl hier="103" item="5"/>
          <tpl hier="108" item="3"/>
          <tpl hier="113" item="4"/>
        </tpls>
      </m>
      <m>
        <tpls c="7">
          <tpl fld="5" item="112"/>
          <tpl fld="4" item="0"/>
          <tpl hier="98" item="1"/>
          <tpl fld="6" item="2"/>
          <tpl hier="103" item="5"/>
          <tpl hier="108" item="3"/>
          <tpl hier="113" item="4"/>
        </tpls>
      </m>
      <m>
        <tpls c="7">
          <tpl fld="5" item="68"/>
          <tpl fld="4" item="0"/>
          <tpl hier="98" item="1"/>
          <tpl hier="102" item="4294967295"/>
          <tpl hier="103" item="5"/>
          <tpl hier="108" item="3"/>
          <tpl hier="113" item="4"/>
        </tpls>
      </m>
      <m>
        <tpls c="7">
          <tpl fld="5" item="195"/>
          <tpl fld="4" item="0"/>
          <tpl hier="98" item="1"/>
          <tpl hier="102" item="4294967295"/>
          <tpl hier="103" item="5"/>
          <tpl hier="108" item="3"/>
          <tpl hier="113" item="4"/>
        </tpls>
      </m>
      <m>
        <tpls c="7">
          <tpl fld="5" item="133"/>
          <tpl fld="4" item="0"/>
          <tpl hier="98" item="1"/>
          <tpl fld="6" item="2"/>
          <tpl hier="103" item="5"/>
          <tpl hier="108" item="3"/>
          <tpl hier="113" item="4"/>
        </tpls>
      </m>
      <m>
        <tpls c="7">
          <tpl fld="5" item="61"/>
          <tpl fld="4" item="1"/>
          <tpl hier="98" item="1"/>
          <tpl hier="102" item="4294967295"/>
          <tpl hier="103" item="5"/>
          <tpl hier="108" item="3"/>
          <tpl hier="113" item="4"/>
        </tpls>
      </m>
      <n v="6">
        <tpls c="7">
          <tpl fld="5" item="247"/>
          <tpl fld="4" item="0"/>
          <tpl hier="98" item="1"/>
          <tpl fld="6" item="2"/>
          <tpl hier="103" item="5"/>
          <tpl hier="108" item="3"/>
          <tpl hier="113" item="4"/>
        </tpls>
      </n>
      <m>
        <tpls c="7">
          <tpl fld="5" item="288"/>
          <tpl fld="4" item="0"/>
          <tpl hier="98" item="1"/>
          <tpl fld="6" item="1"/>
          <tpl hier="103" item="5"/>
          <tpl hier="108" item="3"/>
          <tpl hier="113" item="4"/>
        </tpls>
      </m>
      <n v="2">
        <tpls c="7">
          <tpl fld="5" item="289"/>
          <tpl fld="4" item="0"/>
          <tpl hier="98" item="1"/>
          <tpl fld="6" item="2"/>
          <tpl hier="103" item="5"/>
          <tpl hier="108" item="3"/>
          <tpl hier="113" item="4"/>
        </tpls>
      </n>
      <m>
        <tpls c="7">
          <tpl fld="5" item="75"/>
          <tpl fld="4" item="0"/>
          <tpl hier="98" item="1"/>
          <tpl hier="102" item="4294967295"/>
          <tpl hier="103" item="5"/>
          <tpl hier="108" item="3"/>
          <tpl hier="113" item="4"/>
        </tpls>
      </m>
      <m>
        <tpls c="7">
          <tpl fld="5" item="33"/>
          <tpl fld="4" item="0"/>
          <tpl hier="98" item="1"/>
          <tpl fld="6" item="1"/>
          <tpl hier="103" item="5"/>
          <tpl hier="108" item="3"/>
          <tpl hier="113" item="4"/>
        </tpls>
      </m>
      <m>
        <tpls c="7">
          <tpl fld="5" item="158"/>
          <tpl fld="4" item="0"/>
          <tpl hier="98" item="1"/>
          <tpl hier="102" item="4294967295"/>
          <tpl hier="103" item="5"/>
          <tpl hier="108" item="3"/>
          <tpl hier="113" item="4"/>
        </tpls>
      </m>
      <n v="10">
        <tpls c="7">
          <tpl fld="5" item="150"/>
          <tpl fld="4" item="0"/>
          <tpl hier="98" item="1"/>
          <tpl fld="6" item="1"/>
          <tpl hier="103" item="5"/>
          <tpl hier="108" item="3"/>
          <tpl hier="113" item="4"/>
        </tpls>
      </n>
      <m>
        <tpls c="7">
          <tpl fld="5" item="290"/>
          <tpl fld="4" item="0"/>
          <tpl hier="98" item="1"/>
          <tpl fld="6" item="2"/>
          <tpl hier="103" item="5"/>
          <tpl hier="108" item="3"/>
          <tpl hier="113" item="4"/>
        </tpls>
      </m>
      <m>
        <tpls c="7">
          <tpl fld="5" item="240"/>
          <tpl fld="4" item="1"/>
          <tpl hier="98" item="1"/>
          <tpl fld="6" item="2"/>
          <tpl hier="103" item="5"/>
          <tpl hier="108" item="3"/>
          <tpl hier="113" item="4"/>
        </tpls>
      </m>
      <m>
        <tpls c="7">
          <tpl fld="5" item="109"/>
          <tpl fld="4" item="0"/>
          <tpl hier="98" item="1"/>
          <tpl hier="102" item="4294967295"/>
          <tpl hier="103" item="5"/>
          <tpl hier="108" item="3"/>
          <tpl hier="113" item="4"/>
        </tpls>
      </m>
      <m>
        <tpls c="7">
          <tpl fld="5" item="5"/>
          <tpl fld="4" item="1"/>
          <tpl hier="98" item="1"/>
          <tpl hier="102" item="4294967295"/>
          <tpl hier="103" item="5"/>
          <tpl hier="108" item="3"/>
          <tpl hier="113" item="4"/>
        </tpls>
      </m>
      <m>
        <tpls c="7">
          <tpl fld="5" item="288"/>
          <tpl fld="4" item="0"/>
          <tpl hier="98" item="1"/>
          <tpl hier="102" item="4294967295"/>
          <tpl hier="103" item="5"/>
          <tpl hier="108" item="3"/>
          <tpl hier="113" item="4"/>
        </tpls>
      </m>
      <m>
        <tpls c="7">
          <tpl fld="5" item="171"/>
          <tpl fld="4" item="0"/>
          <tpl hier="98" item="1"/>
          <tpl hier="102" item="4294967295"/>
          <tpl hier="103" item="5"/>
          <tpl hier="108" item="3"/>
          <tpl hier="113" item="4"/>
        </tpls>
      </m>
      <m>
        <tpls c="7">
          <tpl fld="5" item="68"/>
          <tpl fld="4" item="0"/>
          <tpl hier="98" item="1"/>
          <tpl fld="6" item="2"/>
          <tpl hier="103" item="5"/>
          <tpl hier="108" item="3"/>
          <tpl hier="113" item="4"/>
        </tpls>
      </m>
      <m>
        <tpls c="7">
          <tpl fld="5" item="107"/>
          <tpl fld="4" item="0"/>
          <tpl hier="98" item="1"/>
          <tpl fld="6" item="2"/>
          <tpl hier="103" item="5"/>
          <tpl hier="108" item="3"/>
          <tpl hier="113" item="4"/>
        </tpls>
      </m>
      <m>
        <tpls c="7">
          <tpl fld="5" item="65"/>
          <tpl fld="4" item="1"/>
          <tpl hier="98" item="1"/>
          <tpl hier="102" item="4294967295"/>
          <tpl hier="103" item="5"/>
          <tpl hier="108" item="3"/>
          <tpl hier="113" item="4"/>
        </tpls>
      </m>
      <m>
        <tpls c="7">
          <tpl fld="5" item="86"/>
          <tpl fld="4" item="1"/>
          <tpl hier="98" item="1"/>
          <tpl fld="6" item="1"/>
          <tpl hier="103" item="5"/>
          <tpl hier="108" item="3"/>
          <tpl hier="113" item="4"/>
        </tpls>
      </m>
      <m>
        <tpls c="7">
          <tpl fld="5" item="277"/>
          <tpl fld="4" item="1"/>
          <tpl hier="98" item="1"/>
          <tpl fld="6" item="1"/>
          <tpl hier="103" item="5"/>
          <tpl hier="108" item="3"/>
          <tpl hier="113" item="4"/>
        </tpls>
      </m>
      <m>
        <tpls c="7">
          <tpl fld="5" item="195"/>
          <tpl fld="4" item="0"/>
          <tpl hier="98" item="1"/>
          <tpl fld="6" item="1"/>
          <tpl hier="103" item="5"/>
          <tpl hier="108" item="3"/>
          <tpl hier="113" item="4"/>
        </tpls>
      </m>
      <n v="2">
        <tpls c="7">
          <tpl fld="5" item="128"/>
          <tpl fld="4" item="0"/>
          <tpl hier="98" item="1"/>
          <tpl fld="6" item="2"/>
          <tpl hier="103" item="5"/>
          <tpl hier="108" item="3"/>
          <tpl hier="113" item="4"/>
        </tpls>
      </n>
      <m>
        <tpls c="7">
          <tpl fld="5" item="79"/>
          <tpl fld="4" item="0"/>
          <tpl hier="98" item="1"/>
          <tpl fld="6" item="2"/>
          <tpl hier="103" item="5"/>
          <tpl hier="108" item="3"/>
          <tpl hier="113" item="4"/>
        </tpls>
      </m>
      <m>
        <tpls c="7">
          <tpl fld="5" item="87"/>
          <tpl fld="4" item="1"/>
          <tpl hier="98" item="1"/>
          <tpl fld="6" item="1"/>
          <tpl hier="103" item="5"/>
          <tpl hier="108" item="3"/>
          <tpl hier="113" item="4"/>
        </tpls>
      </m>
      <m>
        <tpls c="7">
          <tpl fld="5" item="34"/>
          <tpl fld="4" item="1"/>
          <tpl hier="98" item="1"/>
          <tpl fld="6" item="1"/>
          <tpl hier="103" item="5"/>
          <tpl hier="108" item="3"/>
          <tpl hier="113" item="4"/>
        </tpls>
      </m>
      <m>
        <tpls c="7">
          <tpl fld="5" item="86"/>
          <tpl fld="4" item="0"/>
          <tpl hier="98" item="1"/>
          <tpl fld="6" item="1"/>
          <tpl hier="103" item="5"/>
          <tpl hier="108" item="3"/>
          <tpl hier="113" item="4"/>
        </tpls>
      </m>
      <m>
        <tpls c="7">
          <tpl fld="5" item="72"/>
          <tpl fld="4" item="0"/>
          <tpl hier="98" item="1"/>
          <tpl hier="102" item="4294967295"/>
          <tpl hier="103" item="5"/>
          <tpl hier="108" item="3"/>
          <tpl hier="113" item="4"/>
        </tpls>
      </m>
      <m>
        <tpls c="7">
          <tpl fld="2" item="6"/>
          <tpl fld="7" item="2"/>
          <tpl hier="98" item="1"/>
          <tpl hier="102" item="4294967295"/>
          <tpl hier="103" item="5"/>
          <tpl hier="108" item="3"/>
          <tpl hier="113" item="4"/>
        </tpls>
      </m>
      <m>
        <tpls c="7">
          <tpl fld="5" item="80"/>
          <tpl fld="4" item="0"/>
          <tpl hier="98" item="1"/>
          <tpl fld="6" item="2"/>
          <tpl hier="103" item="5"/>
          <tpl hier="108" item="3"/>
          <tpl hier="113" item="4"/>
        </tpls>
      </m>
      <n v="0">
        <tpls c="7">
          <tpl fld="5" item="160"/>
          <tpl fld="4" item="0"/>
          <tpl hier="98" item="1"/>
          <tpl hier="102" item="4294967295"/>
          <tpl hier="103" item="5"/>
          <tpl hier="108" item="3"/>
          <tpl hier="113" item="4"/>
        </tpls>
      </n>
      <m>
        <tpls c="7">
          <tpl fld="5" item="218"/>
          <tpl fld="4" item="1"/>
          <tpl hier="98" item="1"/>
          <tpl hier="102" item="4294967295"/>
          <tpl hier="103" item="5"/>
          <tpl hier="108" item="3"/>
          <tpl hier="113" item="4"/>
        </tpls>
      </m>
      <n v="2">
        <tpls c="7">
          <tpl fld="5" item="289"/>
          <tpl fld="4" item="0"/>
          <tpl hier="98" item="1"/>
          <tpl fld="6" item="1"/>
          <tpl hier="103" item="5"/>
          <tpl hier="108" item="3"/>
          <tpl hier="113" item="4"/>
        </tpls>
      </n>
      <m>
        <tpls c="7">
          <tpl fld="5" item="212"/>
          <tpl fld="4" item="1"/>
          <tpl hier="98" item="1"/>
          <tpl fld="6" item="2"/>
          <tpl hier="103" item="5"/>
          <tpl hier="108" item="3"/>
          <tpl hier="113" item="4"/>
        </tpls>
      </m>
      <m>
        <tpls c="7">
          <tpl fld="5" item="189"/>
          <tpl fld="4" item="0"/>
          <tpl hier="98" item="1"/>
          <tpl fld="6" item="1"/>
          <tpl hier="103" item="5"/>
          <tpl hier="108" item="3"/>
          <tpl hier="113" item="4"/>
        </tpls>
      </m>
      <m>
        <tpls c="7">
          <tpl fld="5" item="290"/>
          <tpl fld="4" item="0"/>
          <tpl hier="98" item="1"/>
          <tpl fld="6" item="1"/>
          <tpl hier="103" item="5"/>
          <tpl hier="108" item="3"/>
          <tpl hier="113" item="4"/>
        </tpls>
      </m>
      <m>
        <tpls c="7">
          <tpl fld="5" item="138"/>
          <tpl fld="4" item="3"/>
          <tpl hier="98" item="1"/>
          <tpl fld="6" item="2"/>
          <tpl hier="103" item="5"/>
          <tpl hier="108" item="3"/>
          <tpl hier="113" item="4"/>
        </tpls>
      </m>
      <m>
        <tpls c="7">
          <tpl fld="5" item="214"/>
          <tpl fld="4" item="1"/>
          <tpl hier="98" item="1"/>
          <tpl fld="6" item="2"/>
          <tpl hier="103" item="5"/>
          <tpl hier="108" item="3"/>
          <tpl hier="113" item="4"/>
        </tpls>
      </m>
      <m>
        <tpls c="7">
          <tpl fld="5" item="9"/>
          <tpl fld="4" item="0"/>
          <tpl hier="98" item="1"/>
          <tpl fld="6" item="2"/>
          <tpl hier="103" item="5"/>
          <tpl hier="108" item="3"/>
          <tpl hier="113" item="4"/>
        </tpls>
      </m>
      <n v="1">
        <tpls c="7">
          <tpl fld="5" item="3"/>
          <tpl fld="4" item="0"/>
          <tpl hier="98" item="1"/>
          <tpl fld="6" item="2"/>
          <tpl hier="103" item="5"/>
          <tpl hier="108" item="3"/>
          <tpl hier="113" item="4"/>
        </tpls>
      </n>
      <m>
        <tpls c="7">
          <tpl fld="5" item="76"/>
          <tpl fld="4" item="1"/>
          <tpl hier="98" item="1"/>
          <tpl fld="6" item="2"/>
          <tpl hier="103" item="5"/>
          <tpl hier="108" item="3"/>
          <tpl hier="113" item="4"/>
        </tpls>
      </m>
      <n v="15000">
        <tpls c="6">
          <tpl fld="2" item="11"/>
          <tpl hier="98" item="1"/>
          <tpl hier="102" item="4294967295"/>
          <tpl hier="103" item="5"/>
          <tpl hier="108" item="3"/>
          <tpl hier="113" item="4"/>
        </tpls>
      </n>
      <m>
        <tpls c="7">
          <tpl fld="5" item="157"/>
          <tpl fld="4" item="1"/>
          <tpl hier="98" item="1"/>
          <tpl hier="102" item="4294967295"/>
          <tpl hier="103" item="5"/>
          <tpl hier="108" item="3"/>
          <tpl hier="113" item="4"/>
        </tpls>
      </m>
      <m>
        <tpls c="7">
          <tpl fld="5" item="127"/>
          <tpl fld="4" item="1"/>
          <tpl hier="98" item="1"/>
          <tpl hier="102" item="4294967295"/>
          <tpl hier="103" item="5"/>
          <tpl hier="108" item="3"/>
          <tpl hier="113" item="4"/>
        </tpls>
      </m>
      <m>
        <tpls c="7">
          <tpl fld="5" item="222"/>
          <tpl fld="4" item="0"/>
          <tpl hier="98" item="1"/>
          <tpl fld="6" item="1"/>
          <tpl hier="103" item="5"/>
          <tpl hier="108" item="3"/>
          <tpl hier="113" item="4"/>
        </tpls>
      </m>
      <m>
        <tpls c="7">
          <tpl fld="5" item="254"/>
          <tpl fld="4" item="0"/>
          <tpl hier="98" item="1"/>
          <tpl fld="6" item="2"/>
          <tpl hier="103" item="5"/>
          <tpl hier="108" item="3"/>
          <tpl hier="113" item="4"/>
        </tpls>
      </m>
      <m>
        <tpls c="7">
          <tpl fld="5" item="259"/>
          <tpl fld="4" item="1"/>
          <tpl hier="98" item="1"/>
          <tpl fld="6" item="2"/>
          <tpl hier="103" item="5"/>
          <tpl hier="108" item="3"/>
          <tpl hier="113" item="4"/>
        </tpls>
      </m>
      <m>
        <tpls c="7">
          <tpl fld="5" item="256"/>
          <tpl fld="4" item="3"/>
          <tpl hier="98" item="1"/>
          <tpl fld="6" item="2"/>
          <tpl hier="103" item="5"/>
          <tpl hier="108" item="3"/>
          <tpl hier="113" item="4"/>
        </tpls>
      </m>
      <m>
        <tpls c="7">
          <tpl fld="5" item="236"/>
          <tpl fld="4" item="0"/>
          <tpl hier="98" item="1"/>
          <tpl fld="6" item="2"/>
          <tpl hier="103" item="5"/>
          <tpl hier="108" item="3"/>
          <tpl hier="113" item="4"/>
        </tpls>
      </m>
      <m>
        <tpls c="7">
          <tpl fld="5" item="10"/>
          <tpl fld="4" item="1"/>
          <tpl hier="98" item="1"/>
          <tpl fld="6" item="2"/>
          <tpl hier="103" item="5"/>
          <tpl hier="108" item="3"/>
          <tpl hier="113" item="4"/>
        </tpls>
      </m>
      <m>
        <tpls c="7">
          <tpl fld="5" item="62"/>
          <tpl fld="4" item="0"/>
          <tpl hier="98" item="1"/>
          <tpl fld="6" item="2"/>
          <tpl hier="103" item="5"/>
          <tpl hier="108" item="3"/>
          <tpl hier="113" item="4"/>
        </tpls>
      </m>
      <m>
        <tpls c="7">
          <tpl fld="5" item="135"/>
          <tpl fld="4" item="1"/>
          <tpl hier="98" item="1"/>
          <tpl fld="6" item="2"/>
          <tpl hier="103" item="5"/>
          <tpl hier="108" item="3"/>
          <tpl hier="113" item="4"/>
        </tpls>
      </m>
      <n v="11">
        <tpls c="7">
          <tpl fld="5" item="227"/>
          <tpl fld="4" item="0"/>
          <tpl hier="98" item="1"/>
          <tpl fld="6" item="2"/>
          <tpl hier="103" item="5"/>
          <tpl hier="108" item="3"/>
          <tpl hier="113" item="4"/>
        </tpls>
      </n>
      <n v="18">
        <tpls c="7">
          <tpl fld="5" item="203"/>
          <tpl fld="4" item="0"/>
          <tpl hier="98" item="1"/>
          <tpl fld="6" item="1"/>
          <tpl hier="103" item="5"/>
          <tpl hier="108" item="3"/>
          <tpl hier="113" item="4"/>
        </tpls>
      </n>
      <m>
        <tpls c="7">
          <tpl fld="5" item="35"/>
          <tpl fld="4" item="1"/>
          <tpl hier="98" item="1"/>
          <tpl fld="6" item="1"/>
          <tpl hier="103" item="5"/>
          <tpl hier="108" item="3"/>
          <tpl hier="113" item="4"/>
        </tpls>
      </m>
      <m>
        <tpls c="7">
          <tpl fld="5" item="295"/>
          <tpl fld="4" item="1"/>
          <tpl hier="98" item="1"/>
          <tpl hier="102" item="4294967295"/>
          <tpl hier="103" item="5"/>
          <tpl hier="108" item="3"/>
          <tpl hier="113" item="4"/>
        </tpls>
      </m>
      <m>
        <tpls c="7">
          <tpl fld="5" item="172"/>
          <tpl fld="4" item="0"/>
          <tpl hier="98" item="1"/>
          <tpl hier="102" item="4294967295"/>
          <tpl hier="103" item="5"/>
          <tpl hier="108" item="3"/>
          <tpl hier="113" item="4"/>
        </tpls>
      </m>
      <m>
        <tpls c="7">
          <tpl fld="5" item="249"/>
          <tpl fld="4" item="1"/>
          <tpl hier="98" item="1"/>
          <tpl fld="6" item="1"/>
          <tpl hier="103" item="5"/>
          <tpl hier="108" item="3"/>
          <tpl hier="113" item="4"/>
        </tpls>
      </m>
      <n v="5">
        <tpls c="7">
          <tpl fld="5" item="1"/>
          <tpl fld="4" item="0"/>
          <tpl hier="98" item="1"/>
          <tpl fld="6" item="1"/>
          <tpl hier="103" item="5"/>
          <tpl hier="108" item="3"/>
          <tpl hier="113" item="4"/>
        </tpls>
      </n>
      <m>
        <tpls c="7">
          <tpl fld="5" item="165"/>
          <tpl fld="4" item="0"/>
          <tpl hier="98" item="1"/>
          <tpl hier="102" item="4294967295"/>
          <tpl hier="103" item="5"/>
          <tpl hier="108" item="3"/>
          <tpl hier="113" item="4"/>
        </tpls>
      </m>
      <m>
        <tpls c="7">
          <tpl fld="5" item="298"/>
          <tpl fld="4" item="0"/>
          <tpl hier="98" item="1"/>
          <tpl fld="6" item="1"/>
          <tpl hier="103" item="5"/>
          <tpl hier="108" item="3"/>
          <tpl hier="113" item="4"/>
        </tpls>
      </m>
      <m>
        <tpls c="7">
          <tpl fld="5" item="281"/>
          <tpl fld="4" item="0"/>
          <tpl hier="98" item="1"/>
          <tpl hier="102" item="4294967295"/>
          <tpl hier="103" item="5"/>
          <tpl hier="108" item="3"/>
          <tpl hier="113" item="4"/>
        </tpls>
      </m>
      <m>
        <tpls c="7">
          <tpl fld="5" item="258"/>
          <tpl fld="4" item="0"/>
          <tpl hier="98" item="1"/>
          <tpl fld="6" item="1"/>
          <tpl hier="103" item="5"/>
          <tpl hier="108" item="3"/>
          <tpl hier="113" item="4"/>
        </tpls>
      </m>
      <m>
        <tpls c="7">
          <tpl fld="2" item="12"/>
          <tpl fld="7" item="1"/>
          <tpl hier="98" item="1"/>
          <tpl hier="102" item="4294967295"/>
          <tpl hier="103" item="5"/>
          <tpl hier="108" item="3"/>
          <tpl hier="113" item="4"/>
        </tpls>
      </m>
      <m>
        <tpls c="7">
          <tpl fld="2" item="14"/>
          <tpl fld="7" item="1"/>
          <tpl hier="98" item="1"/>
          <tpl hier="102" item="4294967295"/>
          <tpl hier="103" item="5"/>
          <tpl hier="108" item="3"/>
          <tpl hier="113" item="4"/>
        </tpls>
      </m>
      <m>
        <tpls c="7">
          <tpl fld="5" item="237"/>
          <tpl fld="4" item="1"/>
          <tpl hier="98" item="1"/>
          <tpl hier="102" item="4294967295"/>
          <tpl hier="103" item="5"/>
          <tpl hier="108" item="3"/>
          <tpl hier="113" item="4"/>
        </tpls>
      </m>
      <m>
        <tpls c="7">
          <tpl fld="5" item="195"/>
          <tpl fld="4" item="0"/>
          <tpl hier="98" item="1"/>
          <tpl fld="6" item="2"/>
          <tpl hier="103" item="5"/>
          <tpl hier="108" item="3"/>
          <tpl hier="113" item="4"/>
        </tpls>
      </m>
      <n v="70">
        <tpls c="7">
          <tpl fld="5" item="106"/>
          <tpl fld="4" item="0"/>
          <tpl hier="98" item="1"/>
          <tpl fld="6" item="2"/>
          <tpl hier="103" item="5"/>
          <tpl hier="108" item="3"/>
          <tpl hier="113" item="4"/>
        </tpls>
      </n>
      <m>
        <tpls c="7">
          <tpl fld="5" item="164"/>
          <tpl fld="4" item="0"/>
          <tpl hier="98" item="1"/>
          <tpl fld="6" item="2"/>
          <tpl hier="103" item="5"/>
          <tpl hier="108" item="3"/>
          <tpl hier="113" item="4"/>
        </tpls>
      </m>
      <m>
        <tpls c="7">
          <tpl fld="5" item="189"/>
          <tpl fld="4" item="0"/>
          <tpl hier="98" item="1"/>
          <tpl fld="6" item="2"/>
          <tpl hier="103" item="5"/>
          <tpl hier="108" item="3"/>
          <tpl hier="113" item="4"/>
        </tpls>
      </m>
      <m>
        <tpls c="7">
          <tpl fld="5" item="225"/>
          <tpl fld="4" item="0"/>
          <tpl hier="98" item="1"/>
          <tpl fld="6" item="2"/>
          <tpl hier="103" item="5"/>
          <tpl hier="108" item="3"/>
          <tpl hier="113" item="4"/>
        </tpls>
      </m>
      <m>
        <tpls c="7">
          <tpl fld="5" item="38"/>
          <tpl fld="4" item="0"/>
          <tpl hier="98" item="1"/>
          <tpl fld="6" item="2"/>
          <tpl hier="103" item="5"/>
          <tpl hier="108" item="3"/>
          <tpl hier="113" item="4"/>
        </tpls>
      </m>
      <m>
        <tpls c="7">
          <tpl fld="5" item="215"/>
          <tpl fld="4" item="1"/>
          <tpl hier="98" item="1"/>
          <tpl fld="6" item="2"/>
          <tpl hier="103" item="5"/>
          <tpl hier="108" item="3"/>
          <tpl hier="113" item="4"/>
        </tpls>
      </m>
      <n v="77">
        <tpls c="7">
          <tpl fld="5" item="86"/>
          <tpl fld="4" item="2"/>
          <tpl hier="98" item="1"/>
          <tpl fld="6" item="2"/>
          <tpl hier="103" item="5"/>
          <tpl hier="108" item="3"/>
          <tpl hier="113" item="4"/>
        </tpls>
      </n>
      <n v="12">
        <tpls c="7">
          <tpl fld="5" item="90"/>
          <tpl fld="4" item="0"/>
          <tpl hier="98" item="1"/>
          <tpl fld="6" item="2"/>
          <tpl hier="103" item="5"/>
          <tpl hier="108" item="3"/>
          <tpl hier="113" item="4"/>
        </tpls>
      </n>
      <m>
        <tpls c="7">
          <tpl fld="5" item="73"/>
          <tpl fld="4" item="0"/>
          <tpl hier="98" item="1"/>
          <tpl fld="6" item="2"/>
          <tpl hier="103" item="5"/>
          <tpl hier="108" item="3"/>
          <tpl hier="113" item="4"/>
        </tpls>
      </m>
      <m>
        <tpls c="7">
          <tpl fld="5" item="210"/>
          <tpl fld="4" item="3"/>
          <tpl hier="98" item="1"/>
          <tpl fld="6" item="2"/>
          <tpl hier="103" item="5"/>
          <tpl hier="108" item="3"/>
          <tpl hier="113" item="4"/>
        </tpls>
      </m>
      <m>
        <tpls c="7">
          <tpl fld="5" item="33"/>
          <tpl fld="4" item="0"/>
          <tpl hier="98" item="1"/>
          <tpl fld="6" item="2"/>
          <tpl hier="103" item="5"/>
          <tpl hier="108" item="3"/>
          <tpl hier="113" item="4"/>
        </tpls>
      </m>
      <n v="15891.359999999997">
        <tpls c="6">
          <tpl fld="2" item="2"/>
          <tpl hier="98" item="1"/>
          <tpl hier="102" item="4294967295"/>
          <tpl hier="103" item="5"/>
          <tpl hier="108" item="3"/>
          <tpl hier="113" item="4"/>
        </tpls>
      </n>
      <m>
        <tpls c="7">
          <tpl fld="5" item="260"/>
          <tpl fld="4" item="1"/>
          <tpl hier="98" item="1"/>
          <tpl hier="102" item="4294967295"/>
          <tpl hier="103" item="5"/>
          <tpl hier="108" item="3"/>
          <tpl hier="113" item="4"/>
        </tpls>
      </m>
      <m>
        <tpls c="7">
          <tpl fld="5" item="294"/>
          <tpl fld="4" item="1"/>
          <tpl hier="98" item="1"/>
          <tpl fld="6" item="2"/>
          <tpl hier="103" item="5"/>
          <tpl hier="108" item="3"/>
          <tpl hier="113" item="4"/>
        </tpls>
      </m>
      <m>
        <tpls c="7">
          <tpl fld="5" item="31"/>
          <tpl fld="4" item="0"/>
          <tpl hier="98" item="1"/>
          <tpl hier="102" item="4294967295"/>
          <tpl hier="103" item="5"/>
          <tpl hier="108" item="3"/>
          <tpl hier="113" item="4"/>
        </tpls>
      </m>
      <m>
        <tpls c="7">
          <tpl fld="5" item="44"/>
          <tpl fld="4" item="2"/>
          <tpl hier="98" item="1"/>
          <tpl fld="6" item="1"/>
          <tpl hier="103" item="5"/>
          <tpl hier="108" item="3"/>
          <tpl hier="113" item="4"/>
        </tpls>
      </m>
      <m>
        <tpls c="7">
          <tpl fld="5" item="248"/>
          <tpl fld="4" item="3"/>
          <tpl hier="98" item="1"/>
          <tpl fld="6" item="1"/>
          <tpl hier="103" item="5"/>
          <tpl hier="108" item="3"/>
          <tpl hier="113" item="4"/>
        </tpls>
      </m>
      <m>
        <tpls c="7">
          <tpl fld="5" item="94"/>
          <tpl fld="4" item="0"/>
          <tpl hier="98" item="1"/>
          <tpl hier="102" item="4294967295"/>
          <tpl hier="103" item="5"/>
          <tpl hier="108" item="3"/>
          <tpl hier="113" item="4"/>
        </tpls>
      </m>
      <m>
        <tpls c="7">
          <tpl fld="5" item="134"/>
          <tpl fld="4" item="0"/>
          <tpl hier="98" item="1"/>
          <tpl fld="6" item="1"/>
          <tpl hier="103" item="5"/>
          <tpl hier="108" item="3"/>
          <tpl hier="113" item="4"/>
        </tpls>
      </m>
      <m>
        <tpls c="7">
          <tpl fld="5" item="79"/>
          <tpl fld="4" item="0"/>
          <tpl hier="98" item="1"/>
          <tpl fld="6" item="1"/>
          <tpl hier="103" item="5"/>
          <tpl hier="108" item="3"/>
          <tpl hier="113" item="4"/>
        </tpls>
      </m>
      <m>
        <tpls c="7">
          <tpl fld="2" item="13"/>
          <tpl fld="7" item="1"/>
          <tpl hier="98" item="1"/>
          <tpl hier="102" item="4294967295"/>
          <tpl hier="103" item="5"/>
          <tpl hier="108" item="3"/>
          <tpl hier="113" item="4"/>
        </tpls>
      </m>
      <n v="1">
        <tpls c="7">
          <tpl fld="5" item="64"/>
          <tpl fld="4" item="0"/>
          <tpl hier="98" item="1"/>
          <tpl fld="6" item="2"/>
          <tpl hier="103" item="5"/>
          <tpl hier="108" item="3"/>
          <tpl hier="113" item="4"/>
        </tpls>
      </n>
      <m>
        <tpls c="7">
          <tpl fld="5" item="291"/>
          <tpl fld="4" item="1"/>
          <tpl hier="98" item="1"/>
          <tpl fld="6" item="1"/>
          <tpl hier="103" item="5"/>
          <tpl hier="108" item="3"/>
          <tpl hier="113" item="4"/>
        </tpls>
      </m>
      <m>
        <tpls c="7">
          <tpl fld="5" item="25"/>
          <tpl fld="4" item="0"/>
          <tpl hier="98" item="1"/>
          <tpl hier="102" item="4294967295"/>
          <tpl hier="103" item="5"/>
          <tpl hier="108" item="3"/>
          <tpl hier="113" item="4"/>
        </tpls>
      </m>
      <m>
        <tpls c="7">
          <tpl fld="5" item="125"/>
          <tpl fld="4" item="0"/>
          <tpl hier="98" item="1"/>
          <tpl fld="6" item="2"/>
          <tpl hier="103" item="5"/>
          <tpl hier="108" item="3"/>
          <tpl hier="113" item="4"/>
        </tpls>
      </m>
      <m>
        <tpls c="7">
          <tpl fld="5" item="0"/>
          <tpl fld="4" item="0"/>
          <tpl hier="98" item="1"/>
          <tpl hier="102" item="4294967295"/>
          <tpl hier="103" item="5"/>
          <tpl hier="108" item="3"/>
          <tpl hier="113" item="4"/>
        </tpls>
      </m>
      <n v="1">
        <tpls c="7">
          <tpl fld="5" item="136"/>
          <tpl fld="4" item="0"/>
          <tpl hier="98" item="1"/>
          <tpl fld="6" item="2"/>
          <tpl hier="103" item="5"/>
          <tpl hier="108" item="3"/>
          <tpl hier="113" item="4"/>
        </tpls>
      </n>
      <m>
        <tpls c="7">
          <tpl fld="5" item="184"/>
          <tpl fld="4" item="0"/>
          <tpl hier="98" item="1"/>
          <tpl fld="6" item="2"/>
          <tpl hier="103" item="5"/>
          <tpl hier="108" item="3"/>
          <tpl hier="113" item="4"/>
        </tpls>
      </m>
      <m>
        <tpls c="7">
          <tpl fld="5" item="91"/>
          <tpl fld="4" item="0"/>
          <tpl hier="98" item="1"/>
          <tpl fld="6" item="2"/>
          <tpl hier="103" item="5"/>
          <tpl hier="108" item="3"/>
          <tpl hier="113" item="4"/>
        </tpls>
      </m>
      <n v="57">
        <tpls c="7">
          <tpl fld="5" item="70"/>
          <tpl fld="4" item="0"/>
          <tpl hier="98" item="1"/>
          <tpl fld="6" item="2"/>
          <tpl hier="103" item="5"/>
          <tpl hier="108" item="3"/>
          <tpl hier="113" item="4"/>
        </tpls>
      </n>
      <m>
        <tpls c="7">
          <tpl fld="5" item="213"/>
          <tpl fld="4" item="0"/>
          <tpl hier="98" item="1"/>
          <tpl fld="6" item="2"/>
          <tpl hier="103" item="5"/>
          <tpl hier="108" item="3"/>
          <tpl hier="113" item="4"/>
        </tpls>
      </m>
      <m>
        <tpls c="7">
          <tpl fld="5" item="25"/>
          <tpl fld="4" item="0"/>
          <tpl hier="98" item="1"/>
          <tpl fld="6" item="2"/>
          <tpl hier="103" item="5"/>
          <tpl hier="108" item="3"/>
          <tpl hier="113" item="4"/>
        </tpls>
      </m>
      <m>
        <tpls c="7">
          <tpl fld="5" item="270"/>
          <tpl fld="4" item="1"/>
          <tpl hier="98" item="1"/>
          <tpl fld="6" item="1"/>
          <tpl hier="103" item="5"/>
          <tpl hier="108" item="3"/>
          <tpl hier="113" item="4"/>
        </tpls>
      </m>
      <m>
        <tpls c="7">
          <tpl fld="5" item="301"/>
          <tpl fld="4" item="1"/>
          <tpl hier="98" item="1"/>
          <tpl fld="6" item="2"/>
          <tpl hier="103" item="5"/>
          <tpl hier="108" item="3"/>
          <tpl hier="113" item="4"/>
        </tpls>
      </m>
      <m>
        <tpls c="7">
          <tpl fld="5" item="107"/>
          <tpl fld="4" item="0"/>
          <tpl hier="98" item="1"/>
          <tpl fld="6" item="1"/>
          <tpl hier="103" item="5"/>
          <tpl hier="108" item="3"/>
          <tpl hier="113" item="4"/>
        </tpls>
      </m>
      <n v="3575.25">
        <tpls c="7">
          <tpl fld="5" item="95"/>
          <tpl fld="4" item="0"/>
          <tpl hier="98" item="1"/>
          <tpl hier="102" item="4294967295"/>
          <tpl hier="103" item="5"/>
          <tpl hier="108" item="3"/>
          <tpl hier="113" item="4"/>
        </tpls>
      </n>
      <m>
        <tpls c="7">
          <tpl fld="5" item="211"/>
          <tpl fld="4" item="0"/>
          <tpl hier="98" item="1"/>
          <tpl hier="102" item="4294967295"/>
          <tpl hier="103" item="5"/>
          <tpl hier="108" item="3"/>
          <tpl hier="113" item="4"/>
        </tpls>
      </m>
      <n v="90074">
        <tpls c="7">
          <tpl fld="5" item="285"/>
          <tpl fld="4" item="0"/>
          <tpl hier="98" item="1"/>
          <tpl hier="102" item="4294967295"/>
          <tpl hier="103" item="5"/>
          <tpl hier="108" item="3"/>
          <tpl hier="113" item="4"/>
        </tpls>
      </n>
      <n v="6">
        <tpls c="7">
          <tpl fld="5" item="267"/>
          <tpl fld="4" item="0"/>
          <tpl hier="98" item="1"/>
          <tpl fld="6" item="2"/>
          <tpl hier="103" item="5"/>
          <tpl hier="108" item="3"/>
          <tpl hier="113" item="4"/>
        </tpls>
      </n>
      <m>
        <tpls c="7">
          <tpl fld="5" item="62"/>
          <tpl fld="4" item="0"/>
          <tpl hier="98" item="1"/>
          <tpl hier="102" item="4294967295"/>
          <tpl hier="103" item="5"/>
          <tpl hier="108" item="3"/>
          <tpl hier="113" item="4"/>
        </tpls>
      </m>
      <n v="8">
        <tpls c="7">
          <tpl fld="5" item="156"/>
          <tpl fld="4" item="0"/>
          <tpl hier="98" item="1"/>
          <tpl fld="6" item="2"/>
          <tpl hier="103" item="5"/>
          <tpl hier="108" item="3"/>
          <tpl hier="113" item="4"/>
        </tpls>
      </n>
      <m>
        <tpls c="7">
          <tpl fld="5" item="291"/>
          <tpl fld="4" item="1"/>
          <tpl hier="98" item="1"/>
          <tpl hier="102" item="4294967295"/>
          <tpl hier="103" item="5"/>
          <tpl hier="108" item="3"/>
          <tpl hier="113" item="4"/>
        </tpls>
      </m>
      <n v="3">
        <tpls c="7">
          <tpl fld="5" item="149"/>
          <tpl fld="4" item="0"/>
          <tpl hier="98" item="1"/>
          <tpl fld="6" item="1"/>
          <tpl hier="103" item="5"/>
          <tpl hier="108" item="3"/>
          <tpl hier="113" item="4"/>
        </tpls>
      </n>
      <m>
        <tpls c="7">
          <tpl fld="5" item="247"/>
          <tpl fld="4" item="3"/>
          <tpl hier="98" item="1"/>
          <tpl hier="102" item="4294967295"/>
          <tpl hier="103" item="5"/>
          <tpl hier="108" item="3"/>
          <tpl hier="113" item="4"/>
        </tpls>
      </m>
      <m>
        <tpls c="7">
          <tpl fld="5" item="96"/>
          <tpl fld="4" item="1"/>
          <tpl hier="98" item="1"/>
          <tpl fld="6" item="2"/>
          <tpl hier="103" item="5"/>
          <tpl hier="108" item="3"/>
          <tpl hier="113" item="4"/>
        </tpls>
      </m>
      <m>
        <tpls c="7">
          <tpl fld="5" item="47"/>
          <tpl fld="4" item="0"/>
          <tpl hier="98" item="1"/>
          <tpl fld="6" item="2"/>
          <tpl hier="103" item="5"/>
          <tpl hier="108" item="3"/>
          <tpl hier="113" item="4"/>
        </tpls>
      </m>
      <n v="1716">
        <tpls c="7">
          <tpl fld="5" item="251"/>
          <tpl fld="4" item="0"/>
          <tpl hier="98" item="1"/>
          <tpl hier="102" item="4294967295"/>
          <tpl hier="103" item="5"/>
          <tpl hier="108" item="3"/>
          <tpl hier="113" item="4"/>
        </tpls>
      </n>
      <m>
        <tpls c="7">
          <tpl fld="5" item="235"/>
          <tpl fld="4" item="1"/>
          <tpl hier="98" item="1"/>
          <tpl fld="6" item="1"/>
          <tpl hier="103" item="5"/>
          <tpl hier="108" item="3"/>
          <tpl hier="113" item="4"/>
        </tpls>
      </m>
      <m>
        <tpls c="7">
          <tpl fld="5" item="117"/>
          <tpl fld="4" item="1"/>
          <tpl hier="98" item="1"/>
          <tpl fld="6" item="2"/>
          <tpl hier="103" item="5"/>
          <tpl hier="108" item="3"/>
          <tpl hier="113" item="4"/>
        </tpls>
      </m>
      <n v="1">
        <tpls c="7">
          <tpl fld="5" item="49"/>
          <tpl fld="4" item="0"/>
          <tpl hier="98" item="1"/>
          <tpl fld="6" item="2"/>
          <tpl hier="103" item="5"/>
          <tpl hier="108" item="3"/>
          <tpl hier="113" item="4"/>
        </tpls>
      </n>
      <m>
        <tpls c="7">
          <tpl fld="5" item="261"/>
          <tpl fld="4" item="1"/>
          <tpl hier="98" item="1"/>
          <tpl hier="102" item="4294967295"/>
          <tpl hier="103" item="5"/>
          <tpl hier="108" item="3"/>
          <tpl hier="113" item="4"/>
        </tpls>
      </m>
      <m>
        <tpls c="7">
          <tpl fld="5" item="231"/>
          <tpl fld="4" item="1"/>
          <tpl hier="98" item="1"/>
          <tpl fld="6" item="2"/>
          <tpl hier="103" item="5"/>
          <tpl hier="108" item="3"/>
          <tpl hier="113" item="4"/>
        </tpls>
      </m>
      <m>
        <tpls c="7">
          <tpl fld="5" item="183"/>
          <tpl fld="4" item="1"/>
          <tpl hier="98" item="1"/>
          <tpl fld="6" item="2"/>
          <tpl hier="103" item="5"/>
          <tpl hier="108" item="3"/>
          <tpl hier="113" item="4"/>
        </tpls>
      </m>
      <m>
        <tpls c="7">
          <tpl fld="5" item="208"/>
          <tpl fld="4" item="0"/>
          <tpl hier="98" item="1"/>
          <tpl fld="6" item="2"/>
          <tpl hier="103" item="5"/>
          <tpl hier="108" item="3"/>
          <tpl hier="113" item="4"/>
        </tpls>
      </m>
      <n v="3">
        <tpls c="7">
          <tpl fld="5" item="97"/>
          <tpl fld="4" item="0"/>
          <tpl hier="98" item="1"/>
          <tpl fld="6" item="2"/>
          <tpl hier="103" item="5"/>
          <tpl hier="108" item="3"/>
          <tpl hier="113" item="4"/>
        </tpls>
      </n>
      <n v="600">
        <tpls c="6">
          <tpl fld="2" item="3"/>
          <tpl hier="98" item="1"/>
          <tpl hier="102" item="4294967295"/>
          <tpl hier="103" item="5"/>
          <tpl hier="108" item="3"/>
          <tpl hier="113" item="4"/>
        </tpls>
      </n>
      <m>
        <tpls c="7">
          <tpl fld="5" item="239"/>
          <tpl fld="4" item="0"/>
          <tpl hier="98" item="1"/>
          <tpl fld="6" item="2"/>
          <tpl hier="103" item="5"/>
          <tpl hier="108" item="3"/>
          <tpl hier="113" item="4"/>
        </tpls>
      </m>
      <m>
        <tpls c="7">
          <tpl fld="5" item="75"/>
          <tpl fld="4" item="0"/>
          <tpl hier="98" item="1"/>
          <tpl fld="6" item="2"/>
          <tpl hier="103" item="5"/>
          <tpl hier="108" item="3"/>
          <tpl hier="113" item="4"/>
        </tpls>
      </m>
      <m>
        <tpls c="7">
          <tpl fld="5" item="288"/>
          <tpl fld="4" item="0"/>
          <tpl hier="98" item="1"/>
          <tpl fld="6" item="2"/>
          <tpl hier="103" item="5"/>
          <tpl hier="108" item="3"/>
          <tpl hier="113" item="4"/>
        </tpls>
      </m>
      <m>
        <tpls c="7">
          <tpl fld="5" item="212"/>
          <tpl fld="4" item="1"/>
          <tpl hier="98" item="1"/>
          <tpl fld="6" item="1"/>
          <tpl hier="103" item="5"/>
          <tpl hier="108" item="3"/>
          <tpl hier="113" item="4"/>
        </tpls>
      </m>
      <m>
        <tpls c="7">
          <tpl fld="5" item="36"/>
          <tpl fld="4" item="1"/>
          <tpl hier="98" item="1"/>
          <tpl fld="6" item="1"/>
          <tpl hier="103" item="5"/>
          <tpl hier="108" item="3"/>
          <tpl hier="113" item="4"/>
        </tpls>
      </m>
      <m>
        <tpls c="7">
          <tpl fld="5" item="198"/>
          <tpl fld="4" item="3"/>
          <tpl hier="98" item="1"/>
          <tpl fld="6" item="1"/>
          <tpl hier="103" item="5"/>
          <tpl hier="108" item="3"/>
          <tpl hier="113" item="4"/>
        </tpls>
      </m>
      <m>
        <tpls c="7">
          <tpl fld="5" item="84"/>
          <tpl fld="4" item="1"/>
          <tpl hier="98" item="1"/>
          <tpl fld="6" item="1"/>
          <tpl hier="103" item="5"/>
          <tpl hier="108" item="3"/>
          <tpl hier="113" item="4"/>
        </tpls>
      </m>
      <m>
        <tpls c="7">
          <tpl fld="5" item="66"/>
          <tpl fld="4" item="1"/>
          <tpl hier="98" item="1"/>
          <tpl fld="6" item="2"/>
          <tpl hier="103" item="5"/>
          <tpl hier="108" item="3"/>
          <tpl hier="113" item="4"/>
        </tpls>
      </m>
      <m>
        <tpls c="7">
          <tpl fld="5" item="237"/>
          <tpl fld="4" item="1"/>
          <tpl hier="98" item="1"/>
          <tpl fld="6" item="1"/>
          <tpl hier="103" item="5"/>
          <tpl hier="108" item="3"/>
          <tpl hier="113" item="4"/>
        </tpls>
      </m>
      <m>
        <tpls c="7">
          <tpl fld="5" item="277"/>
          <tpl fld="4" item="1"/>
          <tpl hier="98" item="1"/>
          <tpl hier="102" item="4294967295"/>
          <tpl hier="103" item="5"/>
          <tpl hier="108" item="3"/>
          <tpl hier="113" item="4"/>
        </tpls>
      </m>
      <m>
        <tpls c="7">
          <tpl fld="5" item="297"/>
          <tpl fld="4" item="3"/>
          <tpl hier="98" item="1"/>
          <tpl hier="102" item="4294967295"/>
          <tpl hier="103" item="5"/>
          <tpl hier="108" item="3"/>
          <tpl hier="113" item="4"/>
        </tpls>
      </m>
      <m>
        <tpls c="7">
          <tpl fld="5" item="99"/>
          <tpl fld="4" item="1"/>
          <tpl hier="98" item="1"/>
          <tpl fld="6" item="1"/>
          <tpl hier="103" item="5"/>
          <tpl hier="108" item="3"/>
          <tpl hier="113" item="4"/>
        </tpls>
      </m>
      <m>
        <tpls c="7">
          <tpl fld="5" item="233"/>
          <tpl fld="4" item="1"/>
          <tpl hier="98" item="1"/>
          <tpl fld="6" item="1"/>
          <tpl hier="103" item="5"/>
          <tpl hier="108" item="3"/>
          <tpl hier="113" item="4"/>
        </tpls>
      </m>
      <m>
        <tpls c="7">
          <tpl fld="5" item="179"/>
          <tpl fld="4" item="1"/>
          <tpl hier="98" item="1"/>
          <tpl fld="6" item="1"/>
          <tpl hier="103" item="5"/>
          <tpl hier="108" item="3"/>
          <tpl hier="113" item="4"/>
        </tpls>
      </m>
      <m>
        <tpls c="7">
          <tpl fld="5" item="119"/>
          <tpl fld="4" item="1"/>
          <tpl hier="98" item="1"/>
          <tpl hier="102" item="4294967295"/>
          <tpl hier="103" item="5"/>
          <tpl hier="108" item="3"/>
          <tpl hier="113" item="4"/>
        </tpls>
      </m>
      <m>
        <tpls c="7">
          <tpl fld="5" item="100"/>
          <tpl fld="4" item="0"/>
          <tpl hier="98" item="1"/>
          <tpl hier="102" item="4294967295"/>
          <tpl hier="103" item="5"/>
          <tpl hier="108" item="3"/>
          <tpl hier="113" item="4"/>
        </tpls>
      </m>
      <m>
        <tpls c="7">
          <tpl fld="5" item="104"/>
          <tpl fld="4" item="1"/>
          <tpl hier="98" item="1"/>
          <tpl hier="102" item="4294967295"/>
          <tpl hier="103" item="5"/>
          <tpl hier="108" item="3"/>
          <tpl hier="113" item="4"/>
        </tpls>
      </m>
      <m>
        <tpls c="7">
          <tpl fld="5" item="35"/>
          <tpl fld="4" item="1"/>
          <tpl hier="98" item="1"/>
          <tpl hier="102" item="4294967295"/>
          <tpl hier="103" item="5"/>
          <tpl hier="108" item="3"/>
          <tpl hier="113" item="4"/>
        </tpls>
      </m>
      <m>
        <tpls c="7">
          <tpl fld="5" item="216"/>
          <tpl fld="4" item="0"/>
          <tpl hier="98" item="1"/>
          <tpl hier="102" item="4294967295"/>
          <tpl hier="103" item="5"/>
          <tpl hier="108" item="3"/>
          <tpl hier="113" item="4"/>
        </tpls>
      </m>
      <m>
        <tpls c="7">
          <tpl fld="5" item="89"/>
          <tpl fld="4" item="0"/>
          <tpl hier="98" item="1"/>
          <tpl hier="102" item="4294967295"/>
          <tpl hier="103" item="5"/>
          <tpl hier="108" item="3"/>
          <tpl hier="113" item="4"/>
        </tpls>
      </m>
      <m>
        <tpls c="7">
          <tpl fld="5" item="27"/>
          <tpl fld="4" item="0"/>
          <tpl hier="98" item="1"/>
          <tpl hier="102" item="4294967295"/>
          <tpl hier="103" item="5"/>
          <tpl hier="108" item="3"/>
          <tpl hier="113" item="4"/>
        </tpls>
      </m>
      <m>
        <tpls c="7">
          <tpl fld="5" item="59"/>
          <tpl fld="4" item="0"/>
          <tpl hier="98" item="1"/>
          <tpl hier="102" item="4294967295"/>
          <tpl hier="103" item="5"/>
          <tpl hier="108" item="3"/>
          <tpl hier="113" item="4"/>
        </tpls>
      </m>
      <m>
        <tpls c="7">
          <tpl fld="5" item="57"/>
          <tpl fld="4" item="1"/>
          <tpl hier="98" item="1"/>
          <tpl hier="102" item="4294967295"/>
          <tpl hier="103" item="5"/>
          <tpl hier="108" item="3"/>
          <tpl hier="113" item="4"/>
        </tpls>
      </m>
      <m>
        <tpls c="7">
          <tpl fld="5" item="250"/>
          <tpl fld="4" item="1"/>
          <tpl hier="98" item="1"/>
          <tpl hier="102" item="4294967295"/>
          <tpl hier="103" item="5"/>
          <tpl hier="108" item="3"/>
          <tpl hier="113" item="4"/>
        </tpls>
      </m>
      <n v="1">
        <tpls c="7">
          <tpl fld="5" item="201"/>
          <tpl fld="4" item="0"/>
          <tpl hier="98" item="1"/>
          <tpl fld="6" item="1"/>
          <tpl hier="103" item="5"/>
          <tpl hier="108" item="3"/>
          <tpl hier="113" item="4"/>
        </tpls>
      </n>
      <m>
        <tpls c="7">
          <tpl fld="5" item="263"/>
          <tpl fld="4" item="1"/>
          <tpl hier="98" item="1"/>
          <tpl fld="6" item="1"/>
          <tpl hier="103" item="5"/>
          <tpl hier="108" item="3"/>
          <tpl hier="113" item="4"/>
        </tpls>
      </m>
      <m>
        <tpls c="7">
          <tpl fld="5" item="295"/>
          <tpl fld="4" item="1"/>
          <tpl hier="98" item="1"/>
          <tpl fld="6" item="2"/>
          <tpl hier="103" item="5"/>
          <tpl hier="108" item="3"/>
          <tpl hier="113" item="4"/>
        </tpls>
      </m>
      <m>
        <tpls c="7">
          <tpl fld="5" item="86"/>
          <tpl fld="4" item="3"/>
          <tpl hier="98" item="1"/>
          <tpl hier="102" item="4294967295"/>
          <tpl hier="103" item="5"/>
          <tpl hier="108" item="3"/>
          <tpl hier="113" item="4"/>
        </tpls>
      </m>
      <m>
        <tpls c="7">
          <tpl fld="5" item="299"/>
          <tpl fld="4" item="0"/>
          <tpl hier="98" item="1"/>
          <tpl fld="6" item="2"/>
          <tpl hier="103" item="5"/>
          <tpl hier="108" item="3"/>
          <tpl hier="113" item="4"/>
        </tpls>
      </m>
      <m>
        <tpls c="7">
          <tpl fld="5" item="300"/>
          <tpl fld="4" item="0"/>
          <tpl hier="98" item="1"/>
          <tpl hier="102" item="4294967295"/>
          <tpl hier="103" item="5"/>
          <tpl hier="108" item="3"/>
          <tpl hier="113" item="4"/>
        </tpls>
      </m>
      <m>
        <tpls c="7">
          <tpl fld="5" item="302"/>
          <tpl fld="4" item="0"/>
          <tpl hier="98" item="1"/>
          <tpl fld="6" item="1"/>
          <tpl hier="103" item="5"/>
          <tpl hier="108" item="3"/>
          <tpl hier="113" item="4"/>
        </tpls>
      </m>
      <m>
        <tpls c="7">
          <tpl fld="5" item="303"/>
          <tpl fld="4" item="1"/>
          <tpl hier="98" item="1"/>
          <tpl fld="6" item="2"/>
          <tpl hier="103" item="5"/>
          <tpl hier="108" item="3"/>
          <tpl hier="113" item="4"/>
        </tpls>
      </m>
      <n v="2">
        <tpls c="7">
          <tpl fld="5" item="20"/>
          <tpl fld="4" item="0"/>
          <tpl hier="98" item="1"/>
          <tpl fld="6" item="1"/>
          <tpl hier="103" item="5"/>
          <tpl hier="108" item="3"/>
          <tpl hier="113" item="4"/>
        </tpls>
      </n>
      <m>
        <tpls c="7">
          <tpl fld="5" item="213"/>
          <tpl fld="4" item="0"/>
          <tpl hier="98" item="1"/>
          <tpl fld="6" item="1"/>
          <tpl hier="103" item="5"/>
          <tpl hier="108" item="3"/>
          <tpl hier="113" item="4"/>
        </tpls>
      </m>
      <m>
        <tpls c="7">
          <tpl fld="5" item="83"/>
          <tpl fld="4" item="3"/>
          <tpl hier="98" item="1"/>
          <tpl hier="102" item="4294967295"/>
          <tpl hier="103" item="5"/>
          <tpl hier="108" item="3"/>
          <tpl hier="113" item="4"/>
        </tpls>
      </m>
      <m>
        <tpls c="7">
          <tpl fld="5" item="216"/>
          <tpl fld="4" item="0"/>
          <tpl hier="98" item="1"/>
          <tpl fld="6" item="1"/>
          <tpl hier="103" item="5"/>
          <tpl hier="108" item="3"/>
          <tpl hier="113" item="4"/>
        </tpls>
      </m>
      <m>
        <tpls c="7">
          <tpl fld="5" item="2"/>
          <tpl fld="4" item="1"/>
          <tpl hier="98" item="1"/>
          <tpl hier="102" item="4294967295"/>
          <tpl hier="103" item="5"/>
          <tpl hier="108" item="3"/>
          <tpl hier="113" item="4"/>
        </tpls>
      </m>
      <m>
        <tpls c="7">
          <tpl fld="5" item="9"/>
          <tpl fld="4" item="0"/>
          <tpl hier="98" item="1"/>
          <tpl fld="6" item="1"/>
          <tpl hier="103" item="5"/>
          <tpl hier="108" item="3"/>
          <tpl hier="113" item="4"/>
        </tpls>
      </m>
      <m>
        <tpls c="7">
          <tpl fld="5" item="85"/>
          <tpl fld="4" item="0"/>
          <tpl hier="98" item="1"/>
          <tpl fld="6" item="1"/>
          <tpl hier="103" item="5"/>
          <tpl hier="108" item="3"/>
          <tpl hier="113" item="4"/>
        </tpls>
      </m>
      <m>
        <tpls c="7">
          <tpl fld="5" item="56"/>
          <tpl fld="4" item="1"/>
          <tpl hier="98" item="1"/>
          <tpl fld="6" item="1"/>
          <tpl hier="103" item="5"/>
          <tpl hier="108" item="3"/>
          <tpl hier="113" item="4"/>
        </tpls>
      </m>
      <m>
        <tpls c="7">
          <tpl fld="5" item="312"/>
          <tpl fld="4" item="1"/>
          <tpl hier="98" item="1"/>
          <tpl hier="102" item="4294967295"/>
          <tpl hier="103" item="5"/>
          <tpl hier="108" item="3"/>
          <tpl hier="113" item="4"/>
        </tpls>
      </m>
      <m>
        <tpls c="7">
          <tpl fld="5" item="71"/>
          <tpl fld="4" item="1"/>
          <tpl hier="98" item="1"/>
          <tpl fld="6" item="1"/>
          <tpl hier="103" item="5"/>
          <tpl hier="108" item="3"/>
          <tpl hier="113" item="4"/>
        </tpls>
      </m>
      <m>
        <tpls c="7">
          <tpl fld="5" item="313"/>
          <tpl fld="4" item="1"/>
          <tpl hier="98" item="1"/>
          <tpl hier="102" item="4294967295"/>
          <tpl hier="103" item="5"/>
          <tpl hier="108" item="3"/>
          <tpl hier="113" item="4"/>
        </tpls>
      </m>
      <m>
        <tpls c="7">
          <tpl fld="5" item="89"/>
          <tpl fld="4" item="0"/>
          <tpl hier="98" item="1"/>
          <tpl fld="6" item="1"/>
          <tpl hier="103" item="5"/>
          <tpl hier="108" item="3"/>
          <tpl hier="113" item="4"/>
        </tpls>
      </m>
      <n v="0">
        <tpls c="7">
          <tpl fld="5" item="289"/>
          <tpl fld="4" item="0"/>
          <tpl hier="98" item="1"/>
          <tpl hier="102" item="4294967295"/>
          <tpl hier="103" item="5"/>
          <tpl hier="108" item="3"/>
          <tpl hier="113" item="4"/>
        </tpls>
      </n>
      <m>
        <tpls c="7">
          <tpl fld="5" item="8"/>
          <tpl fld="4" item="1"/>
          <tpl hier="98" item="1"/>
          <tpl fld="6" item="1"/>
          <tpl hier="103" item="5"/>
          <tpl hier="108" item="3"/>
          <tpl hier="113" item="4"/>
        </tpls>
      </m>
      <m>
        <tpls c="7">
          <tpl fld="5" item="284"/>
          <tpl fld="4" item="1"/>
          <tpl hier="98" item="1"/>
          <tpl fld="6" item="1"/>
          <tpl hier="103" item="5"/>
          <tpl hier="108" item="3"/>
          <tpl hier="113" item="4"/>
        </tpls>
      </m>
      <m>
        <tpls c="7">
          <tpl fld="5" item="248"/>
          <tpl fld="4" item="3"/>
          <tpl hier="98" item="1"/>
          <tpl hier="102" item="4294967295"/>
          <tpl hier="103" item="5"/>
          <tpl hier="108" item="3"/>
          <tpl hier="113" item="4"/>
        </tpls>
      </m>
      <m>
        <tpls c="7">
          <tpl fld="5" item="190"/>
          <tpl fld="4" item="1"/>
          <tpl hier="98" item="1"/>
          <tpl fld="6" item="2"/>
          <tpl hier="103" item="5"/>
          <tpl hier="108" item="3"/>
          <tpl hier="113" item="4"/>
        </tpls>
      </m>
      <m>
        <tpls c="7">
          <tpl fld="5" item="10"/>
          <tpl fld="4" item="1"/>
          <tpl hier="98" item="1"/>
          <tpl hier="102" item="4294967295"/>
          <tpl hier="103" item="5"/>
          <tpl hier="108" item="3"/>
          <tpl hier="113" item="4"/>
        </tpls>
      </m>
      <m>
        <tpls c="7">
          <tpl fld="5" item="176"/>
          <tpl fld="4" item="1"/>
          <tpl hier="98" item="1"/>
          <tpl fld="6" item="1"/>
          <tpl hier="103" item="5"/>
          <tpl hier="108" item="3"/>
          <tpl hier="113" item="4"/>
        </tpls>
      </m>
      <m>
        <tpls c="7">
          <tpl fld="5" item="132"/>
          <tpl fld="4" item="3"/>
          <tpl hier="98" item="1"/>
          <tpl fld="6" item="2"/>
          <tpl hier="103" item="5"/>
          <tpl hier="108" item="3"/>
          <tpl hier="113" item="4"/>
        </tpls>
      </m>
      <m>
        <tpls c="7">
          <tpl fld="5" item="254"/>
          <tpl fld="4" item="0"/>
          <tpl hier="98" item="1"/>
          <tpl fld="6" item="1"/>
          <tpl hier="103" item="5"/>
          <tpl hier="108" item="3"/>
          <tpl hier="113" item="4"/>
        </tpls>
      </m>
      <m>
        <tpls c="7">
          <tpl fld="5" item="221"/>
          <tpl fld="4" item="1"/>
          <tpl hier="98" item="1"/>
          <tpl fld="6" item="2"/>
          <tpl hier="103" item="5"/>
          <tpl hier="108" item="3"/>
          <tpl hier="113" item="4"/>
        </tpls>
      </m>
      <m>
        <tpls c="7">
          <tpl fld="5" item="221"/>
          <tpl fld="4" item="1"/>
          <tpl hier="98" item="1"/>
          <tpl hier="102" item="4294967295"/>
          <tpl hier="103" item="5"/>
          <tpl hier="108" item="3"/>
          <tpl hier="113" item="4"/>
        </tpls>
      </m>
      <m>
        <tpls c="7">
          <tpl fld="5" item="133"/>
          <tpl fld="4" item="0"/>
          <tpl hier="98" item="1"/>
          <tpl hier="102" item="4294967295"/>
          <tpl hier="103" item="5"/>
          <tpl hier="108" item="3"/>
          <tpl hier="113" item="4"/>
        </tpls>
      </m>
      <m>
        <tpls c="7">
          <tpl fld="5" item="90"/>
          <tpl fld="4" item="2"/>
          <tpl hier="98" item="1"/>
          <tpl fld="6" item="2"/>
          <tpl hier="103" item="5"/>
          <tpl hier="108" item="3"/>
          <tpl hier="113" item="4"/>
        </tpls>
      </m>
      <m>
        <tpls c="7">
          <tpl fld="2" item="0"/>
          <tpl fld="7" item="1"/>
          <tpl hier="98" item="1"/>
          <tpl hier="102" item="4294967295"/>
          <tpl hier="103" item="5"/>
          <tpl hier="108" item="3"/>
          <tpl hier="113" item="4"/>
        </tpls>
      </m>
      <m>
        <tpls c="7">
          <tpl fld="5" item="284"/>
          <tpl fld="4" item="1"/>
          <tpl hier="98" item="1"/>
          <tpl fld="6" item="2"/>
          <tpl hier="103" item="5"/>
          <tpl hier="108" item="3"/>
          <tpl hier="113" item="4"/>
        </tpls>
      </m>
      <m>
        <tpls c="7">
          <tpl fld="5" item="274"/>
          <tpl fld="4" item="1"/>
          <tpl hier="98" item="1"/>
          <tpl fld="6" item="2"/>
          <tpl hier="103" item="5"/>
          <tpl hier="108" item="3"/>
          <tpl hier="113" item="4"/>
        </tpls>
      </m>
      <m>
        <tpls c="7">
          <tpl fld="5" item="13"/>
          <tpl fld="4" item="1"/>
          <tpl hier="98" item="1"/>
          <tpl fld="6" item="2"/>
          <tpl hier="103" item="5"/>
          <tpl hier="108" item="3"/>
          <tpl hier="113" item="4"/>
        </tpls>
      </m>
      <m>
        <tpls c="7">
          <tpl fld="5" item="198"/>
          <tpl fld="4" item="3"/>
          <tpl hier="98" item="1"/>
          <tpl hier="102" item="4294967295"/>
          <tpl hier="103" item="5"/>
          <tpl hier="108" item="3"/>
          <tpl hier="113" item="4"/>
        </tpls>
      </m>
      <m>
        <tpls c="7">
          <tpl fld="5" item="85"/>
          <tpl fld="4" item="0"/>
          <tpl hier="98" item="1"/>
          <tpl hier="102" item="4294967295"/>
          <tpl hier="103" item="5"/>
          <tpl hier="108" item="3"/>
          <tpl hier="113" item="4"/>
        </tpls>
      </m>
      <m>
        <tpls c="7">
          <tpl fld="5" item="165"/>
          <tpl fld="4" item="0"/>
          <tpl hier="98" item="1"/>
          <tpl fld="6" item="2"/>
          <tpl hier="103" item="5"/>
          <tpl hier="108" item="3"/>
          <tpl hier="113" item="4"/>
        </tpls>
      </m>
      <m>
        <tpls c="7">
          <tpl fld="5" item="166"/>
          <tpl fld="4" item="3"/>
          <tpl hier="98" item="1"/>
          <tpl fld="6" item="2"/>
          <tpl hier="103" item="5"/>
          <tpl hier="108" item="3"/>
          <tpl hier="113" item="4"/>
        </tpls>
      </m>
      <n v="1">
        <tpls c="7">
          <tpl fld="5" item="58"/>
          <tpl fld="4" item="0"/>
          <tpl hier="98" item="1"/>
          <tpl fld="6" item="2"/>
          <tpl hier="103" item="5"/>
          <tpl hier="108" item="3"/>
          <tpl hier="113" item="4"/>
        </tpls>
      </n>
      <n v="391">
        <tpls c="6">
          <tpl fld="2" item="1"/>
          <tpl hier="98" item="1"/>
          <tpl hier="102" item="4294967295"/>
          <tpl hier="103" item="5"/>
          <tpl hier="108" item="3"/>
          <tpl hier="113" item="4"/>
        </tpls>
      </n>
      <m>
        <tpls c="7">
          <tpl fld="5" item="239"/>
          <tpl fld="4" item="0"/>
          <tpl hier="98" item="1"/>
          <tpl hier="102" item="4294967295"/>
          <tpl hier="103" item="5"/>
          <tpl hier="108" item="3"/>
          <tpl hier="113" item="4"/>
        </tpls>
      </m>
      <n v="14431.359999999997">
        <tpls c="7">
          <tpl fld="2" item="2"/>
          <tpl fld="7" item="3"/>
          <tpl hier="98" item="1"/>
          <tpl hier="102" item="4294967295"/>
          <tpl hier="103" item="5"/>
          <tpl hier="108" item="3"/>
          <tpl hier="113" item="4"/>
        </tpls>
      </n>
      <m>
        <tpls c="7">
          <tpl fld="5" item="139"/>
          <tpl fld="4" item="1"/>
          <tpl hier="98" item="1"/>
          <tpl hier="102" item="4294967295"/>
          <tpl hier="103" item="5"/>
          <tpl hier="108" item="3"/>
          <tpl hier="113" item="4"/>
        </tpls>
      </m>
      <m>
        <tpls c="7">
          <tpl fld="5" item="45"/>
          <tpl fld="4" item="0"/>
          <tpl hier="98" item="1"/>
          <tpl fld="6" item="2"/>
          <tpl hier="103" item="5"/>
          <tpl hier="108" item="3"/>
          <tpl hier="113" item="4"/>
        </tpls>
      </m>
      <m>
        <tpls c="7">
          <tpl fld="5" item="155"/>
          <tpl fld="4" item="1"/>
          <tpl hier="98" item="1"/>
          <tpl hier="102" item="4294967295"/>
          <tpl hier="103" item="5"/>
          <tpl hier="108" item="3"/>
          <tpl hier="113" item="4"/>
        </tpls>
      </m>
      <m>
        <tpls c="7">
          <tpl fld="5" item="54"/>
          <tpl fld="4" item="1"/>
          <tpl hier="98" item="1"/>
          <tpl fld="6" item="2"/>
          <tpl hier="103" item="5"/>
          <tpl hier="108" item="3"/>
          <tpl hier="113" item="4"/>
        </tpls>
      </m>
      <m>
        <tpls c="7">
          <tpl fld="5" item="221"/>
          <tpl fld="4" item="1"/>
          <tpl hier="98" item="1"/>
          <tpl fld="6" item="1"/>
          <tpl hier="103" item="5"/>
          <tpl hier="108" item="3"/>
          <tpl hier="113" item="4"/>
        </tpls>
      </m>
      <m>
        <tpls c="7">
          <tpl fld="5" item="234"/>
          <tpl fld="4" item="0"/>
          <tpl hier="98" item="1"/>
          <tpl hier="102" item="4294967295"/>
          <tpl hier="103" item="5"/>
          <tpl hier="108" item="3"/>
          <tpl hier="113" item="4"/>
        </tpls>
      </m>
      <m>
        <tpls c="7">
          <tpl fld="5" item="228"/>
          <tpl fld="4" item="1"/>
          <tpl hier="98" item="1"/>
          <tpl fld="6" item="2"/>
          <tpl hier="103" item="5"/>
          <tpl hier="108" item="3"/>
          <tpl hier="113" item="4"/>
        </tpls>
      </m>
      <m>
        <tpls c="7">
          <tpl fld="5" item="163"/>
          <tpl fld="4" item="0"/>
          <tpl hier="98" item="1"/>
          <tpl fld="6" item="2"/>
          <tpl hier="103" item="5"/>
          <tpl hier="108" item="3"/>
          <tpl hier="113" item="4"/>
        </tpls>
      </m>
      <m>
        <tpls c="7">
          <tpl fld="5" item="280"/>
          <tpl fld="4" item="0"/>
          <tpl hier="98" item="1"/>
          <tpl fld="6" item="1"/>
          <tpl hier="103" item="5"/>
          <tpl hier="108" item="3"/>
          <tpl hier="113" item="4"/>
        </tpls>
      </m>
      <n v="2">
        <tpls c="7">
          <tpl fld="5" item="317"/>
          <tpl fld="4" item="0"/>
          <tpl hier="98" item="1"/>
          <tpl fld="6" item="2"/>
          <tpl hier="103" item="5"/>
          <tpl hier="108" item="3"/>
          <tpl hier="113" item="4"/>
        </tpls>
      </n>
      <n v="1">
        <tpls c="7">
          <tpl fld="5" item="160"/>
          <tpl fld="4" item="0"/>
          <tpl hier="98" item="1"/>
          <tpl fld="6" item="2"/>
          <tpl hier="103" item="5"/>
          <tpl hier="108" item="3"/>
          <tpl hier="113" item="4"/>
        </tpls>
      </n>
      <m>
        <tpls c="7">
          <tpl fld="5" item="296"/>
          <tpl fld="4" item="1"/>
          <tpl hier="98" item="1"/>
          <tpl fld="6" item="2"/>
          <tpl hier="103" item="5"/>
          <tpl hier="108" item="3"/>
          <tpl hier="113" item="4"/>
        </tpls>
      </m>
      <m>
        <tpls c="7">
          <tpl fld="5" item="249"/>
          <tpl fld="4" item="1"/>
          <tpl hier="98" item="1"/>
          <tpl fld="6" item="2"/>
          <tpl hier="103" item="5"/>
          <tpl hier="108" item="3"/>
          <tpl hier="113" item="4"/>
        </tpls>
      </m>
      <m>
        <tpls c="7">
          <tpl fld="5" item="110"/>
          <tpl fld="4" item="1"/>
          <tpl hier="98" item="1"/>
          <tpl fld="6" item="2"/>
          <tpl hier="103" item="5"/>
          <tpl hier="108" item="3"/>
          <tpl hier="113" item="4"/>
        </tpls>
      </m>
      <m>
        <tpls c="7">
          <tpl fld="5" item="56"/>
          <tpl fld="4" item="1"/>
          <tpl hier="98" item="1"/>
          <tpl fld="6" item="2"/>
          <tpl hier="103" item="5"/>
          <tpl hier="108" item="3"/>
          <tpl hier="113" item="4"/>
        </tpls>
      </m>
      <n v="25000.14">
        <tpls c="7">
          <tpl fld="2" item="7"/>
          <tpl fld="7" item="4"/>
          <tpl hier="98" item="1"/>
          <tpl hier="102" item="4294967295"/>
          <tpl hier="103" item="5"/>
          <tpl hier="108" item="3"/>
          <tpl hier="113" item="4"/>
        </tpls>
      </n>
      <n v="4">
        <tpls c="7">
          <tpl fld="5" item="116"/>
          <tpl fld="4" item="0"/>
          <tpl hier="98" item="1"/>
          <tpl fld="6" item="1"/>
          <tpl hier="103" item="5"/>
          <tpl hier="108" item="3"/>
          <tpl hier="113" item="4"/>
        </tpls>
      </n>
      <m>
        <tpls c="7">
          <tpl fld="5" item="111"/>
          <tpl fld="4" item="1"/>
          <tpl hier="98" item="1"/>
          <tpl fld="6" item="1"/>
          <tpl hier="103" item="5"/>
          <tpl hier="108" item="3"/>
          <tpl hier="113" item="4"/>
        </tpls>
      </m>
      <m>
        <tpls c="7">
          <tpl fld="5" item="154"/>
          <tpl fld="4" item="0"/>
          <tpl hier="98" item="1"/>
          <tpl hier="102" item="4294967295"/>
          <tpl hier="103" item="5"/>
          <tpl hier="108" item="3"/>
          <tpl hier="113" item="4"/>
        </tpls>
      </m>
      <m>
        <tpls c="7">
          <tpl fld="5" item="192"/>
          <tpl fld="4" item="0"/>
          <tpl hier="98" item="1"/>
          <tpl fld="6" item="2"/>
          <tpl hier="103" item="5"/>
          <tpl hier="108" item="3"/>
          <tpl hier="113" item="4"/>
        </tpls>
      </m>
      <m>
        <tpls c="7">
          <tpl fld="5" item="4"/>
          <tpl fld="4" item="3"/>
          <tpl hier="98" item="1"/>
          <tpl fld="6" item="2"/>
          <tpl hier="103" item="5"/>
          <tpl hier="108" item="3"/>
          <tpl hier="113" item="4"/>
        </tpls>
      </m>
      <m>
        <tpls c="7">
          <tpl fld="5" item="218"/>
          <tpl fld="4" item="1"/>
          <tpl hier="98" item="1"/>
          <tpl fld="6" item="2"/>
          <tpl hier="103" item="5"/>
          <tpl hier="108" item="3"/>
          <tpl hier="113" item="4"/>
        </tpls>
      </m>
      <m>
        <tpls c="7">
          <tpl fld="5" item="244"/>
          <tpl fld="4" item="0"/>
          <tpl hier="98" item="1"/>
          <tpl fld="6" item="2"/>
          <tpl hier="103" item="5"/>
          <tpl hier="108" item="3"/>
          <tpl hier="113" item="4"/>
        </tpls>
      </m>
      <m>
        <tpls c="7">
          <tpl fld="5" item="262"/>
          <tpl fld="4" item="1"/>
          <tpl hier="98" item="1"/>
          <tpl fld="6" item="1"/>
          <tpl hier="103" item="5"/>
          <tpl hier="108" item="3"/>
          <tpl hier="113" item="4"/>
        </tpls>
      </m>
      <m>
        <tpls c="7">
          <tpl fld="5" item="90"/>
          <tpl fld="4" item="2"/>
          <tpl hier="98" item="1"/>
          <tpl fld="6" item="1"/>
          <tpl hier="103" item="5"/>
          <tpl hier="108" item="3"/>
          <tpl hier="113" item="4"/>
        </tpls>
      </m>
      <m>
        <tpls c="7">
          <tpl fld="5" item="130"/>
          <tpl fld="4" item="1"/>
          <tpl hier="98" item="1"/>
          <tpl fld="6" item="2"/>
          <tpl hier="103" item="5"/>
          <tpl hier="108" item="3"/>
          <tpl hier="113" item="4"/>
        </tpls>
      </m>
      <m>
        <tpls c="7">
          <tpl fld="5" item="31"/>
          <tpl fld="4" item="0"/>
          <tpl hier="98" item="1"/>
          <tpl fld="6" item="2"/>
          <tpl hier="103" item="5"/>
          <tpl hier="108" item="3"/>
          <tpl hier="113" item="4"/>
        </tpls>
      </m>
      <m>
        <tpls c="7">
          <tpl fld="5" item="71"/>
          <tpl fld="4" item="1"/>
          <tpl hier="98" item="1"/>
          <tpl fld="6" item="2"/>
          <tpl hier="103" item="5"/>
          <tpl hier="108" item="3"/>
          <tpl hier="113" item="4"/>
        </tpls>
      </m>
      <m>
        <tpls c="7">
          <tpl fld="5" item="24"/>
          <tpl fld="4" item="0"/>
          <tpl hier="98" item="1"/>
          <tpl hier="102" item="4294967295"/>
          <tpl hier="103" item="5"/>
          <tpl hier="108" item="3"/>
          <tpl hier="113" item="4"/>
        </tpls>
      </m>
      <m>
        <tpls c="7">
          <tpl fld="5" item="63"/>
          <tpl fld="4" item="0"/>
          <tpl hier="98" item="1"/>
          <tpl fld="6" item="2"/>
          <tpl hier="103" item="5"/>
          <tpl hier="108" item="3"/>
          <tpl hier="113" item="4"/>
        </tpls>
      </m>
      <m>
        <tpls c="7">
          <tpl fld="5" item="111"/>
          <tpl fld="4" item="1"/>
          <tpl hier="98" item="1"/>
          <tpl hier="102" item="4294967295"/>
          <tpl hier="103" item="5"/>
          <tpl hier="108" item="3"/>
          <tpl hier="113" item="4"/>
        </tpls>
      </m>
      <n v="1">
        <tpls c="7">
          <tpl fld="5" item="78"/>
          <tpl fld="4" item="0"/>
          <tpl hier="98" item="1"/>
          <tpl fld="6" item="2"/>
          <tpl hier="103" item="5"/>
          <tpl hier="108" item="3"/>
          <tpl hier="113" item="4"/>
        </tpls>
      </n>
      <m>
        <tpls c="7">
          <tpl fld="5" item="43"/>
          <tpl fld="4" item="1"/>
          <tpl hier="98" item="1"/>
          <tpl fld="6" item="2"/>
          <tpl hier="103" item="5"/>
          <tpl hier="108" item="3"/>
          <tpl hier="113" item="4"/>
        </tpls>
      </m>
      <m>
        <tpls c="7">
          <tpl fld="5" item="297"/>
          <tpl fld="4" item="3"/>
          <tpl hier="98" item="1"/>
          <tpl fld="6" item="1"/>
          <tpl hier="103" item="5"/>
          <tpl hier="108" item="3"/>
          <tpl hier="113" item="4"/>
        </tpls>
      </m>
      <m>
        <tpls c="7">
          <tpl fld="5" item="51"/>
          <tpl fld="4" item="0"/>
          <tpl hier="98" item="1"/>
          <tpl hier="102" item="4294967295"/>
          <tpl hier="103" item="5"/>
          <tpl hier="108" item="3"/>
          <tpl hier="113" item="4"/>
        </tpls>
      </m>
      <m>
        <tpls c="7">
          <tpl fld="5" item="122"/>
          <tpl fld="4" item="1"/>
          <tpl hier="98" item="1"/>
          <tpl fld="6" item="2"/>
          <tpl hier="103" item="5"/>
          <tpl hier="108" item="3"/>
          <tpl hier="113" item="4"/>
        </tpls>
      </m>
      <m>
        <tpls c="7">
          <tpl fld="5" item="320"/>
          <tpl fld="4" item="1"/>
          <tpl hier="98" item="1"/>
          <tpl hier="102" item="4294967295"/>
          <tpl hier="103" item="5"/>
          <tpl hier="108" item="3"/>
          <tpl hier="113" item="4"/>
        </tpls>
      </m>
      <n v="4150">
        <tpls c="6">
          <tpl fld="3" item="1"/>
          <tpl hier="98" item="1"/>
          <tpl hier="102" item="4294967295"/>
          <tpl hier="103" item="5"/>
          <tpl hier="108" item="3"/>
          <tpl hier="113" item="4"/>
        </tpls>
      </n>
      <m>
        <tpls c="7">
          <tpl fld="5" item="104"/>
          <tpl fld="4" item="1"/>
          <tpl hier="98" item="1"/>
          <tpl fld="6" item="2"/>
          <tpl hier="103" item="5"/>
          <tpl hier="108" item="3"/>
          <tpl hier="113" item="4"/>
        </tpls>
      </m>
      <m>
        <tpls c="7">
          <tpl fld="5" item="24"/>
          <tpl fld="4" item="0"/>
          <tpl hier="98" item="1"/>
          <tpl fld="6" item="2"/>
          <tpl hier="103" item="5"/>
          <tpl hier="108" item="3"/>
          <tpl hier="113" item="4"/>
        </tpls>
      </m>
      <n v="2">
        <tpls c="7">
          <tpl fld="5" item="41"/>
          <tpl fld="4" item="0"/>
          <tpl hier="98" item="1"/>
          <tpl fld="6" item="2"/>
          <tpl hier="103" item="5"/>
          <tpl hier="108" item="3"/>
          <tpl hier="113" item="4"/>
        </tpls>
      </n>
      <n v="0">
        <tpls c="7">
          <tpl fld="2" item="6"/>
          <tpl fld="7" item="4"/>
          <tpl hier="98" item="1"/>
          <tpl hier="102" item="4294967295"/>
          <tpl hier="103" item="5"/>
          <tpl hier="108" item="3"/>
          <tpl hier="113" item="4"/>
        </tpls>
      </n>
      <m>
        <tpls c="7">
          <tpl fld="5" item="291"/>
          <tpl fld="4" item="1"/>
          <tpl hier="98" item="1"/>
          <tpl fld="6" item="2"/>
          <tpl hier="103" item="5"/>
          <tpl hier="108" item="3"/>
          <tpl hier="113" item="4"/>
        </tpls>
      </m>
      <m>
        <tpls c="7">
          <tpl fld="5" item="293"/>
          <tpl fld="4" item="0"/>
          <tpl hier="98" item="1"/>
          <tpl fld="6" item="1"/>
          <tpl hier="103" item="5"/>
          <tpl hier="108" item="3"/>
          <tpl hier="113" item="4"/>
        </tpls>
      </m>
      <n v="1">
        <tpls c="7">
          <tpl fld="5" item="200"/>
          <tpl fld="4" item="0"/>
          <tpl hier="98" item="1"/>
          <tpl fld="6" item="1"/>
          <tpl hier="103" item="5"/>
          <tpl hier="108" item="3"/>
          <tpl hier="113" item="4"/>
        </tpls>
      </n>
      <m>
        <tpls c="7">
          <tpl fld="2" item="0"/>
          <tpl fld="7" item="0"/>
          <tpl hier="98" item="1"/>
          <tpl hier="102" item="4294967295"/>
          <tpl hier="103" item="5"/>
          <tpl hier="108" item="3"/>
          <tpl hier="113" item="4"/>
        </tpls>
      </m>
      <m>
        <tpls c="7">
          <tpl fld="5" item="80"/>
          <tpl fld="4" item="0"/>
          <tpl hier="98" item="1"/>
          <tpl fld="6" item="1"/>
          <tpl hier="103" item="5"/>
          <tpl hier="108" item="3"/>
          <tpl hier="113" item="4"/>
        </tpls>
      </m>
      <m>
        <tpls c="7">
          <tpl fld="5" item="276"/>
          <tpl fld="4" item="0"/>
          <tpl hier="98" item="1"/>
          <tpl fld="6" item="1"/>
          <tpl hier="103" item="5"/>
          <tpl hier="108" item="3"/>
          <tpl hier="113" item="4"/>
        </tpls>
      </m>
      <m>
        <tpls c="7">
          <tpl fld="5" item="306"/>
          <tpl fld="4" item="1"/>
          <tpl hier="98" item="1"/>
          <tpl hier="102" item="4294967295"/>
          <tpl hier="103" item="5"/>
          <tpl hier="108" item="3"/>
          <tpl hier="113" item="4"/>
        </tpls>
      </m>
      <n v="0">
        <tpls c="7">
          <tpl fld="5" item="60"/>
          <tpl fld="4" item="0"/>
          <tpl hier="98" item="1"/>
          <tpl hier="102" item="4294967295"/>
          <tpl hier="103" item="5"/>
          <tpl hier="108" item="3"/>
          <tpl hier="113" item="4"/>
        </tpls>
      </n>
      <m>
        <tpls c="7">
          <tpl fld="5" item="48"/>
          <tpl fld="4" item="0"/>
          <tpl hier="98" item="1"/>
          <tpl hier="102" item="4294967295"/>
          <tpl hier="103" item="5"/>
          <tpl hier="108" item="3"/>
          <tpl hier="113" item="4"/>
        </tpls>
      </m>
      <m>
        <tpls c="7">
          <tpl fld="5" item="108"/>
          <tpl fld="4" item="1"/>
          <tpl hier="98" item="1"/>
          <tpl hier="102" item="4294967295"/>
          <tpl hier="103" item="5"/>
          <tpl hier="108" item="3"/>
          <tpl hier="113" item="4"/>
        </tpls>
      </m>
      <m>
        <tpls c="7">
          <tpl fld="5" item="18"/>
          <tpl fld="4" item="1"/>
          <tpl hier="98" item="1"/>
          <tpl hier="102" item="4294967295"/>
          <tpl hier="103" item="5"/>
          <tpl hier="108" item="3"/>
          <tpl hier="113" item="4"/>
        </tpls>
      </m>
      <m>
        <tpls c="7">
          <tpl fld="5" item="9"/>
          <tpl fld="4" item="0"/>
          <tpl hier="98" item="1"/>
          <tpl hier="102" item="4294967295"/>
          <tpl hier="103" item="5"/>
          <tpl hier="108" item="3"/>
          <tpl hier="113" item="4"/>
        </tpls>
      </m>
      <m>
        <tpls c="7">
          <tpl fld="5" item="250"/>
          <tpl fld="4" item="1"/>
          <tpl hier="98" item="1"/>
          <tpl fld="6" item="1"/>
          <tpl hier="103" item="5"/>
          <tpl hier="108" item="3"/>
          <tpl hier="113" item="4"/>
        </tpls>
      </m>
      <n v="572">
        <tpls c="7">
          <tpl fld="2" item="7"/>
          <tpl fld="7" item="3"/>
          <tpl hier="98" item="1"/>
          <tpl hier="102" item="4294967295"/>
          <tpl hier="103" item="5"/>
          <tpl hier="108" item="3"/>
          <tpl hier="113" item="4"/>
        </tpls>
      </n>
      <m>
        <tpls c="7">
          <tpl fld="5" item="205"/>
          <tpl fld="4" item="1"/>
          <tpl hier="98" item="1"/>
          <tpl hier="102" item="4294967295"/>
          <tpl hier="103" item="5"/>
          <tpl hier="108" item="3"/>
          <tpl hier="113" item="4"/>
        </tpls>
      </m>
      <m>
        <tpls c="7">
          <tpl fld="5" item="293"/>
          <tpl fld="4" item="0"/>
          <tpl hier="98" item="1"/>
          <tpl fld="6" item="2"/>
          <tpl hier="103" item="5"/>
          <tpl hier="108" item="3"/>
          <tpl hier="113" item="4"/>
        </tpls>
      </m>
      <m>
        <tpls c="7">
          <tpl fld="5" item="295"/>
          <tpl fld="4" item="1"/>
          <tpl hier="98" item="1"/>
          <tpl fld="6" item="1"/>
          <tpl hier="103" item="5"/>
          <tpl hier="108" item="3"/>
          <tpl hier="113" item="4"/>
        </tpls>
      </m>
      <n v="191">
        <tpls c="7">
          <tpl fld="5" item="317"/>
          <tpl fld="4" item="0"/>
          <tpl hier="98" item="1"/>
          <tpl hier="102" item="4294967295"/>
          <tpl hier="103" item="5"/>
          <tpl hier="108" item="3"/>
          <tpl hier="113" item="4"/>
        </tpls>
      </n>
      <m>
        <tpls c="7">
          <tpl fld="5" item="301"/>
          <tpl fld="4" item="1"/>
          <tpl hier="98" item="1"/>
          <tpl fld="6" item="1"/>
          <tpl hier="103" item="5"/>
          <tpl hier="108" item="3"/>
          <tpl hier="113" item="4"/>
        </tpls>
      </m>
      <n v="37">
        <tpls c="6">
          <tpl fld="2" item="6"/>
          <tpl hier="98" item="1"/>
          <tpl fld="6" item="2"/>
          <tpl hier="103" item="5"/>
          <tpl hier="108" item="3"/>
          <tpl hier="113" item="4"/>
        </tpls>
      </n>
      <n v="3">
        <tpls c="6">
          <tpl fld="2" item="3"/>
          <tpl hier="98" item="1"/>
          <tpl fld="6" item="2"/>
          <tpl hier="103" item="5"/>
          <tpl hier="108" item="3"/>
          <tpl hier="113" item="4"/>
        </tpls>
      </n>
      <n v="13">
        <tpls c="6">
          <tpl fld="2" item="11"/>
          <tpl hier="98" item="1"/>
          <tpl fld="6" item="2"/>
          <tpl hier="103" item="5"/>
          <tpl hier="108" item="3"/>
          <tpl hier="113" item="4"/>
        </tpls>
      </n>
      <m>
        <tpls c="7">
          <tpl fld="5" item="319"/>
          <tpl fld="4" item="3"/>
          <tpl hier="98" item="1"/>
          <tpl hier="102" item="4294967295"/>
          <tpl hier="103" item="5"/>
          <tpl hier="108" item="3"/>
          <tpl hier="113" item="4"/>
        </tpls>
      </m>
      <m>
        <tpls c="7">
          <tpl fld="5" item="303"/>
          <tpl fld="4" item="1"/>
          <tpl hier="98" item="1"/>
          <tpl hier="102" item="4294967295"/>
          <tpl hier="103" item="5"/>
          <tpl hier="108" item="3"/>
          <tpl hier="113" item="4"/>
        </tpls>
      </m>
      <m>
        <tpls c="7">
          <tpl fld="5" item="304"/>
          <tpl fld="4" item="0"/>
          <tpl hier="98" item="1"/>
          <tpl fld="6" item="1"/>
          <tpl hier="103" item="5"/>
          <tpl hier="108" item="3"/>
          <tpl hier="113" item="4"/>
        </tpls>
      </m>
      <m>
        <tpls c="7">
          <tpl fld="5" item="271"/>
          <tpl fld="4" item="1"/>
          <tpl hier="98" item="1"/>
          <tpl fld="6" item="2"/>
          <tpl hier="103" item="5"/>
          <tpl hier="108" item="3"/>
          <tpl hier="113" item="4"/>
        </tpls>
      </m>
      <m>
        <tpls c="7">
          <tpl fld="5" item="225"/>
          <tpl fld="4" item="0"/>
          <tpl hier="98" item="1"/>
          <tpl hier="102" item="4294967295"/>
          <tpl hier="103" item="5"/>
          <tpl hier="108" item="3"/>
          <tpl hier="113" item="4"/>
        </tpls>
      </m>
      <m>
        <tpls c="7">
          <tpl fld="5" item="255"/>
          <tpl fld="4" item="1"/>
          <tpl hier="98" item="1"/>
          <tpl fld="6" item="2"/>
          <tpl hier="103" item="5"/>
          <tpl hier="108" item="3"/>
          <tpl hier="113" item="4"/>
        </tpls>
      </m>
      <m>
        <tpls c="7">
          <tpl fld="5" item="127"/>
          <tpl fld="4" item="1"/>
          <tpl hier="98" item="1"/>
          <tpl fld="6" item="2"/>
          <tpl hier="103" item="5"/>
          <tpl hier="108" item="3"/>
          <tpl hier="113" item="4"/>
        </tpls>
      </m>
      <n v="1">
        <tpls c="7">
          <tpl fld="5" item="52"/>
          <tpl fld="4" item="0"/>
          <tpl hier="98" item="1"/>
          <tpl fld="6" item="1"/>
          <tpl hier="103" item="5"/>
          <tpl hier="108" item="3"/>
          <tpl hier="113" item="4"/>
        </tpls>
      </n>
      <n v="1248785.0500000003">
        <tpls c="7">
          <tpl fld="2" item="7"/>
          <tpl fld="7" item="2"/>
          <tpl hier="98" item="1"/>
          <tpl hier="102" item="4294967295"/>
          <tpl hier="103" item="5"/>
          <tpl hier="108" item="3"/>
          <tpl hier="113" item="4"/>
        </tpls>
      </n>
      <m>
        <tpls c="7">
          <tpl fld="5" item="96"/>
          <tpl fld="4" item="1"/>
          <tpl hier="98" item="1"/>
          <tpl hier="102" item="4294967295"/>
          <tpl hier="103" item="5"/>
          <tpl hier="108" item="3"/>
          <tpl hier="113" item="4"/>
        </tpls>
      </m>
      <n v="1">
        <tpls c="7">
          <tpl fld="5" item="245"/>
          <tpl fld="4" item="0"/>
          <tpl hier="98" item="1"/>
          <tpl fld="6" item="1"/>
          <tpl hier="103" item="5"/>
          <tpl hier="108" item="3"/>
          <tpl hier="113" item="4"/>
        </tpls>
      </n>
      <m>
        <tpls c="7">
          <tpl fld="5" item="218"/>
          <tpl fld="4" item="1"/>
          <tpl hier="98" item="1"/>
          <tpl fld="6" item="1"/>
          <tpl hier="103" item="5"/>
          <tpl hier="108" item="3"/>
          <tpl hier="113" item="4"/>
        </tpls>
      </m>
      <m>
        <tpls c="7">
          <tpl fld="5" item="110"/>
          <tpl fld="4" item="1"/>
          <tpl hier="98" item="1"/>
          <tpl hier="102" item="4294967295"/>
          <tpl hier="103" item="5"/>
          <tpl hier="108" item="3"/>
          <tpl hier="113" item="4"/>
        </tpls>
      </m>
      <m>
        <tpls c="7">
          <tpl fld="5" item="202"/>
          <tpl fld="4" item="1"/>
          <tpl hier="98" item="1"/>
          <tpl fld="6" item="2"/>
          <tpl hier="103" item="5"/>
          <tpl hier="108" item="3"/>
          <tpl hier="113" item="4"/>
        </tpls>
      </m>
      <m>
        <tpls c="7">
          <tpl fld="5" item="180"/>
          <tpl fld="4" item="1"/>
          <tpl hier="98" item="1"/>
          <tpl fld="6" item="2"/>
          <tpl hier="103" item="5"/>
          <tpl hier="108" item="3"/>
          <tpl hier="113" item="4"/>
        </tpls>
      </m>
      <n v="13">
        <tpls c="7">
          <tpl fld="5" item="197"/>
          <tpl fld="4" item="0"/>
          <tpl hier="98" item="1"/>
          <tpl fld="6" item="1"/>
          <tpl hier="103" item="5"/>
          <tpl hier="108" item="3"/>
          <tpl hier="113" item="4"/>
        </tpls>
      </n>
      <n v="11672.2">
        <tpls c="7">
          <tpl hier="0" item="4294967295"/>
          <tpl fld="7" item="0"/>
          <tpl hier="98" item="1"/>
          <tpl hier="102" item="4294967295"/>
          <tpl hier="103" item="5"/>
          <tpl hier="108" item="3"/>
          <tpl hier="113" item="4"/>
        </tpls>
      </n>
      <m>
        <tpls c="7">
          <tpl fld="5" item="183"/>
          <tpl fld="4" item="1"/>
          <tpl hier="98" item="1"/>
          <tpl hier="102" item="4294967295"/>
          <tpl hier="103" item="5"/>
          <tpl hier="108" item="3"/>
          <tpl hier="113" item="4"/>
        </tpls>
      </m>
      <m>
        <tpls c="7">
          <tpl fld="5" item="124"/>
          <tpl fld="4" item="0"/>
          <tpl hier="98" item="1"/>
          <tpl fld="6" item="2"/>
          <tpl hier="103" item="5"/>
          <tpl hier="108" item="3"/>
          <tpl hier="113" item="4"/>
        </tpls>
      </m>
      <n v="0">
        <tpls c="7">
          <tpl fld="5" item="97"/>
          <tpl fld="4" item="0"/>
          <tpl hier="98" item="1"/>
          <tpl hier="102" item="4294967295"/>
          <tpl hier="103" item="5"/>
          <tpl hier="108" item="3"/>
          <tpl hier="113" item="4"/>
        </tpls>
      </n>
      <n v="200">
        <tpls c="7">
          <tpl fld="5" item="37"/>
          <tpl fld="4" item="0"/>
          <tpl hier="98" item="1"/>
          <tpl hier="102" item="4294967295"/>
          <tpl hier="103" item="5"/>
          <tpl hier="108" item="3"/>
          <tpl hier="113" item="4"/>
        </tpls>
      </n>
      <m>
        <tpls c="7">
          <tpl fld="5" item="86"/>
          <tpl fld="4" item="1"/>
          <tpl hier="98" item="1"/>
          <tpl fld="6" item="2"/>
          <tpl hier="103" item="5"/>
          <tpl hier="108" item="3"/>
          <tpl hier="113" item="4"/>
        </tpls>
      </m>
      <m>
        <tpls c="7">
          <tpl fld="5" item="263"/>
          <tpl fld="4" item="1"/>
          <tpl hier="98" item="1"/>
          <tpl hier="102" item="4294967295"/>
          <tpl hier="103" item="5"/>
          <tpl hier="108" item="3"/>
          <tpl hier="113" item="4"/>
        </tpls>
      </m>
      <n v="8">
        <tpls c="7">
          <tpl fld="5" item="153"/>
          <tpl fld="4" item="0"/>
          <tpl hier="98" item="1"/>
          <tpl fld="6" item="2"/>
          <tpl hier="103" item="5"/>
          <tpl hier="108" item="3"/>
          <tpl hier="113" item="4"/>
        </tpls>
      </n>
      <n v="8">
        <tpls c="7">
          <tpl fld="5" item="167"/>
          <tpl fld="4" item="0"/>
          <tpl hier="98" item="1"/>
          <tpl fld="6" item="2"/>
          <tpl hier="103" item="5"/>
          <tpl hier="108" item="3"/>
          <tpl hier="113" item="4"/>
        </tpls>
      </n>
      <m>
        <tpls c="7">
          <tpl fld="5" item="216"/>
          <tpl fld="4" item="0"/>
          <tpl hier="98" item="1"/>
          <tpl fld="6" item="2"/>
          <tpl hier="103" item="5"/>
          <tpl hier="108" item="3"/>
          <tpl hier="113" item="4"/>
        </tpls>
      </m>
      <m>
        <tpls c="7">
          <tpl fld="5" item="204"/>
          <tpl fld="4" item="1"/>
          <tpl hier="98" item="1"/>
          <tpl fld="6" item="2"/>
          <tpl hier="103" item="5"/>
          <tpl hier="108" item="3"/>
          <tpl hier="113" item="4"/>
        </tpls>
      </m>
      <m>
        <tpls c="7">
          <tpl fld="5" item="211"/>
          <tpl fld="4" item="0"/>
          <tpl hier="98" item="1"/>
          <tpl fld="6" item="1"/>
          <tpl hier="103" item="5"/>
          <tpl hier="108" item="3"/>
          <tpl hier="113" item="4"/>
        </tpls>
      </m>
      <m>
        <tpls c="7">
          <tpl fld="5" item="143"/>
          <tpl fld="4" item="0"/>
          <tpl hier="98" item="1"/>
          <tpl fld="6" item="2"/>
          <tpl hier="103" item="5"/>
          <tpl hier="108" item="3"/>
          <tpl hier="113" item="4"/>
        </tpls>
      </m>
      <n v="98737.349999999991">
        <tpls c="7">
          <tpl fld="2" item="0"/>
          <tpl fld="7" item="4"/>
          <tpl hier="98" item="1"/>
          <tpl hier="102" item="4294967295"/>
          <tpl hier="103" item="5"/>
          <tpl hier="108" item="3"/>
          <tpl hier="113" item="4"/>
        </tpls>
      </n>
      <m>
        <tpls c="7">
          <tpl fld="5" item="115"/>
          <tpl fld="4" item="1"/>
          <tpl hier="98" item="1"/>
          <tpl fld="6" item="2"/>
          <tpl hier="103" item="5"/>
          <tpl hier="108" item="3"/>
          <tpl hier="113" item="4"/>
        </tpls>
      </m>
      <n v="0">
        <tpls c="7">
          <tpl fld="2" item="1"/>
          <tpl fld="7" item="4"/>
          <tpl hier="98" item="1"/>
          <tpl hier="102" item="4294967295"/>
          <tpl hier="103" item="5"/>
          <tpl hier="108" item="3"/>
          <tpl hier="113" item="4"/>
        </tpls>
      </n>
      <n v="2003.85">
        <tpls c="7">
          <tpl fld="2" item="8"/>
          <tpl fld="7" item="0"/>
          <tpl hier="98" item="1"/>
          <tpl hier="102" item="4294967295"/>
          <tpl hier="103" item="5"/>
          <tpl hier="108" item="3"/>
          <tpl hier="113" item="4"/>
        </tpls>
      </n>
      <m>
        <tpls c="7">
          <tpl fld="5" item="69"/>
          <tpl fld="4" item="0"/>
          <tpl hier="98" item="1"/>
          <tpl fld="6" item="2"/>
          <tpl hier="103" item="5"/>
          <tpl hier="108" item="3"/>
          <tpl hier="113" item="4"/>
        </tpls>
      </m>
      <n v="0">
        <tpls c="7">
          <tpl fld="2" item="14"/>
          <tpl fld="7" item="3"/>
          <tpl hier="98" item="1"/>
          <tpl hier="102" item="4294967295"/>
          <tpl hier="103" item="5"/>
          <tpl hier="108" item="3"/>
          <tpl hier="113" item="4"/>
        </tpls>
      </n>
      <n v="94">
        <tpls c="7">
          <tpl fld="5" item="325"/>
          <tpl fld="4" item="0"/>
          <tpl hier="98" item="1"/>
          <tpl fld="6" item="2"/>
          <tpl hier="103" item="5"/>
          <tpl hier="108" item="3"/>
          <tpl hier="113" item="4"/>
        </tpls>
      </n>
      <m>
        <tpls c="7">
          <tpl fld="5" item="164"/>
          <tpl fld="4" item="0"/>
          <tpl hier="98" item="1"/>
          <tpl hier="102" item="4294967295"/>
          <tpl hier="103" item="5"/>
          <tpl hier="108" item="3"/>
          <tpl hier="113" item="4"/>
        </tpls>
      </m>
      <m>
        <tpls c="7">
          <tpl fld="5" item="211"/>
          <tpl fld="4" item="0"/>
          <tpl hier="98" item="1"/>
          <tpl fld="6" item="2"/>
          <tpl hier="103" item="5"/>
          <tpl hier="108" item="3"/>
          <tpl hier="113" item="4"/>
        </tpls>
      </m>
      <m>
        <tpls c="7">
          <tpl fld="5" item="30"/>
          <tpl fld="4" item="1"/>
          <tpl hier="98" item="1"/>
          <tpl hier="102" item="4294967295"/>
          <tpl hier="103" item="5"/>
          <tpl hier="108" item="3"/>
          <tpl hier="113" item="4"/>
        </tpls>
      </m>
      <n v="3">
        <tpls c="7">
          <tpl fld="5" item="251"/>
          <tpl fld="4" item="0"/>
          <tpl hier="98" item="1"/>
          <tpl fld="6" item="2"/>
          <tpl hier="103" item="5"/>
          <tpl hier="108" item="3"/>
          <tpl hier="113" item="4"/>
        </tpls>
      </n>
      <m>
        <tpls c="7">
          <tpl fld="5" item="15"/>
          <tpl fld="4" item="1"/>
          <tpl hier="98" item="1"/>
          <tpl fld="6" item="2"/>
          <tpl hier="103" item="5"/>
          <tpl hier="108" item="3"/>
          <tpl hier="113" item="4"/>
        </tpls>
      </m>
      <m>
        <tpls c="7">
          <tpl fld="5" item="140"/>
          <tpl fld="4" item="1"/>
          <tpl hier="98" item="1"/>
          <tpl fld="6" item="1"/>
          <tpl hier="103" item="5"/>
          <tpl hier="108" item="3"/>
          <tpl hier="113" item="4"/>
        </tpls>
      </m>
      <m>
        <tpls c="7">
          <tpl fld="5" item="238"/>
          <tpl fld="4" item="1"/>
          <tpl hier="98" item="1"/>
          <tpl fld="6" item="2"/>
          <tpl hier="103" item="5"/>
          <tpl hier="108" item="3"/>
          <tpl hier="113" item="4"/>
        </tpls>
      </m>
      <m>
        <tpls c="7">
          <tpl fld="5" item="268"/>
          <tpl fld="4" item="1"/>
          <tpl hier="98" item="1"/>
          <tpl hier="102" item="4294967295"/>
          <tpl hier="103" item="5"/>
          <tpl hier="108" item="3"/>
          <tpl hier="113" item="4"/>
        </tpls>
      </m>
      <n v="2107.67">
        <tpls c="7">
          <tpl fld="5" item="150"/>
          <tpl fld="4" item="0"/>
          <tpl hier="98" item="1"/>
          <tpl hier="102" item="4294967295"/>
          <tpl hier="103" item="5"/>
          <tpl hier="108" item="3"/>
          <tpl hier="113" item="4"/>
        </tpls>
      </n>
      <n v="1248785.0500000003">
        <tpls c="7">
          <tpl hier="0" item="4294967295"/>
          <tpl fld="7" item="2"/>
          <tpl hier="98" item="1"/>
          <tpl hier="102" item="4294967295"/>
          <tpl hier="103" item="5"/>
          <tpl hier="108" item="3"/>
          <tpl hier="113" item="4"/>
        </tpls>
      </n>
      <m>
        <tpls c="7">
          <tpl fld="5" item="71"/>
          <tpl fld="4" item="1"/>
          <tpl hier="98" item="1"/>
          <tpl hier="102" item="4294967295"/>
          <tpl hier="103" item="5"/>
          <tpl hier="108" item="3"/>
          <tpl hier="113" item="4"/>
        </tpls>
      </m>
      <m>
        <tpls c="7">
          <tpl fld="5" item="208"/>
          <tpl fld="4" item="0"/>
          <tpl hier="98" item="1"/>
          <tpl hier="102" item="4294967295"/>
          <tpl hier="103" item="5"/>
          <tpl hier="108" item="3"/>
          <tpl hier="113" item="4"/>
        </tpls>
      </m>
      <m>
        <tpls c="7">
          <tpl fld="5" item="184"/>
          <tpl fld="4" item="0"/>
          <tpl hier="98" item="1"/>
          <tpl fld="6" item="1"/>
          <tpl hier="103" item="5"/>
          <tpl hier="108" item="3"/>
          <tpl hier="113" item="4"/>
        </tpls>
      </m>
      <m>
        <tpls c="7">
          <tpl fld="2" item="1"/>
          <tpl fld="7" item="3"/>
          <tpl hier="98" item="1"/>
          <tpl hier="102" item="4294967295"/>
          <tpl hier="103" item="5"/>
          <tpl hier="108" item="3"/>
          <tpl hier="113" item="4"/>
        </tpls>
      </m>
      <m>
        <tpls c="7">
          <tpl fld="5" item="263"/>
          <tpl fld="4" item="1"/>
          <tpl hier="98" item="1"/>
          <tpl fld="6" item="2"/>
          <tpl hier="103" item="5"/>
          <tpl hier="108" item="3"/>
          <tpl hier="113" item="4"/>
        </tpls>
      </m>
      <m>
        <tpls c="7">
          <tpl fld="5" item="265"/>
          <tpl fld="4" item="0"/>
          <tpl hier="98" item="1"/>
          <tpl fld="6" item="2"/>
          <tpl hier="103" item="5"/>
          <tpl hier="108" item="3"/>
          <tpl hier="113" item="4"/>
        </tpls>
      </m>
      <m>
        <tpls c="7">
          <tpl fld="5" item="86"/>
          <tpl fld="4" item="3"/>
          <tpl hier="98" item="1"/>
          <tpl fld="6" item="1"/>
          <tpl hier="103" item="5"/>
          <tpl hier="108" item="3"/>
          <tpl hier="113" item="4"/>
        </tpls>
      </m>
      <m>
        <tpls c="7">
          <tpl fld="2" item="12"/>
          <tpl fld="7" item="0"/>
          <tpl hier="98" item="1"/>
          <tpl hier="102" item="4294967295"/>
          <tpl hier="103" item="5"/>
          <tpl hier="108" item="3"/>
          <tpl hier="113" item="4"/>
        </tpls>
      </m>
      <m>
        <tpls c="7">
          <tpl fld="5" item="269"/>
          <tpl fld="4" item="0"/>
          <tpl hier="98" item="1"/>
          <tpl fld="6" item="2"/>
          <tpl hier="103" item="5"/>
          <tpl hier="108" item="3"/>
          <tpl hier="113" item="4"/>
        </tpls>
      </m>
      <n v="34">
        <tpls c="6">
          <tpl fld="2" item="1"/>
          <tpl hier="98" item="1"/>
          <tpl fld="6" item="2"/>
          <tpl hier="103" item="5"/>
          <tpl hier="108" item="3"/>
          <tpl hier="113" item="4"/>
        </tpls>
      </n>
      <n v="78">
        <tpls c="6">
          <tpl fld="2" item="2"/>
          <tpl hier="98" item="1"/>
          <tpl fld="6" item="2"/>
          <tpl hier="103" item="5"/>
          <tpl hier="108" item="3"/>
          <tpl hier="113" item="4"/>
        </tpls>
      </n>
      <m>
        <tpls c="7">
          <tpl fld="5" item="319"/>
          <tpl fld="4" item="3"/>
          <tpl hier="98" item="1"/>
          <tpl fld="6" item="1"/>
          <tpl hier="103" item="5"/>
          <tpl hier="108" item="3"/>
          <tpl hier="113" item="4"/>
        </tpls>
      </m>
      <n v="85">
        <tpls c="7">
          <tpl fld="5" item="325"/>
          <tpl fld="4" item="0"/>
          <tpl hier="98" item="1"/>
          <tpl fld="6" item="1"/>
          <tpl hier="103" item="5"/>
          <tpl hier="108" item="3"/>
          <tpl hier="113" item="4"/>
        </tpls>
      </n>
      <m>
        <tpls c="7">
          <tpl fld="5" item="320"/>
          <tpl fld="4" item="1"/>
          <tpl hier="98" item="1"/>
          <tpl fld="6" item="1"/>
          <tpl hier="103" item="5"/>
          <tpl hier="108" item="3"/>
          <tpl hier="113" item="4"/>
        </tpls>
      </m>
      <m>
        <tpls c="7">
          <tpl fld="5" item="328"/>
          <tpl fld="4" item="3"/>
          <tpl hier="98" item="1"/>
          <tpl fld="6" item="1"/>
          <tpl hier="103" item="5"/>
          <tpl hier="108" item="3"/>
          <tpl hier="113" item="4"/>
        </tpls>
      </m>
      <n v="1">
        <tpls c="7">
          <tpl fld="5" item="329"/>
          <tpl fld="4" item="0"/>
          <tpl hier="98" item="1"/>
          <tpl fld="6" item="2"/>
          <tpl hier="103" item="5"/>
          <tpl hier="108" item="3"/>
          <tpl hier="113" item="4"/>
        </tpls>
      </n>
      <n v="1">
        <tpls c="7">
          <tpl fld="5" item="121"/>
          <tpl fld="4" item="0"/>
          <tpl hier="98" item="1"/>
          <tpl fld="6" item="1"/>
          <tpl hier="103" item="5"/>
          <tpl hier="108" item="3"/>
          <tpl hier="113" item="4"/>
        </tpls>
      </n>
      <m>
        <tpls c="7">
          <tpl fld="5" item="76"/>
          <tpl fld="4" item="1"/>
          <tpl hier="98" item="1"/>
          <tpl hier="102" item="4294967295"/>
          <tpl hier="103" item="5"/>
          <tpl hier="108" item="3"/>
          <tpl hier="113" item="4"/>
        </tpls>
      </m>
      <n v="557.85">
        <tpls c="7">
          <tpl fld="5" item="243"/>
          <tpl fld="4" item="0"/>
          <tpl hier="98" item="1"/>
          <tpl hier="102" item="4294967295"/>
          <tpl hier="103" item="5"/>
          <tpl hier="108" item="3"/>
          <tpl hier="113" item="4"/>
        </tpls>
      </n>
      <m>
        <tpls c="7">
          <tpl fld="5" item="330"/>
          <tpl fld="4" item="1"/>
          <tpl hier="98" item="1"/>
          <tpl hier="102" item="4294967295"/>
          <tpl hier="103" item="5"/>
          <tpl hier="108" item="3"/>
          <tpl hier="113" item="4"/>
        </tpls>
      </m>
      <n v="3468">
        <tpls c="7">
          <tpl hier="0" item="4294967295"/>
          <tpl fld="7" item="1"/>
          <tpl hier="98" item="1"/>
          <tpl hier="102" item="4294967295"/>
          <tpl hier="103" item="5"/>
          <tpl hier="108" item="3"/>
          <tpl hier="113" item="4"/>
        </tpls>
      </n>
      <m>
        <tpls c="7">
          <tpl fld="5" item="56"/>
          <tpl fld="4" item="1"/>
          <tpl hier="98" item="1"/>
          <tpl hier="102" item="4294967295"/>
          <tpl hier="103" item="5"/>
          <tpl hier="108" item="3"/>
          <tpl hier="113" item="4"/>
        </tpls>
      </m>
      <m>
        <tpls c="7">
          <tpl fld="5" item="115"/>
          <tpl fld="4" item="1"/>
          <tpl hier="98" item="1"/>
          <tpl hier="102" item="4294967295"/>
          <tpl hier="103" item="5"/>
          <tpl hier="108" item="3"/>
          <tpl hier="113" item="4"/>
        </tpls>
      </m>
      <n v="97">
        <tpls c="7">
          <tpl fld="5" item="161"/>
          <tpl fld="4" item="0"/>
          <tpl hier="98" item="1"/>
          <tpl fld="6" item="1"/>
          <tpl hier="103" item="5"/>
          <tpl hier="108" item="3"/>
          <tpl hier="113" item="4"/>
        </tpls>
      </n>
      <m>
        <tpls c="7">
          <tpl fld="5" item="283"/>
          <tpl fld="4" item="1"/>
          <tpl hier="98" item="1"/>
          <tpl fld="6" item="2"/>
          <tpl hier="103" item="5"/>
          <tpl hier="108" item="3"/>
          <tpl hier="113" item="4"/>
        </tpls>
      </m>
      <m>
        <tpls c="7">
          <tpl fld="5" item="266"/>
          <tpl fld="4" item="0"/>
          <tpl hier="98" item="1"/>
          <tpl fld="6" item="2"/>
          <tpl hier="103" item="5"/>
          <tpl hier="108" item="3"/>
          <tpl hier="113" item="4"/>
        </tpls>
      </m>
      <m>
        <tpls c="7">
          <tpl fld="5" item="139"/>
          <tpl fld="4" item="1"/>
          <tpl hier="98" item="1"/>
          <tpl fld="6" item="2"/>
          <tpl hier="103" item="5"/>
          <tpl hier="108" item="3"/>
          <tpl hier="113" item="4"/>
        </tpls>
      </m>
      <m>
        <tpls c="7">
          <tpl fld="5" item="125"/>
          <tpl fld="4" item="0"/>
          <tpl hier="98" item="1"/>
          <tpl fld="6" item="1"/>
          <tpl hier="103" item="5"/>
          <tpl hier="108" item="3"/>
          <tpl hier="113" item="4"/>
        </tpls>
      </m>
      <n v="45381.7">
        <tpls c="7">
          <tpl fld="5" item="223"/>
          <tpl fld="4" item="0"/>
          <tpl hier="98" item="1"/>
          <tpl hier="102" item="4294967295"/>
          <tpl hier="103" item="5"/>
          <tpl hier="108" item="3"/>
          <tpl hier="113" item="4"/>
        </tpls>
      </n>
      <m>
        <tpls c="7">
          <tpl fld="5" item="290"/>
          <tpl fld="4" item="0"/>
          <tpl hier="98" item="1"/>
          <tpl hier="102" item="4294967295"/>
          <tpl hier="103" item="5"/>
          <tpl hier="108" item="3"/>
          <tpl hier="113" item="4"/>
        </tpls>
      </m>
      <m>
        <tpls c="7">
          <tpl fld="5" item="264"/>
          <tpl fld="4" item="1"/>
          <tpl hier="98" item="1"/>
          <tpl fld="6" item="2"/>
          <tpl hier="103" item="5"/>
          <tpl hier="108" item="3"/>
          <tpl hier="113" item="4"/>
        </tpls>
      </m>
      <m>
        <tpls c="7">
          <tpl fld="5" item="224"/>
          <tpl fld="4" item="0"/>
          <tpl hier="98" item="1"/>
          <tpl hier="102" item="4294967295"/>
          <tpl hier="103" item="5"/>
          <tpl hier="108" item="3"/>
          <tpl hier="113" item="4"/>
        </tpls>
      </m>
      <n v="200">
        <tpls c="7">
          <tpl fld="5" item="49"/>
          <tpl fld="4" item="0"/>
          <tpl hier="98" item="1"/>
          <tpl hier="102" item="4294967295"/>
          <tpl hier="103" item="5"/>
          <tpl hier="108" item="3"/>
          <tpl hier="113" item="4"/>
        </tpls>
      </n>
      <m>
        <tpls c="7">
          <tpl fld="5" item="273"/>
          <tpl fld="4" item="1"/>
          <tpl hier="98" item="1"/>
          <tpl hier="102" item="4294967295"/>
          <tpl hier="103" item="5"/>
          <tpl hier="108" item="3"/>
          <tpl hier="113" item="4"/>
        </tpls>
      </m>
      <m>
        <tpls c="7">
          <tpl fld="5" item="87"/>
          <tpl fld="4" item="1"/>
          <tpl hier="98" item="1"/>
          <tpl hier="102" item="4294967295"/>
          <tpl hier="103" item="5"/>
          <tpl hier="108" item="3"/>
          <tpl hier="113" item="4"/>
        </tpls>
      </m>
      <m>
        <tpls c="7">
          <tpl fld="5" item="6"/>
          <tpl fld="4" item="1"/>
          <tpl hier="98" item="1"/>
          <tpl hier="102" item="4294967295"/>
          <tpl hier="103" item="5"/>
          <tpl hier="108" item="3"/>
          <tpl hier="113" item="4"/>
        </tpls>
      </m>
      <m>
        <tpls c="7">
          <tpl fld="5" item="40"/>
          <tpl fld="4" item="0"/>
          <tpl hier="98" item="1"/>
          <tpl hier="102" item="4294967295"/>
          <tpl hier="103" item="5"/>
          <tpl hier="108" item="3"/>
          <tpl hier="113" item="4"/>
        </tpls>
      </m>
      <n v="1531540.5800000003">
        <tpls c="7">
          <tpl fld="2" item="0"/>
          <tpl fld="7" item="3"/>
          <tpl hier="98" item="1"/>
          <tpl hier="102" item="4294967295"/>
          <tpl hier="103" item="5"/>
          <tpl hier="108" item="3"/>
          <tpl hier="113" item="4"/>
        </tpls>
      </n>
      <n v="1762066.7500000005">
        <tpls c="7">
          <tpl hier="0" item="4294967295"/>
          <tpl fld="7" item="3"/>
          <tpl hier="98" item="1"/>
          <tpl hier="102" item="4294967295"/>
          <tpl hier="103" item="5"/>
          <tpl hier="108" item="3"/>
          <tpl hier="113" item="4"/>
        </tpls>
      </n>
      <n v="520">
        <tpls c="7">
          <tpl fld="5" item="201"/>
          <tpl fld="4" item="0"/>
          <tpl hier="98" item="1"/>
          <tpl hier="102" item="4294967295"/>
          <tpl hier="103" item="5"/>
          <tpl hier="108" item="3"/>
          <tpl hier="113" item="4"/>
        </tpls>
      </n>
      <m>
        <tpls c="7">
          <tpl fld="5" item="293"/>
          <tpl fld="4" item="0"/>
          <tpl hier="98" item="1"/>
          <tpl hier="102" item="4294967295"/>
          <tpl hier="103" item="5"/>
          <tpl hier="108" item="3"/>
          <tpl hier="113" item="4"/>
        </tpls>
      </m>
      <n v="2">
        <tpls c="7">
          <tpl fld="5" item="317"/>
          <tpl fld="4" item="0"/>
          <tpl hier="98" item="1"/>
          <tpl fld="6" item="1"/>
          <tpl hier="103" item="5"/>
          <tpl hier="108" item="3"/>
          <tpl hier="113" item="4"/>
        </tpls>
      </n>
      <m>
        <tpls c="7">
          <tpl fld="5" item="298"/>
          <tpl fld="4" item="0"/>
          <tpl hier="98" item="1"/>
          <tpl fld="6" item="2"/>
          <tpl hier="103" item="5"/>
          <tpl hier="108" item="3"/>
          <tpl hier="113" item="4"/>
        </tpls>
      </m>
      <m>
        <tpls c="7">
          <tpl fld="5" item="299"/>
          <tpl fld="4" item="0"/>
          <tpl hier="98" item="1"/>
          <tpl fld="6" item="1"/>
          <tpl hier="103" item="5"/>
          <tpl hier="108" item="3"/>
          <tpl hier="113" item="4"/>
        </tpls>
      </m>
      <m>
        <tpls c="7">
          <tpl fld="5" item="300"/>
          <tpl fld="4" item="0"/>
          <tpl hier="98" item="1"/>
          <tpl fld="6" item="2"/>
          <tpl hier="103" item="5"/>
          <tpl hier="108" item="3"/>
          <tpl hier="113" item="4"/>
        </tpls>
      </m>
      <n v="17">
        <tpls c="6">
          <tpl fld="2" item="13"/>
          <tpl hier="98" item="1"/>
          <tpl fld="6" item="2"/>
          <tpl hier="103" item="5"/>
          <tpl hier="108" item="3"/>
          <tpl hier="113" item="4"/>
        </tpls>
      </n>
      <n v="8">
        <tpls c="6">
          <tpl fld="2" item="9"/>
          <tpl hier="98" item="1"/>
          <tpl fld="6" item="2"/>
          <tpl hier="103" item="5"/>
          <tpl hier="108" item="3"/>
          <tpl hier="113" item="4"/>
        </tpls>
      </n>
      <m>
        <tpls c="6">
          <tpl fld="2" item="12"/>
          <tpl hier="98" item="1"/>
          <tpl fld="6" item="2"/>
          <tpl hier="103" item="5"/>
          <tpl hier="108" item="3"/>
          <tpl hier="113" item="4"/>
        </tpls>
      </m>
      <m>
        <tpls c="7">
          <tpl fld="5" item="319"/>
          <tpl fld="4" item="3"/>
          <tpl hier="98" item="1"/>
          <tpl fld="6" item="2"/>
          <tpl hier="103" item="5"/>
          <tpl hier="108" item="3"/>
          <tpl hier="113" item="4"/>
        </tpls>
      </m>
      <n v="11450.300000000001">
        <tpls c="7">
          <tpl fld="5" item="325"/>
          <tpl fld="4" item="0"/>
          <tpl hier="98" item="1"/>
          <tpl hier="102" item="4294967295"/>
          <tpl hier="103" item="5"/>
          <tpl hier="108" item="3"/>
          <tpl hier="113" item="4"/>
        </tpls>
      </n>
      <m>
        <tpls c="7">
          <tpl fld="5" item="304"/>
          <tpl fld="4" item="0"/>
          <tpl hier="98" item="1"/>
          <tpl hier="102" item="4294967295"/>
          <tpl hier="103" item="5"/>
          <tpl hier="108" item="3"/>
          <tpl hier="113" item="4"/>
        </tpls>
      </m>
      <m>
        <tpls c="7">
          <tpl fld="5" item="271"/>
          <tpl fld="4" item="1"/>
          <tpl hier="98" item="1"/>
          <tpl hier="102" item="4294967295"/>
          <tpl hier="103" item="5"/>
          <tpl hier="108" item="3"/>
          <tpl hier="113" item="4"/>
        </tpls>
      </m>
      <m>
        <tpls c="7">
          <tpl fld="5" item="328"/>
          <tpl fld="4" item="3"/>
          <tpl hier="98" item="1"/>
          <tpl hier="102" item="4294967295"/>
          <tpl hier="103" item="5"/>
          <tpl hier="108" item="3"/>
          <tpl hier="113" item="4"/>
        </tpls>
      </m>
      <n v="65000">
        <tpls c="7">
          <tpl fld="5" item="173"/>
          <tpl fld="4" item="0"/>
          <tpl hier="98" item="1"/>
          <tpl hier="102" item="4294967295"/>
          <tpl hier="103" item="5"/>
          <tpl hier="108" item="3"/>
          <tpl hier="113" item="4"/>
        </tpls>
      </n>
      <n v="15000">
        <tpls c="7">
          <tpl fld="5" item="242"/>
          <tpl fld="4" item="0"/>
          <tpl hier="98" item="1"/>
          <tpl hier="102" item="4294967295"/>
          <tpl hier="103" item="5"/>
          <tpl hier="108" item="3"/>
          <tpl hier="113" item="4"/>
        </tpls>
      </n>
      <m>
        <tpls c="7">
          <tpl fld="5" item="274"/>
          <tpl fld="4" item="1"/>
          <tpl hier="98" item="1"/>
          <tpl fld="6" item="1"/>
          <tpl hier="103" item="5"/>
          <tpl hier="108" item="3"/>
          <tpl hier="113" item="4"/>
        </tpls>
      </m>
      <m>
        <tpls c="7">
          <tpl fld="5" item="123"/>
          <tpl fld="4" item="0"/>
          <tpl hier="98" item="1"/>
          <tpl hier="102" item="4294967295"/>
          <tpl hier="103" item="5"/>
          <tpl hier="108" item="3"/>
          <tpl hier="113" item="4"/>
        </tpls>
      </m>
      <m>
        <tpls c="7">
          <tpl fld="5" item="131"/>
          <tpl fld="4" item="1"/>
          <tpl hier="98" item="1"/>
          <tpl fld="6" item="1"/>
          <tpl hier="103" item="5"/>
          <tpl hier="108" item="3"/>
          <tpl hier="113" item="4"/>
        </tpls>
      </m>
      <n v="0">
        <tpls c="7">
          <tpl fld="5" item="102"/>
          <tpl fld="4" item="0"/>
          <tpl hier="98" item="1"/>
          <tpl hier="102" item="4294967295"/>
          <tpl hier="103" item="5"/>
          <tpl hier="108" item="3"/>
          <tpl hier="113" item="4"/>
        </tpls>
      </n>
      <m>
        <tpls c="7">
          <tpl fld="5" item="13"/>
          <tpl fld="4" item="1"/>
          <tpl hier="98" item="1"/>
          <tpl hier="102" item="4294967295"/>
          <tpl hier="103" item="5"/>
          <tpl hier="108" item="3"/>
          <tpl hier="113" item="4"/>
        </tpls>
      </m>
      <m>
        <tpls c="7">
          <tpl fld="5" item="159"/>
          <tpl fld="4" item="0"/>
          <tpl hier="98" item="1"/>
          <tpl fld="6" item="1"/>
          <tpl hier="103" item="5"/>
          <tpl hier="108" item="3"/>
          <tpl hier="113" item="4"/>
        </tpls>
      </m>
      <m>
        <tpls c="7">
          <tpl fld="5" item="4"/>
          <tpl fld="4" item="3"/>
          <tpl hier="98" item="1"/>
          <tpl hier="102" item="4294967295"/>
          <tpl hier="103" item="5"/>
          <tpl hier="108" item="3"/>
          <tpl hier="113" item="4"/>
        </tpls>
      </m>
      <n v="2000">
        <tpls c="7">
          <tpl fld="5" item="167"/>
          <tpl fld="4" item="0"/>
          <tpl hier="98" item="1"/>
          <tpl hier="102" item="4294967295"/>
          <tpl hier="103" item="5"/>
          <tpl hier="108" item="3"/>
          <tpl hier="113" item="4"/>
        </tpls>
      </n>
      <m>
        <tpls c="7">
          <tpl fld="5" item="155"/>
          <tpl fld="4" item="1"/>
          <tpl hier="98" item="1"/>
          <tpl fld="6" item="2"/>
          <tpl hier="103" item="5"/>
          <tpl hier="108" item="3"/>
          <tpl hier="113" item="4"/>
        </tpls>
      </m>
      <m>
        <tpls c="7">
          <tpl fld="5" item="8"/>
          <tpl fld="4" item="1"/>
          <tpl hier="98" item="1"/>
          <tpl hier="102" item="4294967295"/>
          <tpl hier="103" item="5"/>
          <tpl hier="108" item="3"/>
          <tpl hier="113" item="4"/>
        </tpls>
      </m>
      <m>
        <tpls c="7">
          <tpl fld="5" item="118"/>
          <tpl fld="4" item="1"/>
          <tpl hier="98" item="1"/>
          <tpl hier="102" item="4294967295"/>
          <tpl hier="103" item="5"/>
          <tpl hier="108" item="3"/>
          <tpl hier="113" item="4"/>
        </tpls>
      </m>
      <m>
        <tpls c="7">
          <tpl fld="5" item="26"/>
          <tpl fld="4" item="1"/>
          <tpl hier="98" item="1"/>
          <tpl fld="6" item="2"/>
          <tpl hier="103" item="5"/>
          <tpl hier="108" item="3"/>
          <tpl hier="113" item="4"/>
        </tpls>
      </m>
      <m>
        <tpls c="7">
          <tpl fld="5" item="43"/>
          <tpl fld="4" item="1"/>
          <tpl hier="98" item="1"/>
          <tpl hier="102" item="4294967295"/>
          <tpl hier="103" item="5"/>
          <tpl hier="108" item="3"/>
          <tpl hier="113" item="4"/>
        </tpls>
      </m>
      <m>
        <tpls c="7">
          <tpl fld="5" item="38"/>
          <tpl fld="4" item="0"/>
          <tpl hier="98" item="1"/>
          <tpl hier="102" item="4294967295"/>
          <tpl hier="103" item="5"/>
          <tpl hier="108" item="3"/>
          <tpl hier="113" item="4"/>
        </tpls>
      </m>
      <m>
        <tpls c="7">
          <tpl fld="5" item="182"/>
          <tpl fld="4" item="0"/>
          <tpl hier="98" item="1"/>
          <tpl fld="6" item="1"/>
          <tpl hier="103" item="5"/>
          <tpl hier="108" item="3"/>
          <tpl hier="113" item="4"/>
        </tpls>
      </m>
      <n v="1561">
        <tpls c="7">
          <tpl fld="5" item="245"/>
          <tpl fld="4" item="0"/>
          <tpl hier="98" item="1"/>
          <tpl hier="102" item="4294967295"/>
          <tpl hier="103" item="5"/>
          <tpl hier="108" item="3"/>
          <tpl hier="113" item="4"/>
        </tpls>
      </n>
      <m>
        <tpls c="7">
          <tpl fld="5" item="253"/>
          <tpl fld="4" item="1"/>
          <tpl hier="98" item="1"/>
          <tpl fld="6" item="2"/>
          <tpl hier="103" item="5"/>
          <tpl hier="108" item="3"/>
          <tpl hier="113" item="4"/>
        </tpls>
      </m>
      <m>
        <tpls c="7">
          <tpl fld="5" item="72"/>
          <tpl fld="4" item="3"/>
          <tpl hier="98" item="1"/>
          <tpl hier="102" item="4294967295"/>
          <tpl hier="103" item="5"/>
          <tpl hier="108" item="3"/>
          <tpl hier="113" item="4"/>
        </tpls>
      </m>
      <m>
        <tpls c="7">
          <tpl fld="5" item="103"/>
          <tpl fld="4" item="0"/>
          <tpl hier="98" item="1"/>
          <tpl hier="102" item="4294967295"/>
          <tpl hier="103" item="5"/>
          <tpl hier="108" item="3"/>
          <tpl hier="113" item="4"/>
        </tpls>
      </m>
      <m>
        <tpls c="7">
          <tpl fld="5" item="230"/>
          <tpl fld="4" item="0"/>
          <tpl hier="98" item="1"/>
          <tpl fld="6" item="2"/>
          <tpl hier="103" item="5"/>
          <tpl hier="108" item="3"/>
          <tpl hier="113" item="4"/>
        </tpls>
      </m>
      <m>
        <tpls c="7">
          <tpl fld="5" item="237"/>
          <tpl fld="4" item="1"/>
          <tpl hier="98" item="1"/>
          <tpl fld="6" item="2"/>
          <tpl hier="103" item="5"/>
          <tpl hier="108" item="3"/>
          <tpl hier="113" item="4"/>
        </tpls>
      </m>
      <m>
        <tpls c="7">
          <tpl fld="5" item="65"/>
          <tpl fld="4" item="1"/>
          <tpl hier="98" item="1"/>
          <tpl fld="6" item="2"/>
          <tpl hier="103" item="5"/>
          <tpl hier="108" item="3"/>
          <tpl hier="113" item="4"/>
        </tpls>
      </m>
      <m>
        <tpls c="7">
          <tpl fld="5" item="135"/>
          <tpl fld="4" item="1"/>
          <tpl hier="98" item="1"/>
          <tpl hier="102" item="4294967295"/>
          <tpl hier="103" item="5"/>
          <tpl hier="108" item="3"/>
          <tpl hier="113" item="4"/>
        </tpls>
      </m>
      <m>
        <tpls c="7">
          <tpl fld="5" item="336"/>
          <tpl fld="4" item="0"/>
          <tpl hier="98" item="1"/>
          <tpl hier="102" item="4294967295"/>
          <tpl hier="103" item="5"/>
          <tpl hier="108" item="3"/>
          <tpl hier="113" item="4"/>
        </tpls>
      </m>
      <m>
        <tpls c="7">
          <tpl fld="5" item="44"/>
          <tpl fld="4" item="2"/>
          <tpl hier="98" item="1"/>
          <tpl hier="102" item="4294967295"/>
          <tpl hier="103" item="5"/>
          <tpl hier="108" item="3"/>
          <tpl hier="113" item="4"/>
        </tpls>
      </m>
      <m>
        <tpls c="7">
          <tpl fld="5" item="0"/>
          <tpl fld="4" item="0"/>
          <tpl hier="98" item="1"/>
          <tpl fld="6" item="1"/>
          <tpl hier="103" item="5"/>
          <tpl hier="108" item="3"/>
          <tpl hier="113" item="4"/>
        </tpls>
      </m>
      <n v="1">
        <tpls c="7">
          <tpl fld="5" item="37"/>
          <tpl fld="4" item="0"/>
          <tpl hier="98" item="1"/>
          <tpl fld="6" item="1"/>
          <tpl hier="103" item="5"/>
          <tpl hier="108" item="3"/>
          <tpl hier="113" item="4"/>
        </tpls>
      </n>
      <m>
        <tpls c="7">
          <tpl fld="5" item="132"/>
          <tpl fld="4" item="3"/>
          <tpl hier="98" item="1"/>
          <tpl fld="6" item="1"/>
          <tpl hier="103" item="5"/>
          <tpl hier="108" item="3"/>
          <tpl hier="113" item="4"/>
        </tpls>
      </m>
      <n v="1">
        <tpls c="7">
          <tpl fld="5" item="217"/>
          <tpl fld="4" item="0"/>
          <tpl hier="98" item="1"/>
          <tpl fld="6" item="1"/>
          <tpl hier="103" item="5"/>
          <tpl hier="108" item="3"/>
          <tpl hier="113" item="4"/>
        </tpls>
      </n>
      <m>
        <tpls c="7">
          <tpl fld="5" item="123"/>
          <tpl fld="4" item="0"/>
          <tpl hier="98" item="1"/>
          <tpl fld="6" item="2"/>
          <tpl hier="103" item="5"/>
          <tpl hier="108" item="3"/>
          <tpl hier="113" item="4"/>
        </tpls>
      </m>
      <n v="4">
        <tpls c="7">
          <tpl fld="5" item="223"/>
          <tpl fld="4" item="0"/>
          <tpl hier="98" item="1"/>
          <tpl fld="6" item="2"/>
          <tpl hier="103" item="5"/>
          <tpl hier="108" item="3"/>
          <tpl hier="113" item="4"/>
        </tpls>
      </n>
      <n v="6">
        <tpls c="7">
          <tpl fld="5" item="209"/>
          <tpl fld="4" item="0"/>
          <tpl hier="98" item="1"/>
          <tpl fld="6" item="2"/>
          <tpl hier="103" item="5"/>
          <tpl hier="108" item="3"/>
          <tpl hier="113" item="4"/>
        </tpls>
      </n>
      <m>
        <tpls c="7">
          <tpl fld="5" item="36"/>
          <tpl fld="4" item="1"/>
          <tpl hier="98" item="1"/>
          <tpl fld="6" item="2"/>
          <tpl hier="103" item="5"/>
          <tpl hier="108" item="3"/>
          <tpl hier="113" item="4"/>
        </tpls>
      </m>
      <m>
        <tpls c="7">
          <tpl fld="5" item="232"/>
          <tpl fld="4" item="0"/>
          <tpl hier="98" item="1"/>
          <tpl fld="6" item="1"/>
          <tpl hier="103" item="5"/>
          <tpl hier="108" item="3"/>
          <tpl hier="113" item="4"/>
        </tpls>
      </m>
      <m>
        <tpls c="7">
          <tpl fld="5" item="262"/>
          <tpl fld="4" item="1"/>
          <tpl hier="98" item="1"/>
          <tpl fld="6" item="2"/>
          <tpl hier="103" item="5"/>
          <tpl hier="108" item="3"/>
          <tpl hier="113" item="4"/>
        </tpls>
      </m>
      <m>
        <tpls c="7">
          <tpl fld="5" item="254"/>
          <tpl fld="4" item="0"/>
          <tpl hier="98" item="1"/>
          <tpl hier="102" item="4294967295"/>
          <tpl hier="103" item="5"/>
          <tpl hier="108" item="3"/>
          <tpl hier="113" item="4"/>
        </tpls>
      </m>
      <n v="3163972.16">
        <tpls c="6">
          <tpl hier="0" item="4294967295"/>
          <tpl hier="98" item="1"/>
          <tpl hier="102" item="4294967295"/>
          <tpl hier="103" item="5"/>
          <tpl hier="108" item="3"/>
          <tpl hier="113" item="4"/>
        </tpls>
      </n>
      <n v="1">
        <tpls c="7">
          <tpl fld="5" item="329"/>
          <tpl fld="4" item="0"/>
          <tpl hier="98" item="1"/>
          <tpl fld="6" item="1"/>
          <tpl hier="103" item="5"/>
          <tpl hier="108" item="3"/>
          <tpl hier="113" item="4"/>
        </tpls>
      </n>
      <n v="10">
        <tpls c="7">
          <tpl fld="5" item="95"/>
          <tpl fld="4" item="0"/>
          <tpl hier="98" item="1"/>
          <tpl fld="6" item="2"/>
          <tpl hier="103" item="5"/>
          <tpl hier="108" item="3"/>
          <tpl hier="113" item="4"/>
        </tpls>
      </n>
      <m>
        <tpls c="7">
          <tpl fld="5" item="134"/>
          <tpl fld="4" item="0"/>
          <tpl hier="98" item="1"/>
          <tpl fld="6" item="2"/>
          <tpl hier="103" item="5"/>
          <tpl hier="108" item="3"/>
          <tpl hier="113" item="4"/>
        </tpls>
      </m>
      <m>
        <tpls c="7">
          <tpl fld="5" item="206"/>
          <tpl fld="4" item="0"/>
          <tpl hier="98" item="1"/>
          <tpl fld="6" item="2"/>
          <tpl hier="103" item="5"/>
          <tpl hier="108" item="3"/>
          <tpl hier="113" item="4"/>
        </tpls>
      </m>
      <n v="339">
        <tpls c="7">
          <tpl fld="2" item="15"/>
          <tpl fld="7" item="4"/>
          <tpl hier="98" item="1"/>
          <tpl hier="102" item="4294967295"/>
          <tpl hier="103" item="5"/>
          <tpl hier="108" item="3"/>
          <tpl hier="113" item="4"/>
        </tpls>
      </n>
      <n v="6240">
        <tpls c="6">
          <tpl fld="2" item="9"/>
          <tpl hier="98" item="1"/>
          <tpl hier="102" item="4294967295"/>
          <tpl hier="103" item="5"/>
          <tpl hier="108" item="3"/>
          <tpl hier="113" item="4"/>
        </tpls>
      </n>
      <m>
        <tpls c="7">
          <tpl fld="5" item="214"/>
          <tpl fld="4" item="1"/>
          <tpl hier="98" item="1"/>
          <tpl hier="102" item="4294967295"/>
          <tpl hier="103" item="5"/>
          <tpl hier="108" item="3"/>
          <tpl hier="113" item="4"/>
        </tpls>
      </m>
      <m>
        <tpls c="7">
          <tpl fld="2" item="8"/>
          <tpl fld="7" item="1"/>
          <tpl hier="98" item="1"/>
          <tpl hier="102" item="4294967295"/>
          <tpl hier="103" item="5"/>
          <tpl hier="108" item="3"/>
          <tpl hier="113" item="4"/>
        </tpls>
      </m>
      <n v="12">
        <tpls c="7">
          <tpl fld="5" item="170"/>
          <tpl fld="4" item="0"/>
          <tpl hier="98" item="1"/>
          <tpl fld="6" item="2"/>
          <tpl hier="103" item="5"/>
          <tpl hier="108" item="3"/>
          <tpl hier="113" item="4"/>
        </tpls>
      </n>
      <m>
        <tpls c="7">
          <tpl fld="5" item="165"/>
          <tpl fld="4" item="0"/>
          <tpl hier="98" item="1"/>
          <tpl fld="6" item="1"/>
          <tpl hier="103" item="5"/>
          <tpl hier="108" item="3"/>
          <tpl hier="113" item="4"/>
        </tpls>
      </m>
      <m>
        <tpls c="7">
          <tpl fld="5" item="85"/>
          <tpl fld="4" item="0"/>
          <tpl hier="98" item="1"/>
          <tpl fld="6" item="2"/>
          <tpl hier="103" item="5"/>
          <tpl hier="108" item="3"/>
          <tpl hier="113" item="4"/>
        </tpls>
      </m>
      <m>
        <tpls c="7">
          <tpl fld="2" item="6"/>
          <tpl fld="7" item="1"/>
          <tpl hier="98" item="1"/>
          <tpl hier="102" item="4294967295"/>
          <tpl hier="103" item="5"/>
          <tpl hier="108" item="3"/>
          <tpl hier="113" item="4"/>
        </tpls>
      </m>
      <m>
        <tpls c="7">
          <tpl fld="5" item="340"/>
          <tpl fld="4" item="1"/>
          <tpl hier="98" item="1"/>
          <tpl fld="6" item="2"/>
          <tpl hier="103" item="5"/>
          <tpl hier="108" item="3"/>
          <tpl hier="113" item="4"/>
        </tpls>
      </m>
      <m>
        <tpls c="7">
          <tpl fld="5" item="42"/>
          <tpl fld="4" item="0"/>
          <tpl hier="98" item="1"/>
          <tpl fld="6" item="2"/>
          <tpl hier="103" item="5"/>
          <tpl hier="108" item="3"/>
          <tpl hier="113" item="4"/>
        </tpls>
      </m>
      <m>
        <tpls c="7">
          <tpl fld="5" item="34"/>
          <tpl fld="4" item="1"/>
          <tpl hier="98" item="1"/>
          <tpl fld="6" item="2"/>
          <tpl hier="103" item="5"/>
          <tpl hier="108" item="3"/>
          <tpl hier="113" item="4"/>
        </tpls>
      </m>
      <m>
        <tpls c="7">
          <tpl fld="5" item="205"/>
          <tpl fld="4" item="1"/>
          <tpl hier="98" item="1"/>
          <tpl fld="6" item="2"/>
          <tpl hier="103" item="5"/>
          <tpl hier="108" item="3"/>
          <tpl hier="113" item="4"/>
        </tpls>
      </m>
      <n v="3">
        <tpls c="7">
          <tpl fld="5" item="243"/>
          <tpl fld="4" item="0"/>
          <tpl hier="98" item="1"/>
          <tpl fld="6" item="2"/>
          <tpl hier="103" item="5"/>
          <tpl hier="108" item="3"/>
          <tpl hier="113" item="4"/>
        </tpls>
      </n>
      <m>
        <tpls c="7">
          <tpl fld="5" item="53"/>
          <tpl fld="4" item="1"/>
          <tpl hier="98" item="1"/>
          <tpl fld="6" item="2"/>
          <tpl hier="103" item="5"/>
          <tpl hier="108" item="3"/>
          <tpl hier="113" item="4"/>
        </tpls>
      </m>
      <m>
        <tpls c="7">
          <tpl fld="5" item="2"/>
          <tpl fld="4" item="1"/>
          <tpl hier="98" item="1"/>
          <tpl fld="6" item="2"/>
          <tpl hier="103" item="5"/>
          <tpl hier="108" item="3"/>
          <tpl hier="113" item="4"/>
        </tpls>
      </m>
      <n v="2">
        <tpls c="7">
          <tpl fld="5" item="321"/>
          <tpl fld="4" item="0"/>
          <tpl hier="98" item="1"/>
          <tpl fld="6" item="1"/>
          <tpl hier="103" item="5"/>
          <tpl hier="108" item="3"/>
          <tpl hier="113" item="4"/>
        </tpls>
      </n>
      <n v="2">
        <tpls c="7">
          <tpl fld="5" item="315"/>
          <tpl fld="4" item="0"/>
          <tpl hier="98" item="1"/>
          <tpl fld="6" item="2"/>
          <tpl hier="103" item="5"/>
          <tpl hier="108" item="3"/>
          <tpl hier="113" item="4"/>
        </tpls>
      </n>
      <m>
        <tpls c="6">
          <tpl fld="2" item="12"/>
          <tpl hier="98" item="1"/>
          <tpl hier="102" item="4294967295"/>
          <tpl hier="103" item="5"/>
          <tpl hier="108" item="3"/>
          <tpl hier="113" item="4"/>
        </tpls>
      </m>
      <n v="7">
        <tpls c="6">
          <tpl fld="2" item="9"/>
          <tpl hier="98" item="1"/>
          <tpl fld="6" item="1"/>
          <tpl hier="103" item="5"/>
          <tpl hier="108" item="3"/>
          <tpl hier="113" item="4"/>
        </tpls>
      </n>
      <m>
        <tpls c="7">
          <tpl fld="5" item="268"/>
          <tpl fld="4" item="1"/>
          <tpl hier="98" item="1"/>
          <tpl fld="6" item="1"/>
          <tpl hier="103" item="5"/>
          <tpl hier="108" item="3"/>
          <tpl hier="113" item="4"/>
        </tpls>
      </m>
      <m>
        <tpls c="7">
          <tpl fld="5" item="233"/>
          <tpl fld="4" item="1"/>
          <tpl hier="98" item="1"/>
          <tpl fld="6" item="2"/>
          <tpl hier="103" item="5"/>
          <tpl hier="108" item="3"/>
          <tpl hier="113" item="4"/>
        </tpls>
      </m>
      <n v="1">
        <tpls c="7">
          <tpl fld="5" item="60"/>
          <tpl fld="4" item="0"/>
          <tpl hier="98" item="1"/>
          <tpl fld="6" item="2"/>
          <tpl hier="103" item="5"/>
          <tpl hier="108" item="3"/>
          <tpl hier="113" item="4"/>
        </tpls>
      </n>
      <m>
        <tpls c="7">
          <tpl fld="5" item="32"/>
          <tpl fld="4" item="0"/>
          <tpl hier="98" item="1"/>
          <tpl fld="6" item="2"/>
          <tpl hier="103" item="5"/>
          <tpl hier="108" item="3"/>
          <tpl hier="113" item="4"/>
        </tpls>
      </m>
      <m>
        <tpls c="7">
          <tpl fld="5" item="159"/>
          <tpl fld="4" item="0"/>
          <tpl hier="98" item="1"/>
          <tpl fld="6" item="2"/>
          <tpl hier="103" item="5"/>
          <tpl hier="108" item="3"/>
          <tpl hier="113" item="4"/>
        </tpls>
      </m>
      <m>
        <tpls c="7">
          <tpl fld="5" item="196"/>
          <tpl fld="4" item="1"/>
          <tpl hier="98" item="1"/>
          <tpl hier="102" item="4294967295"/>
          <tpl hier="103" item="5"/>
          <tpl hier="108" item="3"/>
          <tpl hier="113" item="4"/>
        </tpls>
      </m>
      <n v="65000">
        <tpls c="6">
          <tpl fld="2" item="4"/>
          <tpl hier="98" item="1"/>
          <tpl hier="102" item="4294967295"/>
          <tpl hier="103" item="5"/>
          <tpl hier="108" item="3"/>
          <tpl hier="113" item="4"/>
        </tpls>
      </n>
      <n v="22">
        <tpls c="6">
          <tpl fld="2" item="1"/>
          <tpl hier="98" item="1"/>
          <tpl fld="6" item="1"/>
          <tpl hier="103" item="5"/>
          <tpl hier="108" item="3"/>
          <tpl hier="113" item="4"/>
        </tpls>
      </n>
      <m>
        <tpls c="7">
          <tpl fld="5" item="330"/>
          <tpl fld="4" item="1"/>
          <tpl hier="98" item="1"/>
          <tpl fld="6" item="2"/>
          <tpl hier="103" item="5"/>
          <tpl hier="108" item="3"/>
          <tpl hier="113" item="4"/>
        </tpls>
      </m>
      <n v="5">
        <tpls c="7">
          <tpl fld="5" item="1"/>
          <tpl fld="4" item="0"/>
          <tpl hier="98" item="1"/>
          <tpl fld="6" item="2"/>
          <tpl hier="103" item="5"/>
          <tpl hier="108" item="3"/>
          <tpl hier="113" item="4"/>
        </tpls>
      </n>
      <m>
        <tpls c="7">
          <tpl fld="5" item="100"/>
          <tpl fld="4" item="0"/>
          <tpl hier="98" item="1"/>
          <tpl fld="6" item="2"/>
          <tpl hier="103" item="5"/>
          <tpl hier="108" item="3"/>
          <tpl hier="113" item="4"/>
        </tpls>
      </m>
      <m>
        <tpls c="7">
          <tpl fld="5" item="48"/>
          <tpl fld="4" item="0"/>
          <tpl hier="98" item="1"/>
          <tpl fld="6" item="2"/>
          <tpl hier="103" item="5"/>
          <tpl hier="108" item="3"/>
          <tpl hier="113" item="4"/>
        </tpls>
      </m>
      <m>
        <tpls c="7">
          <tpl fld="5" item="137"/>
          <tpl fld="4" item="1"/>
          <tpl hier="98" item="1"/>
          <tpl fld="6" item="2"/>
          <tpl hier="103" item="5"/>
          <tpl hier="108" item="3"/>
          <tpl hier="113" item="4"/>
        </tpls>
      </m>
      <m>
        <tpls c="7">
          <tpl fld="5" item="313"/>
          <tpl fld="4" item="1"/>
          <tpl hier="98" item="1"/>
          <tpl fld="6" item="2"/>
          <tpl hier="103" item="5"/>
          <tpl hier="108" item="3"/>
          <tpl hier="113" item="4"/>
        </tpls>
      </m>
      <m>
        <tpls c="7">
          <tpl fld="5" item="191"/>
          <tpl fld="4" item="1"/>
          <tpl hier="98" item="1"/>
          <tpl fld="6" item="2"/>
          <tpl hier="103" item="5"/>
          <tpl hier="108" item="3"/>
          <tpl hier="113" item="4"/>
        </tpls>
      </m>
      <n v="4">
        <tpls c="7">
          <tpl fld="5" item="151"/>
          <tpl fld="4" item="0"/>
          <tpl hier="98" item="1"/>
          <tpl fld="6" item="2"/>
          <tpl hier="103" item="5"/>
          <tpl hier="108" item="3"/>
          <tpl hier="113" item="4"/>
        </tpls>
      </n>
      <n v="0">
        <tpls c="7">
          <tpl fld="5" item="308"/>
          <tpl fld="4" item="0"/>
          <tpl hier="98" item="1"/>
          <tpl hier="102" item="4294967295"/>
          <tpl hier="103" item="5"/>
          <tpl hier="108" item="3"/>
          <tpl hier="113" item="4"/>
        </tpls>
      </n>
      <m>
        <tpls c="7">
          <tpl fld="5" item="182"/>
          <tpl fld="4" item="0"/>
          <tpl hier="98" item="1"/>
          <tpl fld="6" item="2"/>
          <tpl hier="103" item="5"/>
          <tpl hier="108" item="3"/>
          <tpl hier="113" item="4"/>
        </tpls>
      </m>
      <n v="1">
        <tpls c="7">
          <tpl fld="5" item="188"/>
          <tpl fld="4" item="0"/>
          <tpl hier="98" item="1"/>
          <tpl fld="6" item="2"/>
          <tpl hier="103" item="5"/>
          <tpl hier="108" item="3"/>
          <tpl hier="113" item="4"/>
        </tpls>
      </n>
      <m>
        <tpls c="7">
          <tpl fld="5" item="316"/>
          <tpl fld="4" item="0"/>
          <tpl hier="98" item="1"/>
          <tpl fld="6" item="2"/>
          <tpl hier="103" item="5"/>
          <tpl hier="108" item="3"/>
          <tpl hier="113" item="4"/>
        </tpls>
      </m>
      <n v="2">
        <tpls c="7">
          <tpl fld="5" item="343"/>
          <tpl fld="4" item="0"/>
          <tpl hier="98" item="1"/>
          <tpl fld="6" item="1"/>
          <tpl hier="103" item="5"/>
          <tpl hier="108" item="3"/>
          <tpl hier="113" item="4"/>
        </tpls>
      </n>
      <n v="434">
        <tpls c="6">
          <tpl fld="3" item="2"/>
          <tpl hier="98" item="1"/>
          <tpl fld="6" item="2"/>
          <tpl hier="103" item="5"/>
          <tpl hier="108" item="3"/>
          <tpl hier="113" item="4"/>
        </tpls>
      </n>
      <m>
        <tpls c="7">
          <tpl fld="5" item="140"/>
          <tpl fld="4" item="1"/>
          <tpl hier="98" item="1"/>
          <tpl fld="6" item="2"/>
          <tpl hier="103" item="5"/>
          <tpl hier="108" item="3"/>
          <tpl hier="113" item="4"/>
        </tpls>
      </m>
      <n v="21458.68">
        <tpls c="6">
          <tpl fld="2" item="5"/>
          <tpl hier="98" item="1"/>
          <tpl hier="102" item="4294967295"/>
          <tpl hier="103" item="5"/>
          <tpl hier="108" item="3"/>
          <tpl hier="113" item="4"/>
        </tpls>
      </n>
      <m>
        <tpls c="7">
          <tpl fld="5" item="300"/>
          <tpl fld="4" item="0"/>
          <tpl hier="98" item="1"/>
          <tpl fld="6" item="1"/>
          <tpl hier="103" item="5"/>
          <tpl hier="108" item="3"/>
          <tpl hier="113" item="4"/>
        </tpls>
      </m>
      <m>
        <tpls c="7">
          <tpl fld="5" item="229"/>
          <tpl fld="4" item="0"/>
          <tpl hier="98" item="1"/>
          <tpl fld="6" item="2"/>
          <tpl hier="103" item="5"/>
          <tpl hier="108" item="3"/>
          <tpl hier="113" item="4"/>
        </tpls>
      </m>
      <m>
        <tpls c="7">
          <tpl fld="5" item="269"/>
          <tpl fld="4" item="0"/>
          <tpl hier="98" item="1"/>
          <tpl hier="102" item="4294967295"/>
          <tpl hier="103" item="5"/>
          <tpl hier="108" item="3"/>
          <tpl hier="113" item="4"/>
        </tpls>
      </m>
      <m>
        <tpls c="7">
          <tpl fld="5" item="292"/>
          <tpl fld="4" item="0"/>
          <tpl hier="98" item="1"/>
          <tpl hier="102" item="4294967295"/>
          <tpl hier="103" item="5"/>
          <tpl hier="108" item="3"/>
          <tpl hier="113" item="4"/>
        </tpls>
      </m>
      <n v="1">
        <tpls c="7">
          <tpl fld="5" item="245"/>
          <tpl fld="4" item="0"/>
          <tpl hier="98" item="1"/>
          <tpl fld="6" item="2"/>
          <tpl hier="103" item="5"/>
          <tpl hier="108" item="3"/>
          <tpl hier="113" item="4"/>
        </tpls>
      </n>
      <m>
        <tpls c="7">
          <tpl fld="5" item="344"/>
          <tpl fld="4" item="0"/>
          <tpl hier="98" item="1"/>
          <tpl fld="6" item="1"/>
          <tpl hier="103" item="5"/>
          <tpl hier="108" item="3"/>
          <tpl hier="113" item="4"/>
        </tpls>
      </m>
      <m>
        <tpls c="7">
          <tpl fld="5" item="302"/>
          <tpl fld="4" item="0"/>
          <tpl hier="98" item="1"/>
          <tpl hier="102" item="4294967295"/>
          <tpl hier="103" item="5"/>
          <tpl hier="108" item="3"/>
          <tpl hier="113" item="4"/>
        </tpls>
      </m>
      <m>
        <tpls c="7">
          <tpl fld="5" item="86"/>
          <tpl fld="4" item="1"/>
          <tpl hier="98" item="1"/>
          <tpl hier="102" item="4294967295"/>
          <tpl hier="103" item="5"/>
          <tpl hier="108" item="3"/>
          <tpl hier="113" item="4"/>
        </tpls>
      </m>
      <n v="2">
        <tpls c="7">
          <tpl fld="5" item="315"/>
          <tpl fld="4" item="0"/>
          <tpl hier="98" item="1"/>
          <tpl fld="6" item="1"/>
          <tpl hier="103" item="5"/>
          <tpl hier="108" item="3"/>
          <tpl hier="113" item="4"/>
        </tpls>
      </n>
      <m>
        <tpls c="7">
          <tpl fld="5" item="180"/>
          <tpl fld="4" item="1"/>
          <tpl hier="98" item="1"/>
          <tpl hier="102" item="4294967295"/>
          <tpl hier="103" item="5"/>
          <tpl hier="108" item="3"/>
          <tpl hier="113" item="4"/>
        </tpls>
      </m>
      <m>
        <tpls c="7">
          <tpl fld="5" item="82"/>
          <tpl fld="4" item="3"/>
          <tpl hier="98" item="1"/>
          <tpl hier="102" item="4294967295"/>
          <tpl hier="103" item="5"/>
          <tpl hier="108" item="3"/>
          <tpl hier="113" item="4"/>
        </tpls>
      </m>
      <m>
        <tpls c="7">
          <tpl fld="5" item="206"/>
          <tpl fld="4" item="0"/>
          <tpl hier="98" item="1"/>
          <tpl hier="102" item="4294967295"/>
          <tpl hier="103" item="5"/>
          <tpl hier="108" item="3"/>
          <tpl hier="113" item="4"/>
        </tpls>
      </m>
      <m>
        <tpls c="7">
          <tpl fld="5" item="99"/>
          <tpl fld="4" item="1"/>
          <tpl hier="98" item="1"/>
          <tpl hier="102" item="4294967295"/>
          <tpl hier="103" item="5"/>
          <tpl hier="108" item="3"/>
          <tpl hier="113" item="4"/>
        </tpls>
      </m>
      <m>
        <tpls c="7">
          <tpl fld="5" item="122"/>
          <tpl fld="4" item="1"/>
          <tpl hier="98" item="1"/>
          <tpl hier="102" item="4294967295"/>
          <tpl hier="103" item="5"/>
          <tpl hier="108" item="3"/>
          <tpl hier="113" item="4"/>
        </tpls>
      </m>
      <m>
        <tpls c="7">
          <tpl fld="2" item="16"/>
          <tpl fld="7" item="3"/>
          <tpl hier="98" item="1"/>
          <tpl hier="102" item="4294967295"/>
          <tpl hier="103" item="5"/>
          <tpl hier="108" item="3"/>
          <tpl hier="113" item="4"/>
        </tpls>
      </m>
      <m>
        <tpls c="7">
          <tpl fld="5" item="236"/>
          <tpl fld="4" item="0"/>
          <tpl hier="98" item="1"/>
          <tpl hier="102" item="4294967295"/>
          <tpl hier="103" item="5"/>
          <tpl hier="108" item="3"/>
          <tpl hier="113" item="4"/>
        </tpls>
      </m>
      <m>
        <tpls c="7">
          <tpl fld="5" item="205"/>
          <tpl fld="4" item="1"/>
          <tpl hier="98" item="1"/>
          <tpl fld="6" item="1"/>
          <tpl hier="103" item="5"/>
          <tpl hier="108" item="3"/>
          <tpl hier="113" item="4"/>
        </tpls>
      </m>
      <m>
        <tpls c="7">
          <tpl fld="5" item="72"/>
          <tpl fld="4" item="0"/>
          <tpl hier="98" item="1"/>
          <tpl fld="6" item="2"/>
          <tpl hier="103" item="5"/>
          <tpl hier="108" item="3"/>
          <tpl hier="113" item="4"/>
        </tpls>
      </m>
      <m>
        <tpls c="7">
          <tpl fld="2" item="3"/>
          <tpl fld="7" item="0"/>
          <tpl hier="98" item="1"/>
          <tpl hier="102" item="4294967295"/>
          <tpl hier="103" item="5"/>
          <tpl hier="108" item="3"/>
          <tpl hier="113" item="4"/>
        </tpls>
      </m>
      <m>
        <tpls c="7">
          <tpl fld="5" item="86"/>
          <tpl fld="4" item="3"/>
          <tpl hier="98" item="1"/>
          <tpl fld="6" item="2"/>
          <tpl hier="103" item="5"/>
          <tpl hier="108" item="3"/>
          <tpl hier="113" item="4"/>
        </tpls>
      </m>
      <m>
        <tpls c="7">
          <tpl fld="2" item="12"/>
          <tpl fld="7" item="4"/>
          <tpl hier="98" item="1"/>
          <tpl hier="102" item="4294967295"/>
          <tpl hier="103" item="5"/>
          <tpl hier="108" item="3"/>
          <tpl hier="113" item="4"/>
        </tpls>
      </m>
      <n v="21458.68">
        <tpls c="7">
          <tpl fld="2" item="5"/>
          <tpl hier="7" item="2"/>
          <tpl hier="98" item="1"/>
          <tpl hier="102" item="4294967295"/>
          <tpl hier="103" item="5"/>
          <tpl hier="108" item="3"/>
          <tpl hier="113" item="4"/>
        </tpls>
      </n>
      <n v="15000">
        <tpls c="7">
          <tpl fld="2" item="11"/>
          <tpl hier="7" item="2"/>
          <tpl hier="98" item="1"/>
          <tpl hier="102" item="4294967295"/>
          <tpl hier="103" item="5"/>
          <tpl hier="108" item="3"/>
          <tpl hier="113" item="4"/>
        </tpls>
      </n>
      <m>
        <tpls c="7">
          <tpl fld="5" item="269"/>
          <tpl fld="4" item="0"/>
          <tpl hier="98" item="1"/>
          <tpl fld="6" item="1"/>
          <tpl hier="103" item="5"/>
          <tpl hier="108" item="3"/>
          <tpl hier="113" item="4"/>
        </tpls>
      </m>
      <m>
        <tpls c="7">
          <tpl fld="5" item="301"/>
          <tpl fld="4" item="1"/>
          <tpl hier="98" item="1"/>
          <tpl hier="102" item="4294967295"/>
          <tpl hier="103" item="5"/>
          <tpl hier="108" item="3"/>
          <tpl hier="113" item="4"/>
        </tpls>
      </m>
      <n v="127">
        <tpls c="6">
          <tpl fld="2" item="15"/>
          <tpl hier="98" item="1"/>
          <tpl fld="6" item="2"/>
          <tpl hier="103" item="5"/>
          <tpl hier="108" item="3"/>
          <tpl hier="113" item="4"/>
        </tpls>
      </n>
      <n v="449">
        <tpls c="6">
          <tpl fld="2" item="0"/>
          <tpl hier="98" item="1"/>
          <tpl fld="6" item="2"/>
          <tpl hier="103" item="5"/>
          <tpl hier="108" item="3"/>
          <tpl hier="113" item="4"/>
        </tpls>
      </n>
      <n v="11">
        <tpls c="6">
          <tpl fld="2" item="8"/>
          <tpl hier="98" item="1"/>
          <tpl fld="6" item="2"/>
          <tpl hier="103" item="5"/>
          <tpl hier="108" item="3"/>
          <tpl hier="113" item="4"/>
        </tpls>
      </n>
      <m>
        <tpls c="7">
          <tpl fld="5" item="318"/>
          <tpl fld="4" item="1"/>
          <tpl hier="98" item="1"/>
          <tpl fld="6" item="2"/>
          <tpl hier="103" item="5"/>
          <tpl hier="108" item="3"/>
          <tpl hier="113" item="4"/>
        </tpls>
      </m>
      <m>
        <tpls c="7">
          <tpl fld="5" item="302"/>
          <tpl fld="4" item="0"/>
          <tpl hier="98" item="1"/>
          <tpl fld="6" item="2"/>
          <tpl hier="103" item="5"/>
          <tpl hier="108" item="3"/>
          <tpl hier="113" item="4"/>
        </tpls>
      </m>
      <m>
        <tpls c="7">
          <tpl fld="5" item="303"/>
          <tpl fld="4" item="1"/>
          <tpl hier="98" item="1"/>
          <tpl fld="6" item="1"/>
          <tpl hier="103" item="5"/>
          <tpl hier="108" item="3"/>
          <tpl hier="113" item="4"/>
        </tpls>
      </m>
      <m>
        <tpls c="7">
          <tpl fld="5" item="320"/>
          <tpl fld="4" item="1"/>
          <tpl hier="98" item="1"/>
          <tpl fld="6" item="2"/>
          <tpl hier="103" item="5"/>
          <tpl hier="108" item="3"/>
          <tpl hier="113" item="4"/>
        </tpls>
      </m>
      <n v="9772.25">
        <tpls c="7">
          <tpl fld="5" item="156"/>
          <tpl fld="4" item="0"/>
          <tpl hier="98" item="1"/>
          <tpl hier="102" item="4294967295"/>
          <tpl hier="103" item="5"/>
          <tpl hier="108" item="3"/>
          <tpl hier="113" item="4"/>
        </tpls>
      </n>
      <m>
        <tpls c="7">
          <tpl fld="5" item="25"/>
          <tpl fld="4" item="0"/>
          <tpl hier="98" item="1"/>
          <tpl fld="6" item="1"/>
          <tpl hier="103" item="5"/>
          <tpl hier="108" item="3"/>
          <tpl hier="113" item="4"/>
        </tpls>
      </m>
      <n v="2">
        <tpls c="7">
          <tpl fld="5" item="41"/>
          <tpl fld="4" item="0"/>
          <tpl hier="98" item="1"/>
          <tpl fld="6" item="1"/>
          <tpl hier="103" item="5"/>
          <tpl hier="108" item="3"/>
          <tpl hier="113" item="4"/>
        </tpls>
      </n>
      <n v="0">
        <tpls c="7">
          <tpl fld="5" item="3"/>
          <tpl fld="4" item="0"/>
          <tpl hier="98" item="1"/>
          <tpl hier="102" item="4294967295"/>
          <tpl hier="103" item="5"/>
          <tpl hier="108" item="3"/>
          <tpl hier="113" item="4"/>
        </tpls>
      </n>
      <m>
        <tpls c="7">
          <tpl fld="5" item="252"/>
          <tpl fld="4" item="1"/>
          <tpl hier="98" item="1"/>
          <tpl fld="6" item="1"/>
          <tpl hier="103" item="5"/>
          <tpl hier="108" item="3"/>
          <tpl hier="113" item="4"/>
        </tpls>
      </m>
      <n v="1">
        <tpls c="7">
          <tpl fld="5" item="160"/>
          <tpl fld="4" item="0"/>
          <tpl hier="98" item="1"/>
          <tpl fld="6" item="1"/>
          <tpl hier="103" item="5"/>
          <tpl hier="108" item="3"/>
          <tpl hier="113" item="4"/>
        </tpls>
      </n>
      <n v="3">
        <tpls c="7">
          <tpl fld="5" item="185"/>
          <tpl fld="4" item="0"/>
          <tpl hier="98" item="1"/>
          <tpl fld="6" item="1"/>
          <tpl hier="103" item="5"/>
          <tpl hier="108" item="3"/>
          <tpl hier="113" item="4"/>
        </tpls>
      </n>
      <n v="0">
        <tpls c="7">
          <tpl fld="5" item="315"/>
          <tpl fld="4" item="0"/>
          <tpl hier="98" item="1"/>
          <tpl hier="102" item="4294967295"/>
          <tpl hier="103" item="5"/>
          <tpl hier="108" item="3"/>
          <tpl hier="113" item="4"/>
        </tpls>
      </n>
      <m>
        <tpls c="7">
          <tpl fld="5" item="226"/>
          <tpl fld="4" item="1"/>
          <tpl hier="98" item="1"/>
          <tpl hier="102" item="4294967295"/>
          <tpl hier="103" item="5"/>
          <tpl hier="108" item="3"/>
          <tpl hier="113" item="4"/>
        </tpls>
      </m>
      <m>
        <tpls c="7">
          <tpl fld="5" item="231"/>
          <tpl fld="4" item="1"/>
          <tpl hier="98" item="1"/>
          <tpl fld="6" item="1"/>
          <tpl hier="103" item="5"/>
          <tpl hier="108" item="3"/>
          <tpl hier="113" item="4"/>
        </tpls>
      </m>
      <m>
        <tpls c="7">
          <tpl fld="5" item="7"/>
          <tpl fld="4" item="1"/>
          <tpl hier="98" item="1"/>
          <tpl fld="6" item="2"/>
          <tpl hier="103" item="5"/>
          <tpl hier="108" item="3"/>
          <tpl hier="113" item="4"/>
        </tpls>
      </m>
      <m>
        <tpls c="7">
          <tpl fld="5" item="247"/>
          <tpl fld="4" item="3"/>
          <tpl hier="98" item="1"/>
          <tpl fld="6" item="2"/>
          <tpl hier="103" item="5"/>
          <tpl hier="108" item="3"/>
          <tpl hier="113" item="4"/>
        </tpls>
      </m>
      <m>
        <tpls c="7">
          <tpl fld="5" item="174"/>
          <tpl fld="4" item="0"/>
          <tpl hier="98" item="1"/>
          <tpl fld="6" item="2"/>
          <tpl hier="103" item="5"/>
          <tpl hier="108" item="3"/>
          <tpl hier="113" item="4"/>
        </tpls>
      </m>
      <m>
        <tpls c="7">
          <tpl fld="5" item="168"/>
          <tpl fld="4" item="1"/>
          <tpl hier="98" item="1"/>
          <tpl fld="6" item="2"/>
          <tpl hier="103" item="5"/>
          <tpl hier="108" item="3"/>
          <tpl hier="113" item="4"/>
        </tpls>
      </m>
      <m>
        <tpls c="7">
          <tpl fld="5" item="92"/>
          <tpl fld="4" item="1"/>
          <tpl hier="98" item="1"/>
          <tpl fld="6" item="2"/>
          <tpl hier="103" item="5"/>
          <tpl hier="108" item="3"/>
          <tpl hier="113" item="4"/>
        </tpls>
      </m>
      <m>
        <tpls c="6">
          <tpl fld="2" item="12"/>
          <tpl hier="98" item="1"/>
          <tpl fld="6" item="1"/>
          <tpl hier="103" item="5"/>
          <tpl hier="108" item="3"/>
          <tpl hier="113" item="4"/>
        </tpls>
      </m>
      <n v="2">
        <tpls c="7">
          <tpl fld="5" item="20"/>
          <tpl fld="4" item="0"/>
          <tpl hier="98" item="1"/>
          <tpl fld="6" item="2"/>
          <tpl hier="103" item="5"/>
          <tpl hier="108" item="3"/>
          <tpl hier="113" item="4"/>
        </tpls>
      </n>
      <m>
        <tpls c="7">
          <tpl fld="5" item="154"/>
          <tpl fld="4" item="0"/>
          <tpl hier="98" item="1"/>
          <tpl fld="6" item="2"/>
          <tpl hier="103" item="5"/>
          <tpl hier="108" item="3"/>
          <tpl hier="113" item="4"/>
        </tpls>
      </m>
      <n v="21">
        <tpls c="7">
          <tpl fld="5" item="187"/>
          <tpl fld="4" item="0"/>
          <tpl hier="98" item="1"/>
          <tpl fld="6" item="2"/>
          <tpl hier="103" item="5"/>
          <tpl hier="108" item="3"/>
          <tpl hier="113" item="4"/>
        </tpls>
      </n>
      <m>
        <tpls c="7">
          <tpl fld="5" item="8"/>
          <tpl fld="4" item="1"/>
          <tpl hier="98" item="1"/>
          <tpl fld="6" item="2"/>
          <tpl hier="103" item="5"/>
          <tpl hier="108" item="3"/>
          <tpl hier="113" item="4"/>
        </tpls>
      </m>
      <n v="850">
        <tpls c="7">
          <tpl fld="5" item="209"/>
          <tpl fld="4" item="0"/>
          <tpl hier="98" item="1"/>
          <tpl hier="102" item="4294967295"/>
          <tpl hier="103" item="5"/>
          <tpl hier="108" item="3"/>
          <tpl hier="113" item="4"/>
        </tpls>
      </n>
      <m>
        <tpls c="7">
          <tpl fld="5" item="59"/>
          <tpl fld="4" item="0"/>
          <tpl hier="98" item="1"/>
          <tpl fld="6" item="2"/>
          <tpl hier="103" item="5"/>
          <tpl hier="108" item="3"/>
          <tpl hier="113" item="4"/>
        </tpls>
      </m>
      <m>
        <tpls c="7">
          <tpl fld="5" item="258"/>
          <tpl fld="4" item="0"/>
          <tpl hier="98" item="1"/>
          <tpl fld="6" item="2"/>
          <tpl hier="103" item="5"/>
          <tpl hier="108" item="3"/>
          <tpl hier="113" item="4"/>
        </tpls>
      </m>
      <n v="94">
        <tpls c="7">
          <tpl fld="5" item="44"/>
          <tpl fld="4" item="0"/>
          <tpl hier="98" item="1"/>
          <tpl fld="6" item="2"/>
          <tpl hier="103" item="5"/>
          <tpl hier="108" item="3"/>
          <tpl hier="113" item="4"/>
        </tpls>
      </n>
      <m>
        <tpls c="7">
          <tpl fld="5" item="328"/>
          <tpl fld="4" item="3"/>
          <tpl hier="98" item="1"/>
          <tpl fld="6" item="2"/>
          <tpl hier="103" item="5"/>
          <tpl hier="108" item="3"/>
          <tpl hier="113" item="4"/>
        </tpls>
      </m>
      <n v="1">
        <tpls c="7">
          <tpl fld="5" item="241"/>
          <tpl fld="4" item="0"/>
          <tpl hier="98" item="1"/>
          <tpl fld="6" item="2"/>
          <tpl hier="103" item="5"/>
          <tpl hier="108" item="3"/>
          <tpl hier="113" item="4"/>
        </tpls>
      </n>
      <m>
        <tpls c="7">
          <tpl fld="5" item="11"/>
          <tpl fld="4" item="1"/>
          <tpl hier="98" item="1"/>
          <tpl fld="6" item="2"/>
          <tpl hier="103" item="5"/>
          <tpl hier="108" item="3"/>
          <tpl hier="113" item="4"/>
        </tpls>
      </m>
      <m>
        <tpls c="7">
          <tpl fld="5" item="232"/>
          <tpl fld="4" item="0"/>
          <tpl hier="98" item="1"/>
          <tpl fld="6" item="2"/>
          <tpl hier="103" item="5"/>
          <tpl hier="108" item="3"/>
          <tpl hier="113" item="4"/>
        </tpls>
      </m>
      <n v="3684.2">
        <tpls c="6">
          <tpl fld="3" item="0"/>
          <tpl hier="98" item="1"/>
          <tpl hier="102" item="4294967295"/>
          <tpl hier="103" item="5"/>
          <tpl hier="108" item="3"/>
          <tpl hier="113" item="4"/>
        </tpls>
      </n>
      <n v="14595.65">
        <tpls c="7">
          <tpl fld="2" item="13"/>
          <tpl hier="7" item="2"/>
          <tpl hier="98" item="1"/>
          <tpl hier="102" item="4294967295"/>
          <tpl hier="103" item="5"/>
          <tpl hier="108" item="3"/>
          <tpl hier="113" item="4"/>
        </tpls>
      </n>
      <m>
        <tpls c="7">
          <tpl fld="5" item="11"/>
          <tpl fld="4" item="1"/>
          <tpl hier="98" item="1"/>
          <tpl hier="102" item="4294967295"/>
          <tpl hier="103" item="5"/>
          <tpl hier="108" item="3"/>
          <tpl hier="113" item="4"/>
        </tpls>
      </m>
      <m>
        <tpls c="7">
          <tpl fld="5" item="108"/>
          <tpl fld="4" item="1"/>
          <tpl hier="98" item="1"/>
          <tpl fld="6" item="1"/>
          <tpl hier="103" item="5"/>
          <tpl hier="108" item="3"/>
          <tpl hier="113" item="4"/>
        </tpls>
      </m>
      <m>
        <tpls c="7">
          <tpl fld="5" item="253"/>
          <tpl fld="4" item="1"/>
          <tpl hier="98" item="1"/>
          <tpl hier="102" item="4294967295"/>
          <tpl hier="103" item="5"/>
          <tpl hier="108" item="3"/>
          <tpl hier="113" item="4"/>
        </tpls>
      </m>
      <n v="4150">
        <tpls c="7">
          <tpl fld="2" item="14"/>
          <tpl fld="7" item="0"/>
          <tpl hier="98" item="1"/>
          <tpl hier="102" item="4294967295"/>
          <tpl hier="103" item="5"/>
          <tpl hier="108" item="3"/>
          <tpl hier="113" item="4"/>
        </tpls>
      </n>
      <m>
        <tpls c="7">
          <tpl fld="5" item="273"/>
          <tpl fld="4" item="1"/>
          <tpl hier="98" item="1"/>
          <tpl fld="6" item="2"/>
          <tpl hier="103" item="5"/>
          <tpl hier="108" item="3"/>
          <tpl hier="113" item="4"/>
        </tpls>
      </m>
      <m>
        <tpls c="7">
          <tpl fld="5" item="57"/>
          <tpl fld="4" item="1"/>
          <tpl hier="98" item="1"/>
          <tpl fld="6" item="2"/>
          <tpl hier="103" item="5"/>
          <tpl hier="108" item="3"/>
          <tpl hier="113" item="4"/>
        </tpls>
      </m>
      <m>
        <tpls c="7">
          <tpl fld="5" item="183"/>
          <tpl fld="4" item="1"/>
          <tpl hier="98" item="1"/>
          <tpl fld="6" item="1"/>
          <tpl hier="103" item="5"/>
          <tpl hier="108" item="3"/>
          <tpl hier="113" item="4"/>
        </tpls>
      </m>
      <m>
        <tpls c="7">
          <tpl fld="5" item="226"/>
          <tpl fld="4" item="1"/>
          <tpl hier="98" item="1"/>
          <tpl fld="6" item="2"/>
          <tpl hier="103" item="5"/>
          <tpl hier="108" item="3"/>
          <tpl hier="113" item="4"/>
        </tpls>
      </m>
      <m>
        <tpls c="7">
          <tpl fld="5" item="233"/>
          <tpl fld="4" item="1"/>
          <tpl hier="98" item="1"/>
          <tpl hier="102" item="4294967295"/>
          <tpl hier="103" item="5"/>
          <tpl hier="108" item="3"/>
          <tpl hier="113" item="4"/>
        </tpls>
      </m>
      <n v="4388.45">
        <tpls c="7">
          <tpl fld="5" item="203"/>
          <tpl fld="4" item="0"/>
          <tpl hier="98" item="1"/>
          <tpl hier="102" item="4294967295"/>
          <tpl hier="103" item="5"/>
          <tpl hier="108" item="3"/>
          <tpl hier="113" item="4"/>
        </tpls>
      </n>
      <m>
        <tpls c="7">
          <tpl fld="5" item="117"/>
          <tpl fld="4" item="1"/>
          <tpl hier="98" item="1"/>
          <tpl fld="6" item="1"/>
          <tpl hier="103" item="5"/>
          <tpl hier="108" item="3"/>
          <tpl hier="113" item="4"/>
        </tpls>
      </m>
      <m>
        <tpls c="7">
          <tpl fld="5" item="142"/>
          <tpl fld="4" item="0"/>
          <tpl hier="98" item="1"/>
          <tpl fld="6" item="2"/>
          <tpl hier="103" item="5"/>
          <tpl hier="108" item="3"/>
          <tpl hier="113" item="4"/>
        </tpls>
      </m>
      <n v="12">
        <tpls c="7">
          <tpl fld="5" item="150"/>
          <tpl fld="4" item="0"/>
          <tpl hier="98" item="1"/>
          <tpl fld="6" item="2"/>
          <tpl hier="103" item="5"/>
          <tpl hier="108" item="3"/>
          <tpl hier="113" item="4"/>
        </tpls>
      </n>
      <m>
        <tpls c="7">
          <tpl fld="5" item="125"/>
          <tpl fld="4" item="0"/>
          <tpl hier="98" item="1"/>
          <tpl hier="102" item="4294967295"/>
          <tpl hier="103" item="5"/>
          <tpl hier="108" item="3"/>
          <tpl hier="113" item="4"/>
        </tpls>
      </m>
      <m>
        <tpls c="7">
          <tpl fld="5" item="359"/>
          <tpl fld="4" item="1"/>
          <tpl hier="98" item="1"/>
          <tpl hier="102" item="4294967295"/>
          <tpl hier="103" item="5"/>
          <tpl hier="108" item="3"/>
          <tpl hier="113" item="4"/>
        </tpls>
      </m>
      <m>
        <tpls c="7">
          <tpl fld="5" item="259"/>
          <tpl fld="4" item="1"/>
          <tpl hier="98" item="1"/>
          <tpl fld="6" item="1"/>
          <tpl hier="103" item="5"/>
          <tpl hier="108" item="3"/>
          <tpl hier="113" item="4"/>
        </tpls>
      </m>
      <n v="2948">
        <tpls c="7">
          <tpl fld="5" item="267"/>
          <tpl fld="4" item="0"/>
          <tpl hier="98" item="1"/>
          <tpl hier="102" item="4294967295"/>
          <tpl hier="103" item="5"/>
          <tpl hier="108" item="3"/>
          <tpl hier="113" item="4"/>
        </tpls>
      </n>
      <m>
        <tpls c="7">
          <tpl fld="5" item="252"/>
          <tpl fld="4" item="1"/>
          <tpl hier="98" item="1"/>
          <tpl fld="6" item="2"/>
          <tpl hier="103" item="5"/>
          <tpl hier="108" item="3"/>
          <tpl hier="113" item="4"/>
        </tpls>
      </m>
      <n v="3">
        <tpls c="7">
          <tpl fld="5" item="185"/>
          <tpl fld="4" item="0"/>
          <tpl hier="98" item="1"/>
          <tpl fld="6" item="2"/>
          <tpl hier="103" item="5"/>
          <tpl hier="108" item="3"/>
          <tpl hier="113" item="4"/>
        </tpls>
      </n>
      <m>
        <tpls c="7">
          <tpl fld="5" item="143"/>
          <tpl fld="4" item="0"/>
          <tpl hier="98" item="1"/>
          <tpl hier="102" item="4294967295"/>
          <tpl hier="103" item="5"/>
          <tpl hier="108" item="3"/>
          <tpl hier="113" item="4"/>
        </tpls>
      </m>
      <m>
        <tpls c="7">
          <tpl fld="5" item="5"/>
          <tpl fld="4" item="1"/>
          <tpl hier="98" item="1"/>
          <tpl fld="6" item="2"/>
          <tpl hier="103" item="5"/>
          <tpl hier="108" item="3"/>
          <tpl hier="113" item="4"/>
        </tpls>
      </m>
      <m>
        <tpls c="7">
          <tpl fld="5" item="286"/>
          <tpl fld="4" item="1"/>
          <tpl hier="98" item="1"/>
          <tpl hier="102" item="4294967295"/>
          <tpl hier="103" item="5"/>
          <tpl hier="108" item="3"/>
          <tpl hier="113" item="4"/>
        </tpls>
      </m>
      <m>
        <tpls c="7">
          <tpl fld="5" item="179"/>
          <tpl fld="4" item="1"/>
          <tpl hier="98" item="1"/>
          <tpl hier="102" item="4294967295"/>
          <tpl hier="103" item="5"/>
          <tpl hier="108" item="3"/>
          <tpl hier="113" item="4"/>
        </tpls>
      </m>
      <n v="3535.8">
        <tpls c="7">
          <tpl fld="5" item="70"/>
          <tpl fld="4" item="0"/>
          <tpl hier="98" item="1"/>
          <tpl hier="102" item="4294967295"/>
          <tpl hier="103" item="5"/>
          <tpl hier="108" item="3"/>
          <tpl hier="113" item="4"/>
        </tpls>
      </n>
      <m>
        <tpls c="7">
          <tpl fld="5" item="219"/>
          <tpl fld="4" item="0"/>
          <tpl hier="98" item="1"/>
          <tpl hier="102" item="4294967295"/>
          <tpl hier="103" item="5"/>
          <tpl hier="108" item="3"/>
          <tpl hier="113" item="4"/>
        </tpls>
      </m>
      <n v="0">
        <tpls c="7">
          <tpl fld="5" item="86"/>
          <tpl fld="4" item="2"/>
          <tpl hier="98" item="1"/>
          <tpl hier="102" item="4294967295"/>
          <tpl hier="103" item="5"/>
          <tpl hier="108" item="3"/>
          <tpl hier="113" item="4"/>
        </tpls>
      </n>
      <m>
        <tpls c="7">
          <tpl fld="5" item="236"/>
          <tpl fld="4" item="0"/>
          <tpl hier="98" item="1"/>
          <tpl fld="6" item="1"/>
          <tpl hier="103" item="5"/>
          <tpl hier="108" item="3"/>
          <tpl hier="113" item="4"/>
        </tpls>
      </m>
      <m>
        <tpls c="7">
          <tpl fld="2" item="3"/>
          <tpl fld="7" item="3"/>
          <tpl hier="98" item="1"/>
          <tpl hier="102" item="4294967295"/>
          <tpl hier="103" item="5"/>
          <tpl hier="108" item="3"/>
          <tpl hier="113" item="4"/>
        </tpls>
      </m>
      <n v="6240">
        <tpls c="7">
          <tpl fld="2" item="9"/>
          <tpl hier="7" item="2"/>
          <tpl hier="98" item="1"/>
          <tpl hier="102" item="4294967295"/>
          <tpl hier="103" item="5"/>
          <tpl hier="108" item="3"/>
          <tpl hier="113" item="4"/>
        </tpls>
      </n>
      <m>
        <tpls c="7">
          <tpl fld="5" item="299"/>
          <tpl fld="4" item="0"/>
          <tpl hier="98" item="1"/>
          <tpl hier="102" item="4294967295"/>
          <tpl hier="103" item="5"/>
          <tpl hier="108" item="3"/>
          <tpl hier="113" item="4"/>
        </tpls>
      </m>
      <n v="9">
        <tpls c="6">
          <tpl fld="3" item="1"/>
          <tpl hier="98" item="1"/>
          <tpl fld="6" item="2"/>
          <tpl hier="103" item="5"/>
          <tpl hier="108" item="3"/>
          <tpl hier="113" item="4"/>
        </tpls>
      </n>
      <m>
        <tpls c="7">
          <tpl fld="5" item="304"/>
          <tpl fld="4" item="0"/>
          <tpl hier="98" item="1"/>
          <tpl fld="6" item="2"/>
          <tpl hier="103" item="5"/>
          <tpl hier="108" item="3"/>
          <tpl hier="113" item="4"/>
        </tpls>
      </m>
      <m>
        <tpls c="7">
          <tpl fld="5" item="55"/>
          <tpl fld="4" item="1"/>
          <tpl hier="98" item="1"/>
          <tpl fld="6" item="1"/>
          <tpl hier="103" item="5"/>
          <tpl hier="108" item="3"/>
          <tpl hier="113" item="4"/>
        </tpls>
      </m>
      <m>
        <tpls c="7">
          <tpl fld="5" item="222"/>
          <tpl fld="4" item="0"/>
          <tpl hier="98" item="1"/>
          <tpl hier="102" item="4294967295"/>
          <tpl hier="103" item="5"/>
          <tpl hier="108" item="3"/>
          <tpl hier="113" item="4"/>
        </tpls>
      </m>
      <n v="0">
        <tpls c="7">
          <tpl fld="5" item="329"/>
          <tpl fld="4" item="0"/>
          <tpl hier="98" item="1"/>
          <tpl hier="102" item="4294967295"/>
          <tpl hier="103" item="5"/>
          <tpl hier="108" item="3"/>
          <tpl hier="113" item="4"/>
        </tpls>
      </n>
      <m>
        <tpls c="7">
          <tpl fld="5" item="42"/>
          <tpl fld="4" item="0"/>
          <tpl hier="98" item="1"/>
          <tpl hier="102" item="4294967295"/>
          <tpl hier="103" item="5"/>
          <tpl hier="108" item="3"/>
          <tpl hier="113" item="4"/>
        </tpls>
      </m>
      <m>
        <tpls c="7">
          <tpl fld="5" item="169"/>
          <tpl fld="4" item="1"/>
          <tpl hier="98" item="1"/>
          <tpl hier="102" item="4294967295"/>
          <tpl hier="103" item="5"/>
          <tpl hier="108" item="3"/>
          <tpl hier="113" item="4"/>
        </tpls>
      </m>
      <m>
        <tpls c="7">
          <tpl fld="5" item="309"/>
          <tpl fld="4" item="0"/>
          <tpl hier="98" item="1"/>
          <tpl fld="6" item="1"/>
          <tpl hier="103" item="5"/>
          <tpl hier="108" item="3"/>
          <tpl hier="113" item="4"/>
        </tpls>
      </m>
      <m>
        <tpls c="7">
          <tpl fld="5" item="88"/>
          <tpl fld="4" item="0"/>
          <tpl hier="98" item="1"/>
          <tpl hier="102" item="4294967295"/>
          <tpl hier="103" item="5"/>
          <tpl hier="108" item="3"/>
          <tpl hier="113" item="4"/>
        </tpls>
      </m>
      <m>
        <tpls c="7">
          <tpl fld="5" item="148"/>
          <tpl fld="4" item="0"/>
          <tpl hier="98" item="1"/>
          <tpl fld="6" item="1"/>
          <tpl hier="103" item="5"/>
          <tpl hier="108" item="3"/>
          <tpl hier="113" item="4"/>
        </tpls>
      </m>
      <n v="1146">
        <tpls c="7">
          <tpl fld="5" item="50"/>
          <tpl fld="4" item="0"/>
          <tpl hier="98" item="1"/>
          <tpl hier="102" item="4294967295"/>
          <tpl hier="103" item="5"/>
          <tpl hier="108" item="3"/>
          <tpl hier="113" item="4"/>
        </tpls>
      </n>
      <m>
        <tpls c="7">
          <tpl fld="2" item="8"/>
          <tpl fld="7" item="3"/>
          <tpl hier="98" item="1"/>
          <tpl hier="102" item="4294967295"/>
          <tpl hier="103" item="5"/>
          <tpl hier="108" item="3"/>
          <tpl hier="113" item="4"/>
        </tpls>
      </m>
      <m>
        <tpls c="7">
          <tpl fld="5" item="358"/>
          <tpl fld="4" item="1"/>
          <tpl hier="98" item="1"/>
          <tpl fld="6" item="1"/>
          <tpl hier="103" item="5"/>
          <tpl hier="108" item="3"/>
          <tpl hier="113" item="4"/>
        </tpls>
      </m>
      <m>
        <tpls c="7">
          <tpl fld="5" item="115"/>
          <tpl fld="4" item="1"/>
          <tpl hier="98" item="1"/>
          <tpl fld="6" item="1"/>
          <tpl hier="103" item="5"/>
          <tpl hier="108" item="3"/>
          <tpl hier="113" item="4"/>
        </tpls>
      </m>
      <n v="8">
        <tpls c="7">
          <tpl fld="5" item="227"/>
          <tpl fld="4" item="0"/>
          <tpl hier="98" item="1"/>
          <tpl fld="6" item="1"/>
          <tpl hier="103" item="5"/>
          <tpl hier="108" item="3"/>
          <tpl hier="113" item="4"/>
        </tpls>
      </n>
      <m>
        <tpls c="7">
          <tpl fld="5" item="313"/>
          <tpl fld="4" item="1"/>
          <tpl hier="98" item="1"/>
          <tpl fld="6" item="1"/>
          <tpl hier="103" item="5"/>
          <tpl hier="108" item="3"/>
          <tpl hier="113" item="4"/>
        </tpls>
      </m>
      <m>
        <tpls c="7">
          <tpl fld="5" item="26"/>
          <tpl fld="4" item="1"/>
          <tpl hier="98" item="1"/>
          <tpl hier="102" item="4294967295"/>
          <tpl hier="103" item="5"/>
          <tpl hier="108" item="3"/>
          <tpl hier="113" item="4"/>
        </tpls>
      </m>
      <m>
        <tpls c="7">
          <tpl fld="5" item="21"/>
          <tpl fld="4" item="1"/>
          <tpl hier="98" item="1"/>
          <tpl hier="102" item="4294967295"/>
          <tpl hier="103" item="5"/>
          <tpl hier="108" item="3"/>
          <tpl hier="113" item="4"/>
        </tpls>
      </m>
      <m>
        <tpls c="7">
          <tpl fld="5" item="239"/>
          <tpl fld="4" item="0"/>
          <tpl hier="98" item="1"/>
          <tpl fld="6" item="1"/>
          <tpl hier="103" item="5"/>
          <tpl hier="108" item="3"/>
          <tpl hier="113" item="4"/>
        </tpls>
      </m>
      <m>
        <tpls c="7">
          <tpl fld="5" item="213"/>
          <tpl fld="4" item="0"/>
          <tpl hier="98" item="1"/>
          <tpl hier="102" item="4294967295"/>
          <tpl hier="103" item="5"/>
          <tpl hier="108" item="3"/>
          <tpl hier="113" item="4"/>
        </tpls>
      </m>
      <m>
        <tpls c="7">
          <tpl fld="5" item="259"/>
          <tpl fld="4" item="1"/>
          <tpl hier="98" item="1"/>
          <tpl hier="102" item="4294967295"/>
          <tpl hier="103" item="5"/>
          <tpl hier="108" item="3"/>
          <tpl hier="113" item="4"/>
        </tpls>
      </m>
      <n v="3">
        <tpls c="7">
          <tpl fld="5" item="151"/>
          <tpl fld="4" item="0"/>
          <tpl hier="98" item="1"/>
          <tpl fld="6" item="1"/>
          <tpl hier="103" item="5"/>
          <tpl hier="108" item="3"/>
          <tpl hier="113" item="4"/>
        </tpls>
      </n>
      <m>
        <tpls c="7">
          <tpl fld="5" item="356"/>
          <tpl fld="4" item="0"/>
          <tpl hier="98" item="1"/>
          <tpl hier="102" item="4294967295"/>
          <tpl hier="103" item="5"/>
          <tpl hier="108" item="3"/>
          <tpl hier="113" item="4"/>
        </tpls>
      </m>
      <m>
        <tpls c="7">
          <tpl fld="5" item="307"/>
          <tpl fld="4" item="1"/>
          <tpl hier="98" item="1"/>
          <tpl fld="6" item="2"/>
          <tpl hier="103" item="5"/>
          <tpl hier="108" item="3"/>
          <tpl hier="113" item="4"/>
        </tpls>
      </m>
      <m>
        <tpls c="7">
          <tpl fld="5" item="257"/>
          <tpl fld="4" item="0"/>
          <tpl hier="98" item="1"/>
          <tpl fld="6" item="1"/>
          <tpl hier="103" item="5"/>
          <tpl hier="108" item="3"/>
          <tpl hier="113" item="4"/>
        </tpls>
      </m>
      <n v="1">
        <tpls c="7">
          <tpl fld="5" item="217"/>
          <tpl fld="4" item="0"/>
          <tpl hier="98" item="1"/>
          <tpl fld="6" item="2"/>
          <tpl hier="103" item="5"/>
          <tpl hier="108" item="3"/>
          <tpl hier="113" item="4"/>
        </tpls>
      </n>
      <n v="1277825.19">
        <tpls c="6">
          <tpl fld="3" item="2"/>
          <tpl hier="98" item="1"/>
          <tpl hier="102" item="4294967295"/>
          <tpl hier="103" item="5"/>
          <tpl hier="108" item="3"/>
          <tpl hier="113" item="4"/>
        </tpls>
      </n>
      <m>
        <tpls c="7">
          <tpl fld="5" item="105"/>
          <tpl fld="4" item="0"/>
          <tpl hier="98" item="1"/>
          <tpl fld="6" item="2"/>
          <tpl hier="103" item="5"/>
          <tpl hier="108" item="3"/>
          <tpl hier="113" item="4"/>
        </tpls>
      </m>
      <m>
        <tpls c="7">
          <tpl fld="5" item="54"/>
          <tpl fld="4" item="1"/>
          <tpl hier="98" item="1"/>
          <tpl fld="6" item="1"/>
          <tpl hier="103" item="5"/>
          <tpl hier="108" item="3"/>
          <tpl hier="113" item="4"/>
        </tpls>
      </m>
      <m>
        <tpls c="7">
          <tpl fld="5" item="366"/>
          <tpl fld="4" item="1"/>
          <tpl hier="98" item="1"/>
          <tpl fld="6" item="2"/>
          <tpl hier="103" item="5"/>
          <tpl hier="108" item="3"/>
          <tpl hier="113" item="4"/>
        </tpls>
      </m>
      <m>
        <tpls c="7">
          <tpl fld="5" item="158"/>
          <tpl fld="4" item="0"/>
          <tpl hier="98" item="1"/>
          <tpl fld="6" item="1"/>
          <tpl hier="103" item="5"/>
          <tpl hier="108" item="3"/>
          <tpl hier="113" item="4"/>
        </tpls>
      </m>
      <m>
        <tpls c="7">
          <tpl fld="5" item="342"/>
          <tpl fld="4" item="0"/>
          <tpl hier="98" item="1"/>
          <tpl hier="102" item="4294967295"/>
          <tpl hier="103" item="5"/>
          <tpl hier="108" item="3"/>
          <tpl hier="113" item="4"/>
        </tpls>
      </m>
      <n v="1">
        <tpls c="7">
          <tpl fld="5" item="201"/>
          <tpl fld="4" item="0"/>
          <tpl hier="98" item="1"/>
          <tpl fld="6" item="2"/>
          <tpl hier="103" item="5"/>
          <tpl hier="108" item="3"/>
          <tpl hier="113" item="4"/>
        </tpls>
      </n>
      <m>
        <tpls c="7">
          <tpl fld="5" item="67"/>
          <tpl fld="4" item="0"/>
          <tpl hier="98" item="1"/>
          <tpl fld="6" item="2"/>
          <tpl hier="103" item="5"/>
          <tpl hier="108" item="3"/>
          <tpl hier="113" item="4"/>
        </tpls>
      </m>
      <m>
        <tpls c="7">
          <tpl fld="5" item="286"/>
          <tpl fld="4" item="1"/>
          <tpl hier="98" item="1"/>
          <tpl fld="6" item="2"/>
          <tpl hier="103" item="5"/>
          <tpl hier="108" item="3"/>
          <tpl hier="113" item="4"/>
        </tpls>
      </m>
      <m>
        <tpls c="7">
          <tpl fld="5" item="101"/>
          <tpl fld="4" item="3"/>
          <tpl hier="98" item="1"/>
          <tpl fld="6" item="2"/>
          <tpl hier="103" item="5"/>
          <tpl hier="108" item="3"/>
          <tpl hier="113" item="4"/>
        </tpls>
      </m>
      <m>
        <tpls c="7">
          <tpl fld="5" item="118"/>
          <tpl fld="4" item="1"/>
          <tpl hier="98" item="1"/>
          <tpl fld="6" item="2"/>
          <tpl hier="103" item="5"/>
          <tpl hier="108" item="3"/>
          <tpl hier="113" item="4"/>
        </tpls>
      </m>
      <m>
        <tpls c="7">
          <tpl fld="5" item="364"/>
          <tpl fld="4" item="1"/>
          <tpl hier="98" item="1"/>
          <tpl hier="102" item="4294967295"/>
          <tpl hier="103" item="5"/>
          <tpl hier="108" item="3"/>
          <tpl hier="113" item="4"/>
        </tpls>
      </m>
      <m>
        <tpls c="7">
          <tpl fld="5" item="204"/>
          <tpl fld="4" item="1"/>
          <tpl hier="98" item="1"/>
          <tpl fld="6" item="1"/>
          <tpl hier="103" item="5"/>
          <tpl hier="108" item="3"/>
          <tpl hier="113" item="4"/>
        </tpls>
      </m>
      <m>
        <tpls c="7">
          <tpl fld="5" item="55"/>
          <tpl fld="4" item="1"/>
          <tpl hier="98" item="1"/>
          <tpl hier="102" item="4294967295"/>
          <tpl hier="103" item="5"/>
          <tpl hier="108" item="3"/>
          <tpl hier="113" item="4"/>
        </tpls>
      </m>
      <m>
        <tpls c="7">
          <tpl fld="5" item="231"/>
          <tpl fld="4" item="1"/>
          <tpl hier="98" item="1"/>
          <tpl hier="102" item="4294967295"/>
          <tpl hier="103" item="5"/>
          <tpl hier="108" item="3"/>
          <tpl hier="113" item="4"/>
        </tpls>
      </m>
      <m>
        <tpls c="7">
          <tpl fld="5" item="224"/>
          <tpl fld="4" item="0"/>
          <tpl hier="98" item="1"/>
          <tpl fld="6" item="2"/>
          <tpl hier="103" item="5"/>
          <tpl hier="108" item="3"/>
          <tpl hier="113" item="4"/>
        </tpls>
      </m>
      <m>
        <tpls c="7">
          <tpl fld="5" item="84"/>
          <tpl fld="4" item="1"/>
          <tpl hier="98" item="1"/>
          <tpl fld="6" item="2"/>
          <tpl hier="103" item="5"/>
          <tpl hier="108" item="3"/>
          <tpl hier="113" item="4"/>
        </tpls>
      </m>
      <m>
        <tpls c="7">
          <tpl fld="5" item="86"/>
          <tpl fld="4" item="0"/>
          <tpl hier="98" item="1"/>
          <tpl fld="6" item="2"/>
          <tpl hier="103" item="5"/>
          <tpl hier="108" item="3"/>
          <tpl hier="113" item="4"/>
        </tpls>
      </m>
      <m>
        <tpls c="7">
          <tpl fld="5" item="157"/>
          <tpl fld="4" item="1"/>
          <tpl hier="98" item="1"/>
          <tpl fld="6" item="2"/>
          <tpl hier="103" item="5"/>
          <tpl hier="108" item="3"/>
          <tpl hier="113" item="4"/>
        </tpls>
      </m>
      <m>
        <tpls c="7">
          <tpl fld="5" item="312"/>
          <tpl fld="4" item="1"/>
          <tpl hier="98" item="1"/>
          <tpl fld="6" item="1"/>
          <tpl hier="103" item="5"/>
          <tpl hier="108" item="3"/>
          <tpl hier="113" item="4"/>
        </tpls>
      </m>
      <m>
        <tpls c="7">
          <tpl fld="5" item="260"/>
          <tpl fld="4" item="1"/>
          <tpl hier="98" item="1"/>
          <tpl fld="6" item="1"/>
          <tpl hier="103" item="5"/>
          <tpl hier="108" item="3"/>
          <tpl hier="113" item="4"/>
        </tpls>
      </m>
      <m>
        <tpls c="7">
          <tpl fld="5" item="327"/>
          <tpl fld="4" item="0"/>
          <tpl hier="98" item="1"/>
          <tpl fld="6" item="1"/>
          <tpl hier="103" item="5"/>
          <tpl hier="108" item="3"/>
          <tpl hier="113" item="4"/>
        </tpls>
      </m>
      <m>
        <tpls c="7">
          <tpl fld="5" item="138"/>
          <tpl fld="4" item="3"/>
          <tpl hier="98" item="1"/>
          <tpl fld="6" item="1"/>
          <tpl hier="103" item="5"/>
          <tpl hier="108" item="3"/>
          <tpl hier="113" item="4"/>
        </tpls>
      </m>
      <n v="8127.42">
        <tpls c="7">
          <tpl fld="5" item="20"/>
          <tpl fld="4" item="0"/>
          <tpl hier="98" item="1"/>
          <tpl hier="102" item="4294967295"/>
          <tpl hier="103" item="5"/>
          <tpl hier="108" item="3"/>
          <tpl hier="113" item="4"/>
        </tpls>
      </n>
      <m>
        <tpls c="7">
          <tpl fld="5" item="120"/>
          <tpl fld="4" item="0"/>
          <tpl hier="98" item="1"/>
          <tpl fld="6" item="1"/>
          <tpl hier="103" item="5"/>
          <tpl hier="108" item="3"/>
          <tpl hier="113" item="4"/>
        </tpls>
      </m>
      <n v="0">
        <tpls c="7">
          <tpl fld="5" item="241"/>
          <tpl fld="4" item="0"/>
          <tpl hier="98" item="1"/>
          <tpl hier="102" item="4294967295"/>
          <tpl hier="103" item="5"/>
          <tpl hier="108" item="3"/>
          <tpl hier="113" item="4"/>
        </tpls>
      </n>
      <m>
        <tpls c="7">
          <tpl fld="5" item="35"/>
          <tpl fld="4" item="1"/>
          <tpl hier="98" item="1"/>
          <tpl fld="6" item="2"/>
          <tpl hier="103" item="5"/>
          <tpl hier="108" item="3"/>
          <tpl hier="113" item="4"/>
        </tpls>
      </m>
      <m>
        <tpls c="7">
          <tpl fld="5" item="126"/>
          <tpl fld="4" item="1"/>
          <tpl hier="98" item="1"/>
          <tpl fld="6" item="2"/>
          <tpl hier="103" item="5"/>
          <tpl hier="108" item="3"/>
          <tpl hier="113" item="4"/>
        </tpls>
      </m>
      <m>
        <tpls c="7">
          <tpl fld="5" item="256"/>
          <tpl fld="4" item="3"/>
          <tpl hier="98" item="1"/>
          <tpl hier="102" item="4294967295"/>
          <tpl hier="103" item="5"/>
          <tpl hier="108" item="3"/>
          <tpl hier="113" item="4"/>
        </tpls>
      </m>
      <n v="960">
        <tpls c="7">
          <tpl fld="5" item="74"/>
          <tpl fld="4" item="0"/>
          <tpl hier="98" item="1"/>
          <tpl hier="102" item="4294967295"/>
          <tpl hier="103" item="5"/>
          <tpl hier="108" item="3"/>
          <tpl hier="113" item="4"/>
        </tpls>
      </n>
      <m>
        <tpls c="7">
          <tpl fld="5" item="354"/>
          <tpl fld="4" item="1"/>
          <tpl hier="98" item="1"/>
          <tpl fld="6" item="1"/>
          <tpl hier="103" item="5"/>
          <tpl hier="108" item="3"/>
          <tpl hier="113" item="4"/>
        </tpls>
      </m>
      <n v="100">
        <tpls c="7">
          <tpl fld="5" item="161"/>
          <tpl fld="4" item="0"/>
          <tpl hier="98" item="1"/>
          <tpl fld="6" item="2"/>
          <tpl hier="103" item="5"/>
          <tpl hier="108" item="3"/>
          <tpl hier="113" item="4"/>
        </tpls>
      </n>
      <m>
        <tpls c="7">
          <tpl fld="5" item="246"/>
          <tpl fld="4" item="0"/>
          <tpl hier="98" item="1"/>
          <tpl fld="6" item="2"/>
          <tpl hier="103" item="5"/>
          <tpl hier="108" item="3"/>
          <tpl hier="113" item="4"/>
        </tpls>
      </m>
      <n v="1">
        <tpls c="7">
          <tpl fld="5" item="181"/>
          <tpl fld="4" item="0"/>
          <tpl hier="98" item="1"/>
          <tpl fld="6" item="2"/>
          <tpl hier="103" item="5"/>
          <tpl hier="108" item="3"/>
          <tpl hier="113" item="4"/>
        </tpls>
      </n>
      <m>
        <tpls c="7">
          <tpl fld="5" item="141"/>
          <tpl fld="4" item="0"/>
          <tpl hier="98" item="1"/>
          <tpl fld="6" item="2"/>
          <tpl hier="103" item="5"/>
          <tpl hier="108" item="3"/>
          <tpl hier="113" item="4"/>
        </tpls>
      </m>
      <m>
        <tpls c="7">
          <tpl fld="5" item="109"/>
          <tpl fld="4" item="0"/>
          <tpl hier="98" item="1"/>
          <tpl fld="6" item="2"/>
          <tpl hier="103" item="5"/>
          <tpl hier="108" item="3"/>
          <tpl hier="113" item="4"/>
        </tpls>
      </m>
      <m>
        <tpls c="7">
          <tpl fld="5" item="87"/>
          <tpl fld="4" item="1"/>
          <tpl hier="98" item="1"/>
          <tpl fld="6" item="2"/>
          <tpl hier="103" item="5"/>
          <tpl hier="108" item="3"/>
          <tpl hier="113" item="4"/>
        </tpls>
      </m>
      <m>
        <tpls c="7">
          <tpl fld="5" item="17"/>
          <tpl fld="4" item="0"/>
          <tpl hier="98" item="1"/>
          <tpl fld="6" item="2"/>
          <tpl hier="103" item="5"/>
          <tpl hier="108" item="3"/>
          <tpl hier="113" item="4"/>
        </tpls>
      </m>
      <n v="0">
        <tpls c="7">
          <tpl fld="2" item="11"/>
          <tpl fld="7" item="4"/>
          <tpl hier="98" item="1"/>
          <tpl hier="102" item="4294967295"/>
          <tpl hier="103" item="5"/>
          <tpl hier="108" item="3"/>
          <tpl hier="113" item="4"/>
        </tpls>
      </n>
      <m>
        <tpls c="7">
          <tpl fld="5" item="312"/>
          <tpl fld="4" item="1"/>
          <tpl hier="98" item="1"/>
          <tpl fld="6" item="2"/>
          <tpl hier="103" item="5"/>
          <tpl hier="108" item="3"/>
          <tpl hier="113" item="4"/>
        </tpls>
      </m>
      <n v="1277825.1900000002">
        <tpls c="7">
          <tpl fld="2" item="7"/>
          <tpl hier="7" item="2"/>
          <tpl hier="98" item="1"/>
          <tpl hier="102" item="4294967295"/>
          <tpl hier="103" item="5"/>
          <tpl hier="108" item="3"/>
          <tpl hier="113" item="4"/>
        </tpls>
      </n>
      <m>
        <tpls c="7">
          <tpl fld="5" item="266"/>
          <tpl fld="4" item="0"/>
          <tpl hier="98" item="1"/>
          <tpl fld="6" item="1"/>
          <tpl hier="103" item="5"/>
          <tpl hier="108" item="3"/>
          <tpl hier="113" item="4"/>
        </tpls>
      </m>
      <m>
        <tpls c="7">
          <tpl fld="5" item="169"/>
          <tpl fld="4" item="1"/>
          <tpl hier="98" item="1"/>
          <tpl fld="6" item="1"/>
          <tpl hier="103" item="5"/>
          <tpl hier="108" item="3"/>
          <tpl hier="113" item="4"/>
        </tpls>
      </m>
      <n v="302028.84999999998">
        <tpls c="7">
          <tpl fld="5" item="44"/>
          <tpl fld="4" item="0"/>
          <tpl hier="98" item="1"/>
          <tpl hier="102" item="4294967295"/>
          <tpl hier="103" item="5"/>
          <tpl hier="108" item="3"/>
          <tpl hier="113" item="4"/>
        </tpls>
      </n>
      <m>
        <tpls c="7">
          <tpl fld="5" item="234"/>
          <tpl fld="4" item="0"/>
          <tpl hier="98" item="1"/>
          <tpl fld="6" item="2"/>
          <tpl hier="103" item="5"/>
          <tpl hier="108" item="3"/>
          <tpl hier="113" item="4"/>
        </tpls>
      </m>
      <m>
        <tpls c="7">
          <tpl fld="5" item="186"/>
          <tpl fld="4" item="1"/>
          <tpl hier="98" item="1"/>
          <tpl fld="6" item="1"/>
          <tpl hier="103" item="5"/>
          <tpl hier="108" item="3"/>
          <tpl hier="113" item="4"/>
        </tpls>
      </m>
      <n v="2656">
        <tpls c="7">
          <tpl fld="2" item="6"/>
          <tpl fld="7" item="0"/>
          <tpl hier="98" item="1"/>
          <tpl hier="102" item="4294967295"/>
          <tpl hier="103" item="5"/>
          <tpl hier="108" item="3"/>
          <tpl hier="113" item="4"/>
        </tpls>
      </n>
      <m>
        <tpls c="7">
          <tpl fld="5" item="147"/>
          <tpl fld="4" item="1"/>
          <tpl hier="98" item="1"/>
          <tpl fld="6" item="2"/>
          <tpl hier="103" item="5"/>
          <tpl hier="108" item="3"/>
          <tpl hier="113" item="4"/>
        </tpls>
      </m>
      <m>
        <tpls c="7">
          <tpl fld="5" item="29"/>
          <tpl fld="4" item="0"/>
          <tpl hier="98" item="1"/>
          <tpl fld="6" item="2"/>
          <tpl hier="103" item="5"/>
          <tpl hier="108" item="3"/>
          <tpl hier="113" item="4"/>
        </tpls>
      </m>
      <m>
        <tpls c="7">
          <tpl fld="5" item="77"/>
          <tpl fld="4" item="0"/>
          <tpl hier="98" item="1"/>
          <tpl fld="6" item="2"/>
          <tpl hier="103" item="5"/>
          <tpl hier="108" item="3"/>
          <tpl hier="113" item="4"/>
        </tpls>
      </m>
      <n v="14">
        <tpls c="7">
          <tpl fld="5" item="197"/>
          <tpl fld="4" item="0"/>
          <tpl hier="98" item="1"/>
          <tpl fld="6" item="2"/>
          <tpl hier="103" item="5"/>
          <tpl hier="108" item="3"/>
          <tpl hier="113" item="4"/>
        </tpls>
      </n>
      <m>
        <tpls c="7">
          <tpl fld="5" item="366"/>
          <tpl fld="4" item="1"/>
          <tpl hier="98" item="1"/>
          <tpl fld="6" item="1"/>
          <tpl hier="103" item="5"/>
          <tpl hier="108" item="3"/>
          <tpl hier="113" item="4"/>
        </tpls>
      </m>
      <m>
        <tpls c="7">
          <tpl fld="5" item="46"/>
          <tpl fld="4" item="1"/>
          <tpl hier="98" item="1"/>
          <tpl fld="6" item="1"/>
          <tpl hier="103" item="5"/>
          <tpl hier="108" item="3"/>
          <tpl hier="113" item="4"/>
        </tpls>
      </m>
      <n v="1630277.9300000004">
        <tpls c="7">
          <tpl fld="2" item="0"/>
          <tpl hier="7" item="2"/>
          <tpl hier="98" item="1"/>
          <tpl hier="102" item="4294967295"/>
          <tpl hier="103" item="5"/>
          <tpl hier="108" item="3"/>
          <tpl hier="113" item="4"/>
        </tpls>
      </n>
      <m>
        <tpls c="7">
          <tpl fld="5" item="70"/>
          <tpl fld="4" item="2"/>
          <tpl hier="98" item="1"/>
          <tpl fld="6" item="2"/>
          <tpl hier="103" item="5"/>
          <tpl hier="108" item="3"/>
          <tpl hier="113" item="4"/>
        </tpls>
      </m>
      <m>
        <tpls c="7">
          <tpl fld="5" item="72"/>
          <tpl fld="4" item="3"/>
          <tpl hier="98" item="1"/>
          <tpl fld="6" item="2"/>
          <tpl hier="103" item="5"/>
          <tpl hier="108" item="3"/>
          <tpl hier="113" item="4"/>
        </tpls>
      </m>
      <m>
        <tpls c="7">
          <tpl fld="5" item="323"/>
          <tpl fld="4" item="0"/>
          <tpl hier="98" item="1"/>
          <tpl fld="6" item="1"/>
          <tpl hier="103" item="5"/>
          <tpl hier="108" item="3"/>
          <tpl hier="113" item="4"/>
        </tpls>
      </m>
      <m>
        <tpls c="7">
          <tpl fld="5" item="270"/>
          <tpl fld="4" item="1"/>
          <tpl hier="98" item="1"/>
          <tpl hier="102" item="4294967295"/>
          <tpl hier="103" item="5"/>
          <tpl hier="108" item="3"/>
          <tpl hier="113" item="4"/>
        </tpls>
      </m>
      <m>
        <tpls c="7">
          <tpl fld="5" item="192"/>
          <tpl fld="4" item="0"/>
          <tpl hier="98" item="1"/>
          <tpl fld="6" item="1"/>
          <tpl hier="103" item="5"/>
          <tpl hier="108" item="3"/>
          <tpl hier="113" item="4"/>
        </tpls>
      </m>
      <n v="4">
        <tpls c="7">
          <tpl fld="5" item="285"/>
          <tpl fld="4" item="0"/>
          <tpl hier="98" item="1"/>
          <tpl fld="6" item="2"/>
          <tpl hier="103" item="5"/>
          <tpl hier="108" item="3"/>
          <tpl hier="113" item="4"/>
        </tpls>
      </n>
      <m>
        <tpls c="7">
          <tpl fld="5" item="260"/>
          <tpl fld="4" item="1"/>
          <tpl hier="98" item="1"/>
          <tpl fld="6" item="2"/>
          <tpl hier="103" item="5"/>
          <tpl hier="108" item="3"/>
          <tpl hier="113" item="4"/>
        </tpls>
      </m>
      <m>
        <tpls c="7">
          <tpl fld="5" item="69"/>
          <tpl fld="4" item="0"/>
          <tpl hier="98" item="1"/>
          <tpl hier="102" item="4294967295"/>
          <tpl hier="103" item="5"/>
          <tpl hier="108" item="3"/>
          <tpl hier="113" item="4"/>
        </tpls>
      </m>
      <m>
        <tpls c="7">
          <tpl fld="5" item="103"/>
          <tpl fld="4" item="0"/>
          <tpl hier="98" item="1"/>
          <tpl fld="6" item="2"/>
          <tpl hier="103" item="5"/>
          <tpl hier="108" item="3"/>
          <tpl hier="113" item="4"/>
        </tpls>
      </m>
      <m>
        <tpls c="7">
          <tpl fld="5" item="1"/>
          <tpl fld="4" item="3"/>
          <tpl hier="98" item="1"/>
          <tpl fld="6" item="1"/>
          <tpl hier="103" item="5"/>
          <tpl hier="108" item="3"/>
          <tpl hier="113" item="4"/>
        </tpls>
      </m>
      <m>
        <tpls c="7">
          <tpl fld="5" item="138"/>
          <tpl fld="4" item="3"/>
          <tpl hier="98" item="1"/>
          <tpl hier="102" item="4294967295"/>
          <tpl hier="103" item="5"/>
          <tpl hier="108" item="3"/>
          <tpl hier="113" item="4"/>
        </tpls>
      </m>
      <m>
        <tpls c="7">
          <tpl fld="5" item="272"/>
          <tpl fld="4" item="3"/>
          <tpl hier="98" item="1"/>
          <tpl fld="6" item="2"/>
          <tpl hier="103" item="5"/>
          <tpl hier="108" item="3"/>
          <tpl hier="113" item="4"/>
        </tpls>
      </m>
      <m>
        <tpls c="7">
          <tpl fld="5" item="193"/>
          <tpl fld="4" item="1"/>
          <tpl hier="98" item="1"/>
          <tpl fld="6" item="1"/>
          <tpl hier="103" item="5"/>
          <tpl hier="108" item="3"/>
          <tpl hier="113" item="4"/>
        </tpls>
      </m>
      <m>
        <tpls c="7">
          <tpl fld="5" item="230"/>
          <tpl fld="4" item="0"/>
          <tpl hier="98" item="1"/>
          <tpl fld="6" item="1"/>
          <tpl hier="103" item="5"/>
          <tpl hier="108" item="3"/>
          <tpl hier="113" item="4"/>
        </tpls>
      </m>
      <n v="257">
        <tpls c="7">
          <tpl fld="5" item="23"/>
          <tpl fld="4" item="0"/>
          <tpl hier="98" item="1"/>
          <tpl fld="6" item="2"/>
          <tpl hier="103" item="5"/>
          <tpl hier="108" item="3"/>
          <tpl hier="113" item="4"/>
        </tpls>
      </n>
      <m>
        <tpls c="7">
          <tpl fld="5" item="93"/>
          <tpl fld="4" item="0"/>
          <tpl hier="98" item="1"/>
          <tpl fld="6" item="2"/>
          <tpl hier="103" item="5"/>
          <tpl hier="108" item="3"/>
          <tpl hier="113" item="4"/>
        </tpls>
      </m>
      <m>
        <tpls c="7">
          <tpl fld="2" item="0"/>
          <tpl fld="7" item="2"/>
          <tpl hier="98" item="1"/>
          <tpl hier="102" item="4294967295"/>
          <tpl hier="103" item="5"/>
          <tpl hier="108" item="3"/>
          <tpl hier="113" item="4"/>
        </tpls>
      </m>
      <n v="137980.15999999997">
        <tpls c="7">
          <tpl hier="0" item="4294967295"/>
          <tpl fld="7" item="4"/>
          <tpl hier="98" item="1"/>
          <tpl hier="102" item="4294967295"/>
          <tpl hier="103" item="5"/>
          <tpl hier="108" item="3"/>
          <tpl hier="113" item="4"/>
        </tpls>
      </n>
      <m>
        <tpls c="7">
          <tpl fld="5" item="345"/>
          <tpl fld="4" item="1"/>
          <tpl hier="98" item="1"/>
          <tpl hier="102" item="4294967295"/>
          <tpl hier="103" item="5"/>
          <tpl hier="108" item="3"/>
          <tpl hier="113" item="4"/>
        </tpls>
      </m>
      <m>
        <tpls c="7">
          <tpl fld="5" item="207"/>
          <tpl fld="4" item="0"/>
          <tpl hier="98" item="1"/>
          <tpl fld="6" item="1"/>
          <tpl hier="103" item="5"/>
          <tpl hier="108" item="3"/>
          <tpl hier="113" item="4"/>
        </tpls>
      </m>
      <m>
        <tpls c="7">
          <tpl fld="5" item="207"/>
          <tpl fld="4" item="0"/>
          <tpl hier="98" item="1"/>
          <tpl hier="102" item="4294967295"/>
          <tpl hier="103" item="5"/>
          <tpl hier="108" item="3"/>
          <tpl hier="113" item="4"/>
        </tpls>
      </m>
      <m>
        <tpls c="7">
          <tpl fld="5" item="215"/>
          <tpl fld="4" item="1"/>
          <tpl hier="98" item="1"/>
          <tpl hier="102" item="4294967295"/>
          <tpl hier="103" item="5"/>
          <tpl hier="108" item="3"/>
          <tpl hier="113" item="4"/>
        </tpls>
      </m>
      <m>
        <tpls c="7">
          <tpl fld="5" item="215"/>
          <tpl fld="4" item="1"/>
          <tpl hier="98" item="1"/>
          <tpl fld="6" item="1"/>
          <tpl hier="103" item="5"/>
          <tpl hier="108" item="3"/>
          <tpl hier="113" item="4"/>
        </tpls>
      </m>
      <m>
        <tpls c="7">
          <tpl fld="5" item="193"/>
          <tpl fld="4" item="1"/>
          <tpl hier="98" item="1"/>
          <tpl hier="102" item="4294967295"/>
          <tpl hier="103" item="5"/>
          <tpl hier="108" item="3"/>
          <tpl hier="113" item="4"/>
        </tpls>
      </m>
      <m>
        <tpls c="7">
          <tpl fld="5" item="194"/>
          <tpl fld="4" item="1"/>
          <tpl hier="98" item="1"/>
          <tpl hier="102" item="4294967295"/>
          <tpl hier="103" item="5"/>
          <tpl hier="108" item="3"/>
          <tpl hier="113" item="4"/>
        </tpls>
      </m>
      <n v="0">
        <tpls c="7">
          <tpl fld="5" item="41"/>
          <tpl fld="4" item="0"/>
          <tpl hier="98" item="1"/>
          <tpl hier="102" item="4294967295"/>
          <tpl hier="103" item="5"/>
          <tpl hier="108" item="3"/>
          <tpl hier="113" item="4"/>
        </tpls>
      </n>
      <m>
        <tpls c="7">
          <tpl fld="5" item="159"/>
          <tpl fld="4" item="0"/>
          <tpl hier="98" item="1"/>
          <tpl hier="102" item="4294967295"/>
          <tpl hier="103" item="5"/>
          <tpl hier="108" item="3"/>
          <tpl hier="113" item="4"/>
        </tpls>
      </m>
      <n v="0">
        <tpls c="7">
          <tpl fld="5" item="58"/>
          <tpl fld="4" item="0"/>
          <tpl hier="98" item="1"/>
          <tpl hier="102" item="4294967295"/>
          <tpl hier="103" item="5"/>
          <tpl hier="108" item="3"/>
          <tpl hier="113" item="4"/>
        </tpls>
      </n>
      <m>
        <tpls c="7">
          <tpl fld="5" item="66"/>
          <tpl fld="4" item="1"/>
          <tpl hier="98" item="1"/>
          <tpl hier="102" item="4294967295"/>
          <tpl hier="103" item="5"/>
          <tpl hier="108" item="3"/>
          <tpl hier="113" item="4"/>
        </tpls>
      </m>
      <m>
        <tpls c="7">
          <tpl fld="5" item="186"/>
          <tpl fld="4" item="1"/>
          <tpl hier="98" item="1"/>
          <tpl hier="102" item="4294967295"/>
          <tpl hier="103" item="5"/>
          <tpl hier="108" item="3"/>
          <tpl hier="113" item="4"/>
        </tpls>
      </m>
      <m>
        <tpls c="7">
          <tpl fld="5" item="73"/>
          <tpl fld="4" item="0"/>
          <tpl hier="98" item="1"/>
          <tpl hier="102" item="4294967295"/>
          <tpl hier="103" item="5"/>
          <tpl hier="108" item="3"/>
          <tpl hier="113" item="4"/>
        </tpls>
      </m>
      <m>
        <tpls c="7">
          <tpl fld="5" item="192"/>
          <tpl fld="4" item="0"/>
          <tpl hier="98" item="1"/>
          <tpl hier="102" item="4294967295"/>
          <tpl hier="103" item="5"/>
          <tpl hier="108" item="3"/>
          <tpl hier="113" item="4"/>
        </tpls>
      </m>
      <m>
        <tpls c="7">
          <tpl fld="5" item="53"/>
          <tpl fld="4" item="1"/>
          <tpl hier="98" item="1"/>
          <tpl hier="102" item="4294967295"/>
          <tpl hier="103" item="5"/>
          <tpl hier="108" item="3"/>
          <tpl hier="113" item="4"/>
        </tpls>
      </m>
      <m>
        <tpls c="7">
          <tpl fld="5" item="202"/>
          <tpl fld="4" item="1"/>
          <tpl hier="98" item="1"/>
          <tpl hier="102" item="4294967295"/>
          <tpl hier="103" item="5"/>
          <tpl hier="108" item="3"/>
          <tpl hier="113" item="4"/>
        </tpls>
      </m>
      <m>
        <tpls c="7">
          <tpl fld="5" item="141"/>
          <tpl fld="4" item="0"/>
          <tpl hier="98" item="1"/>
          <tpl hier="102" item="4294967295"/>
          <tpl hier="103" item="5"/>
          <tpl hier="108" item="3"/>
          <tpl hier="113" item="4"/>
        </tpls>
      </m>
      <m>
        <tpls c="7">
          <tpl fld="5" item="12"/>
          <tpl fld="4" item="0"/>
          <tpl hier="98" item="1"/>
          <tpl hier="102" item="4294967295"/>
          <tpl hier="103" item="5"/>
          <tpl hier="108" item="3"/>
          <tpl hier="113" item="4"/>
        </tpls>
      </m>
      <n v="335">
        <tpls c="7">
          <tpl fld="5" item="90"/>
          <tpl fld="4" item="0"/>
          <tpl hier="98" item="1"/>
          <tpl hier="102" item="4294967295"/>
          <tpl hier="103" item="5"/>
          <tpl hier="108" item="3"/>
          <tpl hier="113" item="4"/>
        </tpls>
      </n>
      <n v="41898.76">
        <tpls c="7">
          <tpl fld="5" item="16"/>
          <tpl fld="4" item="0"/>
          <tpl hier="98" item="1"/>
          <tpl hier="102" item="4294967295"/>
          <tpl hier="103" item="5"/>
          <tpl hier="108" item="3"/>
          <tpl hier="113" item="4"/>
        </tpls>
      </n>
      <m>
        <tpls c="7">
          <tpl fld="5" item="17"/>
          <tpl fld="4" item="0"/>
          <tpl hier="98" item="1"/>
          <tpl hier="102" item="4294967295"/>
          <tpl hier="103" item="5"/>
          <tpl hier="108" item="3"/>
          <tpl hier="113" item="4"/>
        </tpls>
      </m>
      <m>
        <tpls c="7">
          <tpl fld="5" item="34"/>
          <tpl fld="4" item="1"/>
          <tpl hier="98" item="1"/>
          <tpl hier="102" item="4294967295"/>
          <tpl hier="103" item="5"/>
          <tpl hier="108" item="3"/>
          <tpl hier="113" item="4"/>
        </tpls>
      </m>
      <m>
        <tpls c="7">
          <tpl fld="5" item="113"/>
          <tpl fld="4" item="1"/>
          <tpl hier="98" item="1"/>
          <tpl hier="102" item="4294967295"/>
          <tpl hier="103" item="5"/>
          <tpl hier="108" item="3"/>
          <tpl hier="113" item="4"/>
        </tpls>
      </m>
      <m>
        <tpls c="7">
          <tpl fld="5" item="132"/>
          <tpl fld="4" item="3"/>
          <tpl hier="98" item="1"/>
          <tpl hier="102" item="4294967295"/>
          <tpl hier="103" item="5"/>
          <tpl hier="108" item="3"/>
          <tpl hier="113" item="4"/>
        </tpls>
      </m>
      <m>
        <tpls c="7">
          <tpl fld="5" item="162"/>
          <tpl fld="4" item="3"/>
          <tpl hier="98" item="1"/>
          <tpl hier="102" item="4294967295"/>
          <tpl hier="103" item="5"/>
          <tpl hier="108" item="3"/>
          <tpl hier="113" item="4"/>
        </tpls>
      </m>
      <m>
        <tpls c="7">
          <tpl fld="5" item="54"/>
          <tpl fld="4" item="1"/>
          <tpl hier="98" item="1"/>
          <tpl hier="102" item="4294967295"/>
          <tpl hier="103" item="5"/>
          <tpl hier="108" item="3"/>
          <tpl hier="113" item="4"/>
        </tpls>
      </m>
      <m>
        <tpls c="7">
          <tpl fld="5" item="32"/>
          <tpl fld="4" item="0"/>
          <tpl hier="98" item="1"/>
          <tpl hier="102" item="4294967295"/>
          <tpl hier="103" item="5"/>
          <tpl hier="108" item="3"/>
          <tpl hier="113" item="4"/>
        </tpls>
      </m>
      <m>
        <tpls c="7">
          <tpl fld="5" item="29"/>
          <tpl fld="4" item="0"/>
          <tpl hier="98" item="1"/>
          <tpl hier="102" item="4294967295"/>
          <tpl hier="103" item="5"/>
          <tpl hier="108" item="3"/>
          <tpl hier="113" item="4"/>
        </tpls>
      </m>
      <m>
        <tpls c="7">
          <tpl fld="5" item="182"/>
          <tpl fld="4" item="0"/>
          <tpl hier="98" item="1"/>
          <tpl hier="102" item="4294967295"/>
          <tpl hier="103" item="5"/>
          <tpl hier="108" item="3"/>
          <tpl hier="113" item="4"/>
        </tpls>
      </m>
      <m>
        <tpls c="7">
          <tpl fld="5" item="101"/>
          <tpl fld="4" item="3"/>
          <tpl hier="98" item="1"/>
          <tpl hier="102" item="4294967295"/>
          <tpl hier="103" item="5"/>
          <tpl hier="108" item="3"/>
          <tpl hier="113" item="4"/>
        </tpls>
      </m>
      <m>
        <tpls c="7">
          <tpl fld="5" item="91"/>
          <tpl fld="4" item="0"/>
          <tpl hier="98" item="1"/>
          <tpl hier="102" item="4294967295"/>
          <tpl hier="103" item="5"/>
          <tpl hier="108" item="3"/>
          <tpl hier="113" item="4"/>
        </tpls>
      </m>
      <n v="0">
        <tpls c="7">
          <tpl fld="5" item="52"/>
          <tpl fld="4" item="0"/>
          <tpl hier="98" item="1"/>
          <tpl hier="102" item="4294967295"/>
          <tpl hier="103" item="5"/>
          <tpl hier="108" item="3"/>
          <tpl hier="113" item="4"/>
        </tpls>
      </n>
      <n v="6240">
        <tpls c="7">
          <tpl fld="5" item="1"/>
          <tpl fld="4" item="0"/>
          <tpl hier="98" item="1"/>
          <tpl hier="102" item="4294967295"/>
          <tpl hier="103" item="5"/>
          <tpl hier="108" item="3"/>
          <tpl hier="113" item="4"/>
        </tpls>
      </n>
      <m>
        <tpls c="7">
          <tpl fld="5" item="36"/>
          <tpl fld="4" item="1"/>
          <tpl hier="98" item="1"/>
          <tpl hier="102" item="4294967295"/>
          <tpl hier="103" item="5"/>
          <tpl hier="108" item="3"/>
          <tpl hier="113" item="4"/>
        </tpls>
      </m>
      <n v="2656">
        <tpls c="7">
          <tpl fld="5" item="151"/>
          <tpl fld="4" item="0"/>
          <tpl hier="98" item="1"/>
          <tpl hier="102" item="4294967295"/>
          <tpl hier="103" item="5"/>
          <tpl hier="108" item="3"/>
          <tpl hier="113" item="4"/>
        </tpls>
      </n>
      <m>
        <tpls c="7">
          <tpl fld="5" item="130"/>
          <tpl fld="4" item="1"/>
          <tpl hier="98" item="1"/>
          <tpl hier="102" item="4294967295"/>
          <tpl hier="103" item="5"/>
          <tpl hier="108" item="3"/>
          <tpl hier="113" item="4"/>
        </tpls>
      </m>
      <m>
        <tpls c="7">
          <tpl fld="5" item="124"/>
          <tpl fld="4" item="0"/>
          <tpl hier="98" item="1"/>
          <tpl hier="102" item="4294967295"/>
          <tpl hier="103" item="5"/>
          <tpl hier="108" item="3"/>
          <tpl hier="113" item="4"/>
        </tpls>
      </m>
      <m>
        <tpls c="7">
          <tpl fld="5" item="117"/>
          <tpl fld="4" item="1"/>
          <tpl hier="98" item="1"/>
          <tpl hier="102" item="4294967295"/>
          <tpl hier="103" item="5"/>
          <tpl hier="108" item="3"/>
          <tpl hier="113" item="4"/>
        </tpls>
      </m>
      <n v="16920.5">
        <tpls c="7">
          <tpl fld="5" item="106"/>
          <tpl fld="4" item="0"/>
          <tpl hier="98" item="1"/>
          <tpl hier="102" item="4294967295"/>
          <tpl hier="103" item="5"/>
          <tpl hier="108" item="3"/>
          <tpl hier="113" item="4"/>
        </tpls>
      </n>
      <m>
        <tpls c="7">
          <tpl fld="5" item="67"/>
          <tpl fld="4" item="0"/>
          <tpl hier="98" item="1"/>
          <tpl hier="102" item="4294967295"/>
          <tpl hier="103" item="5"/>
          <tpl hier="108" item="3"/>
          <tpl hier="113" item="4"/>
        </tpls>
      </m>
      <m>
        <tpls c="7">
          <tpl fld="5" item="70"/>
          <tpl fld="4" item="2"/>
          <tpl hier="98" item="1"/>
          <tpl hier="102" item="4294967295"/>
          <tpl hier="103" item="5"/>
          <tpl hier="108" item="3"/>
          <tpl hier="113" item="4"/>
        </tpls>
      </m>
      <m>
        <tpls c="7">
          <tpl fld="5" item="70"/>
          <tpl fld="4" item="2"/>
          <tpl hier="98" item="1"/>
          <tpl fld="6" item="1"/>
          <tpl hier="103" item="5"/>
          <tpl hier="108" item="3"/>
          <tpl hier="113" item="4"/>
        </tpls>
      </m>
      <n v="136.35">
        <tpls c="7">
          <tpl fld="2" item="10"/>
          <tpl fld="7" item="0"/>
          <tpl hier="98" item="1"/>
          <tpl hier="102" item="4294967295"/>
          <tpl hier="103" item="5"/>
          <tpl hier="108" item="3"/>
          <tpl hier="113" item="4"/>
        </tpls>
      </n>
      <m>
        <tpls c="7">
          <tpl fld="2" item="10"/>
          <tpl fld="7" item="1"/>
          <tpl hier="98" item="1"/>
          <tpl hier="102" item="4294967295"/>
          <tpl hier="103" item="5"/>
          <tpl hier="108" item="3"/>
          <tpl hier="113" item="4"/>
        </tpls>
      </m>
      <n v="2335">
        <tpls c="7">
          <tpl fld="2" item="15"/>
          <tpl fld="7" item="0"/>
          <tpl hier="98" item="1"/>
          <tpl hier="102" item="4294967295"/>
          <tpl hier="103" item="5"/>
          <tpl hier="108" item="3"/>
          <tpl hier="113" item="4"/>
        </tpls>
      </n>
      <m>
        <tpls c="7">
          <tpl fld="2" item="15"/>
          <tpl fld="7" item="1"/>
          <tpl hier="98" item="1"/>
          <tpl hier="102" item="4294967295"/>
          <tpl hier="103" item="5"/>
          <tpl hier="108" item="3"/>
          <tpl hier="113" item="4"/>
        </tpls>
      </m>
      <m>
        <tpls c="7">
          <tpl fld="5" item="272"/>
          <tpl fld="4" item="3"/>
          <tpl hier="98" item="1"/>
          <tpl hier="102" item="4294967295"/>
          <tpl hier="103" item="5"/>
          <tpl hier="108" item="3"/>
          <tpl hier="113" item="4"/>
        </tpls>
      </m>
      <m>
        <tpls c="7">
          <tpl fld="5" item="272"/>
          <tpl fld="4" item="3"/>
          <tpl hier="98" item="1"/>
          <tpl fld="6" item="1"/>
          <tpl hier="103" item="5"/>
          <tpl hier="108" item="3"/>
          <tpl hier="113" item="4"/>
        </tpls>
      </m>
      <m>
        <tpls c="7">
          <tpl fld="5" item="275"/>
          <tpl fld="4" item="0"/>
          <tpl hier="98" item="1"/>
          <tpl fld="6" item="2"/>
          <tpl hier="103" item="5"/>
          <tpl hier="108" item="3"/>
          <tpl hier="113" item="4"/>
        </tpls>
      </m>
      <m>
        <tpls c="7">
          <tpl fld="5" item="275"/>
          <tpl fld="4" item="0"/>
          <tpl hier="98" item="1"/>
          <tpl hier="102" item="4294967295"/>
          <tpl hier="103" item="5"/>
          <tpl hier="108" item="3"/>
          <tpl hier="113" item="4"/>
        </tpls>
      </m>
      <m>
        <tpls c="7">
          <tpl fld="5" item="276"/>
          <tpl fld="4" item="0"/>
          <tpl hier="98" item="1"/>
          <tpl fld="6" item="2"/>
          <tpl hier="103" item="5"/>
          <tpl hier="108" item="3"/>
          <tpl hier="113" item="4"/>
        </tpls>
      </m>
      <m>
        <tpls c="7">
          <tpl fld="5" item="276"/>
          <tpl fld="4" item="0"/>
          <tpl hier="98" item="1"/>
          <tpl hier="102" item="4294967295"/>
          <tpl hier="103" item="5"/>
          <tpl hier="108" item="3"/>
          <tpl hier="113" item="4"/>
        </tpls>
      </m>
      <m>
        <tpls c="7">
          <tpl fld="5" item="278"/>
          <tpl fld="4" item="0"/>
          <tpl hier="98" item="1"/>
          <tpl fld="6" item="2"/>
          <tpl hier="103" item="5"/>
          <tpl hier="108" item="3"/>
          <tpl hier="113" item="4"/>
        </tpls>
      </m>
      <m>
        <tpls c="7">
          <tpl fld="5" item="278"/>
          <tpl fld="4" item="0"/>
          <tpl hier="98" item="1"/>
          <tpl fld="6" item="1"/>
          <tpl hier="103" item="5"/>
          <tpl hier="108" item="3"/>
          <tpl hier="113" item="4"/>
        </tpls>
      </m>
      <m>
        <tpls c="7">
          <tpl fld="5" item="278"/>
          <tpl fld="4" item="0"/>
          <tpl hier="98" item="1"/>
          <tpl hier="102" item="4294967295"/>
          <tpl hier="103" item="5"/>
          <tpl hier="108" item="3"/>
          <tpl hier="113" item="4"/>
        </tpls>
      </m>
      <m>
        <tpls c="7">
          <tpl fld="5" item="279"/>
          <tpl fld="4" item="3"/>
          <tpl hier="98" item="1"/>
          <tpl fld="6" item="2"/>
          <tpl hier="103" item="5"/>
          <tpl hier="108" item="3"/>
          <tpl hier="113" item="4"/>
        </tpls>
      </m>
      <m>
        <tpls c="7">
          <tpl fld="5" item="279"/>
          <tpl fld="4" item="3"/>
          <tpl hier="98" item="1"/>
          <tpl hier="102" item="4294967295"/>
          <tpl hier="103" item="5"/>
          <tpl hier="108" item="3"/>
          <tpl hier="113" item="4"/>
        </tpls>
      </m>
      <m>
        <tpls c="7">
          <tpl fld="5" item="280"/>
          <tpl fld="4" item="0"/>
          <tpl hier="98" item="1"/>
          <tpl fld="6" item="2"/>
          <tpl hier="103" item="5"/>
          <tpl hier="108" item="3"/>
          <tpl hier="113" item="4"/>
        </tpls>
      </m>
      <m>
        <tpls c="7">
          <tpl fld="5" item="280"/>
          <tpl fld="4" item="0"/>
          <tpl hier="98" item="1"/>
          <tpl hier="102" item="4294967295"/>
          <tpl hier="103" item="5"/>
          <tpl hier="108" item="3"/>
          <tpl hier="113" item="4"/>
        </tpls>
      </m>
      <m>
        <tpls c="7">
          <tpl fld="5" item="281"/>
          <tpl fld="4" item="0"/>
          <tpl hier="98" item="1"/>
          <tpl fld="6" item="2"/>
          <tpl hier="103" item="5"/>
          <tpl hier="108" item="3"/>
          <tpl hier="113" item="4"/>
        </tpls>
      </m>
      <m>
        <tpls c="7">
          <tpl fld="5" item="282"/>
          <tpl fld="4" item="0"/>
          <tpl hier="98" item="1"/>
          <tpl hier="102" item="4294967295"/>
          <tpl hier="103" item="5"/>
          <tpl hier="108" item="3"/>
          <tpl hier="113" item="4"/>
        </tpls>
      </m>
      <m>
        <tpls c="7">
          <tpl fld="5" item="282"/>
          <tpl fld="4" item="0"/>
          <tpl hier="98" item="1"/>
          <tpl fld="6" item="1"/>
          <tpl hier="103" item="5"/>
          <tpl hier="108" item="3"/>
          <tpl hier="113" item="4"/>
        </tpls>
      </m>
      <m>
        <tpls c="7">
          <tpl fld="5" item="282"/>
          <tpl fld="4" item="0"/>
          <tpl hier="98" item="1"/>
          <tpl fld="6" item="2"/>
          <tpl hier="103" item="5"/>
          <tpl hier="108" item="3"/>
          <tpl hier="113" item="4"/>
        </tpls>
      </m>
      <m>
        <tpls c="7">
          <tpl fld="5" item="287"/>
          <tpl fld="4" item="0"/>
          <tpl hier="98" item="1"/>
          <tpl fld="6" item="2"/>
          <tpl hier="103" item="5"/>
          <tpl hier="108" item="3"/>
          <tpl hier="113" item="4"/>
        </tpls>
      </m>
      <m>
        <tpls c="7">
          <tpl fld="5" item="287"/>
          <tpl fld="4" item="0"/>
          <tpl hier="98" item="1"/>
          <tpl hier="102" item="4294967295"/>
          <tpl hier="103" item="5"/>
          <tpl hier="108" item="3"/>
          <tpl hier="113" item="4"/>
        </tpls>
      </m>
      <m>
        <tpls c="7">
          <tpl fld="5" item="287"/>
          <tpl fld="4" item="0"/>
          <tpl hier="98" item="1"/>
          <tpl fld="6" item="1"/>
          <tpl hier="103" item="5"/>
          <tpl hier="108" item="3"/>
          <tpl hier="113" item="4"/>
        </tpls>
      </m>
      <m>
        <tpls c="7">
          <tpl fld="5" item="277"/>
          <tpl fld="4" item="1"/>
          <tpl hier="98" item="1"/>
          <tpl fld="6" item="2"/>
          <tpl hier="103" item="5"/>
          <tpl hier="108" item="3"/>
          <tpl hier="113" item="4"/>
        </tpls>
      </m>
      <m>
        <tpls c="7">
          <tpl fld="5" item="177"/>
          <tpl fld="4" item="1"/>
          <tpl hier="98" item="1"/>
          <tpl fld="6" item="2"/>
          <tpl hier="103" item="5"/>
          <tpl hier="108" item="3"/>
          <tpl hier="113" item="4"/>
        </tpls>
      </m>
      <m>
        <tpls c="7">
          <tpl fld="5" item="18"/>
          <tpl fld="4" item="1"/>
          <tpl hier="98" item="1"/>
          <tpl fld="6" item="2"/>
          <tpl hier="103" item="5"/>
          <tpl hier="108" item="3"/>
          <tpl hier="113" item="4"/>
        </tpls>
      </m>
      <n v="1">
        <tpls c="7">
          <tpl fld="5" item="242"/>
          <tpl fld="4" item="0"/>
          <tpl hier="98" item="1"/>
          <tpl fld="6" item="2"/>
          <tpl hier="103" item="5"/>
          <tpl hier="108" item="3"/>
          <tpl hier="113" item="4"/>
        </tpls>
      </n>
      <m>
        <tpls c="7">
          <tpl fld="5" item="169"/>
          <tpl fld="4" item="1"/>
          <tpl hier="98" item="1"/>
          <tpl fld="6" item="2"/>
          <tpl hier="103" item="5"/>
          <tpl hier="108" item="3"/>
          <tpl hier="113" item="4"/>
        </tpls>
      </m>
      <n v="20">
        <tpls c="7">
          <tpl fld="5" item="203"/>
          <tpl fld="4" item="0"/>
          <tpl hier="98" item="1"/>
          <tpl fld="6" item="2"/>
          <tpl hier="103" item="5"/>
          <tpl hier="108" item="3"/>
          <tpl hier="113" item="4"/>
        </tpls>
      </n>
      <m>
        <tpls c="7">
          <tpl fld="5" item="207"/>
          <tpl fld="4" item="0"/>
          <tpl hier="98" item="1"/>
          <tpl fld="6" item="2"/>
          <tpl hier="103" item="5"/>
          <tpl hier="108" item="3"/>
          <tpl hier="113" item="4"/>
        </tpls>
      </m>
      <m>
        <tpls c="7">
          <tpl fld="5" item="144"/>
          <tpl fld="4" item="1"/>
          <tpl hier="98" item="1"/>
          <tpl fld="6" item="2"/>
          <tpl hier="103" item="5"/>
          <tpl hier="108" item="3"/>
          <tpl hier="113" item="4"/>
        </tpls>
      </m>
      <m>
        <tpls c="7">
          <tpl fld="5" item="129"/>
          <tpl fld="4" item="0"/>
          <tpl hier="98" item="1"/>
          <tpl fld="6" item="2"/>
          <tpl hier="103" item="5"/>
          <tpl hier="108" item="3"/>
          <tpl hier="113" item="4"/>
        </tpls>
      </m>
      <n v="1">
        <tpls c="7">
          <tpl fld="5" item="173"/>
          <tpl fld="4" item="0"/>
          <tpl hier="98" item="1"/>
          <tpl fld="6" item="2"/>
          <tpl hier="103" item="5"/>
          <tpl hier="108" item="3"/>
          <tpl hier="113" item="4"/>
        </tpls>
      </n>
      <m>
        <tpls c="7">
          <tpl fld="5" item="257"/>
          <tpl fld="4" item="0"/>
          <tpl hier="98" item="1"/>
          <tpl fld="6" item="2"/>
          <tpl hier="103" item="5"/>
          <tpl hier="108" item="3"/>
          <tpl hier="113" item="4"/>
        </tpls>
      </m>
      <m>
        <tpls c="7">
          <tpl fld="5" item="27"/>
          <tpl fld="4" item="0"/>
          <tpl hier="98" item="1"/>
          <tpl fld="6" item="2"/>
          <tpl hier="103" item="5"/>
          <tpl hier="108" item="3"/>
          <tpl hier="113" item="4"/>
        </tpls>
      </m>
      <n v="3">
        <tpls c="7">
          <tpl fld="5" item="102"/>
          <tpl fld="4" item="0"/>
          <tpl hier="98" item="1"/>
          <tpl fld="6" item="2"/>
          <tpl hier="103" item="5"/>
          <tpl hier="108" item="3"/>
          <tpl hier="113" item="4"/>
        </tpls>
      </n>
      <m>
        <tpls c="7">
          <tpl fld="5" item="21"/>
          <tpl fld="4" item="1"/>
          <tpl hier="98" item="1"/>
          <tpl fld="6" item="2"/>
          <tpl hier="103" item="5"/>
          <tpl hier="108" item="3"/>
          <tpl hier="113" item="4"/>
        </tpls>
      </m>
      <m>
        <tpls c="7">
          <tpl fld="5" item="148"/>
          <tpl fld="4" item="0"/>
          <tpl hier="98" item="1"/>
          <tpl fld="6" item="2"/>
          <tpl hier="103" item="5"/>
          <tpl hier="108" item="3"/>
          <tpl hier="113" item="4"/>
        </tpls>
      </m>
      <m>
        <tpls c="7">
          <tpl fld="5" item="219"/>
          <tpl fld="4" item="0"/>
          <tpl hier="98" item="1"/>
          <tpl fld="6" item="2"/>
          <tpl hier="103" item="5"/>
          <tpl hier="108" item="3"/>
          <tpl hier="113" item="4"/>
        </tpls>
      </m>
      <m>
        <tpls c="7">
          <tpl fld="5" item="171"/>
          <tpl fld="4" item="0"/>
          <tpl hier="98" item="1"/>
          <tpl fld="6" item="2"/>
          <tpl hier="103" item="5"/>
          <tpl hier="108" item="3"/>
          <tpl hier="113" item="4"/>
        </tpls>
      </m>
      <m>
        <tpls c="7">
          <tpl fld="5" item="172"/>
          <tpl fld="4" item="0"/>
          <tpl hier="98" item="1"/>
          <tpl fld="6" item="2"/>
          <tpl hier="103" item="5"/>
          <tpl hier="108" item="3"/>
          <tpl hier="113" item="4"/>
        </tpls>
      </m>
      <m>
        <tpls c="7">
          <tpl fld="5" item="131"/>
          <tpl fld="4" item="1"/>
          <tpl hier="98" item="1"/>
          <tpl fld="6" item="2"/>
          <tpl hier="103" item="5"/>
          <tpl hier="108" item="3"/>
          <tpl hier="113" item="4"/>
        </tpls>
      </m>
      <m>
        <tpls c="7">
          <tpl fld="5" item="198"/>
          <tpl fld="4" item="3"/>
          <tpl hier="98" item="1"/>
          <tpl fld="6" item="2"/>
          <tpl hier="103" item="5"/>
          <tpl hier="108" item="3"/>
          <tpl hier="113" item="4"/>
        </tpls>
      </m>
      <m>
        <tpls c="7">
          <tpl fld="5" item="19"/>
          <tpl fld="4" item="0"/>
          <tpl hier="98" item="1"/>
          <tpl fld="6" item="2"/>
          <tpl hier="103" item="5"/>
          <tpl hier="108" item="3"/>
          <tpl hier="113" item="4"/>
        </tpls>
      </m>
      <m>
        <tpls c="7">
          <tpl fld="5" item="178"/>
          <tpl fld="4" item="1"/>
          <tpl hier="98" item="1"/>
          <tpl fld="6" item="2"/>
          <tpl hier="103" item="5"/>
          <tpl hier="108" item="3"/>
          <tpl hier="113" item="4"/>
        </tpls>
      </m>
      <n v="2">
        <tpls c="7">
          <tpl fld="5" item="50"/>
          <tpl fld="4" item="0"/>
          <tpl hier="98" item="1"/>
          <tpl fld="6" item="2"/>
          <tpl hier="103" item="5"/>
          <tpl hier="108" item="3"/>
          <tpl hier="113" item="4"/>
        </tpls>
      </n>
      <m>
        <tpls c="7">
          <tpl fld="5" item="179"/>
          <tpl fld="4" item="1"/>
          <tpl hier="98" item="1"/>
          <tpl fld="6" item="2"/>
          <tpl hier="103" item="5"/>
          <tpl hier="108" item="3"/>
          <tpl hier="113" item="4"/>
        </tpls>
      </m>
      <m>
        <tpls c="7">
          <tpl fld="5" item="81"/>
          <tpl fld="4" item="1"/>
          <tpl hier="98" item="1"/>
          <tpl fld="6" item="2"/>
          <tpl hier="103" item="5"/>
          <tpl hier="108" item="3"/>
          <tpl hier="113" item="4"/>
        </tpls>
      </m>
      <m>
        <tpls c="7">
          <tpl fld="5" item="235"/>
          <tpl fld="4" item="1"/>
          <tpl hier="98" item="1"/>
          <tpl fld="6" item="2"/>
          <tpl hier="103" item="5"/>
          <tpl hier="108" item="3"/>
          <tpl hier="113" item="4"/>
        </tpls>
      </m>
      <n v="18">
        <tpls c="7">
          <tpl fld="5" item="16"/>
          <tpl fld="4" item="0"/>
          <tpl hier="98" item="1"/>
          <tpl fld="6" item="2"/>
          <tpl hier="103" item="5"/>
          <tpl hier="108" item="3"/>
          <tpl hier="113" item="4"/>
        </tpls>
      </n>
      <m>
        <tpls c="7">
          <tpl fld="5" item="61"/>
          <tpl fld="4" item="1"/>
          <tpl hier="98" item="1"/>
          <tpl fld="6" item="2"/>
          <tpl hier="103" item="5"/>
          <tpl hier="108" item="3"/>
          <tpl hier="113" item="4"/>
        </tpls>
      </m>
      <m>
        <tpls c="7">
          <tpl fld="5" item="82"/>
          <tpl fld="4" item="3"/>
          <tpl hier="98" item="1"/>
          <tpl fld="6" item="2"/>
          <tpl hier="103" item="5"/>
          <tpl hier="108" item="3"/>
          <tpl hier="113" item="4"/>
        </tpls>
      </m>
      <m>
        <tpls c="7">
          <tpl fld="5" item="248"/>
          <tpl fld="4" item="3"/>
          <tpl hier="98" item="1"/>
          <tpl fld="6" item="2"/>
          <tpl hier="103" item="5"/>
          <tpl hier="108" item="3"/>
          <tpl hier="113" item="4"/>
        </tpls>
      </m>
      <n v="3">
        <tpls c="7">
          <tpl fld="5" item="149"/>
          <tpl fld="4" item="0"/>
          <tpl hier="98" item="1"/>
          <tpl fld="6" item="2"/>
          <tpl hier="103" item="5"/>
          <tpl hier="108" item="3"/>
          <tpl hier="113" item="4"/>
        </tpls>
      </n>
      <m>
        <tpls c="7">
          <tpl fld="5" item="44"/>
          <tpl fld="4" item="2"/>
          <tpl hier="98" item="1"/>
          <tpl fld="6" item="2"/>
          <tpl hier="103" item="5"/>
          <tpl hier="108" item="3"/>
          <tpl hier="113" item="4"/>
        </tpls>
      </m>
      <m>
        <tpls c="7">
          <tpl fld="5" item="12"/>
          <tpl fld="4" item="0"/>
          <tpl hier="98" item="1"/>
          <tpl fld="6" item="2"/>
          <tpl hier="103" item="5"/>
          <tpl hier="108" item="3"/>
          <tpl hier="113" item="4"/>
        </tpls>
      </m>
      <m>
        <tpls c="7">
          <tpl fld="5" item="250"/>
          <tpl fld="4" item="1"/>
          <tpl hier="98" item="1"/>
          <tpl fld="6" item="2"/>
          <tpl hier="103" item="5"/>
          <tpl hier="108" item="3"/>
          <tpl hier="113" item="4"/>
        </tpls>
      </m>
      <m>
        <tpls c="7">
          <tpl fld="5" item="176"/>
          <tpl fld="4" item="1"/>
          <tpl hier="98" item="1"/>
          <tpl fld="6" item="2"/>
          <tpl hier="103" item="5"/>
          <tpl hier="108" item="3"/>
          <tpl hier="113" item="4"/>
        </tpls>
      </m>
      <m>
        <tpls c="7">
          <tpl fld="5" item="46"/>
          <tpl fld="4" item="1"/>
          <tpl hier="98" item="1"/>
          <tpl fld="6" item="2"/>
          <tpl hier="103" item="5"/>
          <tpl hier="108" item="3"/>
          <tpl hier="113" item="4"/>
        </tpls>
      </m>
      <m>
        <tpls c="7">
          <tpl fld="5" item="111"/>
          <tpl fld="4" item="1"/>
          <tpl hier="98" item="1"/>
          <tpl fld="6" item="2"/>
          <tpl hier="103" item="5"/>
          <tpl hier="108" item="3"/>
          <tpl hier="113" item="4"/>
        </tpls>
      </m>
      <m>
        <tpls c="7">
          <tpl fld="5" item="120"/>
          <tpl fld="4" item="0"/>
          <tpl hier="98" item="1"/>
          <tpl fld="6" item="2"/>
          <tpl hier="103" item="5"/>
          <tpl hier="108" item="3"/>
          <tpl hier="113" item="4"/>
        </tpls>
      </m>
      <m>
        <tpls c="7">
          <tpl fld="5" item="261"/>
          <tpl fld="4" item="1"/>
          <tpl hier="98" item="1"/>
          <tpl fld="6" item="2"/>
          <tpl hier="103" item="5"/>
          <tpl hier="108" item="3"/>
          <tpl hier="113" item="4"/>
        </tpls>
      </m>
      <m>
        <tpls c="7">
          <tpl fld="5" item="1"/>
          <tpl fld="4" item="3"/>
          <tpl hier="98" item="1"/>
          <tpl fld="6" item="2"/>
          <tpl hier="103" item="5"/>
          <tpl hier="108" item="3"/>
          <tpl hier="113" item="4"/>
        </tpls>
      </m>
      <n v="1">
        <tpls c="7">
          <tpl fld="5" item="74"/>
          <tpl fld="4" item="0"/>
          <tpl hier="98" item="1"/>
          <tpl fld="6" item="2"/>
          <tpl hier="103" item="5"/>
          <tpl hier="108" item="3"/>
          <tpl hier="113" item="4"/>
        </tpls>
      </n>
      <m>
        <tpls c="7">
          <tpl fld="5" item="0"/>
          <tpl fld="4" item="0"/>
          <tpl hier="98" item="1"/>
          <tpl fld="6" item="2"/>
          <tpl hier="103" item="5"/>
          <tpl hier="108" item="3"/>
          <tpl hier="113" item="4"/>
        </tpls>
      </m>
      <m>
        <tpls c="7">
          <tpl fld="5" item="89"/>
          <tpl fld="4" item="0"/>
          <tpl hier="98" item="1"/>
          <tpl fld="6" item="2"/>
          <tpl hier="103" item="5"/>
          <tpl hier="108" item="3"/>
          <tpl hier="113" item="4"/>
        </tpls>
      </m>
      <m>
        <tpls c="7">
          <tpl fld="5" item="113"/>
          <tpl fld="4" item="1"/>
          <tpl hier="98" item="1"/>
          <tpl fld="6" item="2"/>
          <tpl hier="103" item="5"/>
          <tpl hier="108" item="3"/>
          <tpl hier="113" item="4"/>
        </tpls>
      </m>
      <m>
        <tpls c="7">
          <tpl fld="5" item="98"/>
          <tpl fld="4" item="1"/>
          <tpl hier="98" item="1"/>
          <tpl fld="6" item="2"/>
          <tpl hier="103" item="5"/>
          <tpl hier="108" item="3"/>
          <tpl hier="113" item="4"/>
        </tpls>
      </m>
      <m>
        <tpls c="7">
          <tpl fld="5" item="22"/>
          <tpl fld="4" item="0"/>
          <tpl hier="98" item="1"/>
          <tpl fld="6" item="2"/>
          <tpl hier="103" item="5"/>
          <tpl hier="108" item="3"/>
          <tpl hier="113" item="4"/>
        </tpls>
      </m>
      <m>
        <tpls c="7">
          <tpl fld="5" item="186"/>
          <tpl fld="4" item="1"/>
          <tpl hier="98" item="1"/>
          <tpl fld="6" item="2"/>
          <tpl hier="103" item="5"/>
          <tpl hier="108" item="3"/>
          <tpl hier="113" item="4"/>
        </tpls>
      </m>
      <n v="1">
        <tpls c="7">
          <tpl fld="5" item="200"/>
          <tpl fld="4" item="0"/>
          <tpl hier="98" item="1"/>
          <tpl fld="6" item="2"/>
          <tpl hier="103" item="5"/>
          <tpl hier="108" item="3"/>
          <tpl hier="113" item="4"/>
        </tpls>
      </n>
      <m>
        <tpls c="7">
          <tpl fld="5" item="99"/>
          <tpl fld="4" item="1"/>
          <tpl hier="98" item="1"/>
          <tpl fld="6" item="2"/>
          <tpl hier="103" item="5"/>
          <tpl hier="108" item="3"/>
          <tpl hier="113" item="4"/>
        </tpls>
      </m>
      <m>
        <tpls c="7">
          <tpl fld="5" item="119"/>
          <tpl fld="4" item="1"/>
          <tpl hier="98" item="1"/>
          <tpl fld="6" item="2"/>
          <tpl hier="103" item="5"/>
          <tpl hier="108" item="3"/>
          <tpl hier="113" item="4"/>
        </tpls>
      </m>
      <m>
        <tpls c="7">
          <tpl fld="5" item="220"/>
          <tpl fld="4" item="1"/>
          <tpl hier="98" item="1"/>
          <tpl fld="6" item="2"/>
          <tpl hier="103" item="5"/>
          <tpl hier="108" item="3"/>
          <tpl hier="113" item="4"/>
        </tpls>
      </m>
      <m>
        <tpls c="7">
          <tpl fld="5" item="194"/>
          <tpl fld="4" item="1"/>
          <tpl hier="98" item="1"/>
          <tpl fld="6" item="2"/>
          <tpl hier="103" item="5"/>
          <tpl hier="108" item="3"/>
          <tpl hier="113" item="4"/>
        </tpls>
      </m>
      <m>
        <tpls c="7">
          <tpl fld="5" item="28"/>
          <tpl fld="4" item="1"/>
          <tpl hier="98" item="1"/>
          <tpl fld="6" item="2"/>
          <tpl hier="103" item="5"/>
          <tpl hier="108" item="3"/>
          <tpl hier="113" item="4"/>
        </tpls>
      </m>
      <m>
        <tpls c="7">
          <tpl fld="5" item="88"/>
          <tpl fld="4" item="0"/>
          <tpl hier="98" item="1"/>
          <tpl fld="6" item="2"/>
          <tpl hier="103" item="5"/>
          <tpl hier="108" item="3"/>
          <tpl hier="113" item="4"/>
        </tpls>
      </m>
      <m>
        <tpls c="7">
          <tpl fld="5" item="30"/>
          <tpl fld="4" item="1"/>
          <tpl hier="98" item="1"/>
          <tpl fld="6" item="2"/>
          <tpl hier="103" item="5"/>
          <tpl hier="108" item="3"/>
          <tpl hier="113" item="4"/>
        </tpls>
      </m>
      <m>
        <tpls c="7">
          <tpl fld="5" item="146"/>
          <tpl fld="4" item="0"/>
          <tpl hier="98" item="1"/>
          <tpl fld="6" item="2"/>
          <tpl hier="103" item="5"/>
          <tpl hier="108" item="3"/>
          <tpl hier="113" item="4"/>
        </tpls>
      </m>
      <n v="1">
        <tpls c="7">
          <tpl fld="5" item="121"/>
          <tpl fld="4" item="0"/>
          <tpl hier="98" item="1"/>
          <tpl fld="6" item="2"/>
          <tpl hier="103" item="5"/>
          <tpl hier="108" item="3"/>
          <tpl hier="113" item="4"/>
        </tpls>
      </n>
      <m>
        <tpls c="7">
          <tpl fld="5" item="40"/>
          <tpl fld="4" item="0"/>
          <tpl hier="98" item="1"/>
          <tpl fld="6" item="2"/>
          <tpl hier="103" item="5"/>
          <tpl hier="108" item="3"/>
          <tpl hier="113" item="4"/>
        </tpls>
      </m>
      <m>
        <tpls c="7">
          <tpl fld="5" item="158"/>
          <tpl fld="4" item="0"/>
          <tpl hier="98" item="1"/>
          <tpl fld="6" item="2"/>
          <tpl hier="103" item="5"/>
          <tpl hier="108" item="3"/>
          <tpl hier="113" item="4"/>
        </tpls>
      </m>
      <m>
        <tpls c="7">
          <tpl fld="5" item="222"/>
          <tpl fld="4" item="0"/>
          <tpl hier="98" item="1"/>
          <tpl fld="6" item="2"/>
          <tpl hier="103" item="5"/>
          <tpl hier="108" item="3"/>
          <tpl hier="113" item="4"/>
        </tpls>
      </m>
      <m>
        <tpls c="7">
          <tpl fld="5" item="196"/>
          <tpl fld="4" item="1"/>
          <tpl hier="98" item="1"/>
          <tpl fld="6" item="2"/>
          <tpl hier="103" item="5"/>
          <tpl hier="108" item="3"/>
          <tpl hier="113" item="4"/>
        </tpls>
      </m>
      <m>
        <tpls c="7">
          <tpl fld="5" item="14"/>
          <tpl fld="4" item="1"/>
          <tpl hier="98" item="1"/>
          <tpl fld="6" item="2"/>
          <tpl hier="103" item="5"/>
          <tpl hier="108" item="3"/>
          <tpl hier="113" item="4"/>
        </tpls>
      </m>
      <m>
        <tpls c="7">
          <tpl fld="5" item="6"/>
          <tpl fld="4" item="1"/>
          <tpl hier="98" item="1"/>
          <tpl fld="6" item="2"/>
          <tpl hier="103" item="5"/>
          <tpl hier="108" item="3"/>
          <tpl hier="113" item="4"/>
        </tpls>
      </m>
      <m>
        <tpls c="7">
          <tpl fld="5" item="199"/>
          <tpl fld="4" item="1"/>
          <tpl hier="98" item="1"/>
          <tpl fld="6" item="2"/>
          <tpl hier="103" item="5"/>
          <tpl hier="108" item="3"/>
          <tpl hier="113" item="4"/>
        </tpls>
      </m>
      <n v="1">
        <tpls c="7">
          <tpl fld="5" item="37"/>
          <tpl fld="4" item="0"/>
          <tpl hier="98" item="1"/>
          <tpl fld="6" item="2"/>
          <tpl hier="103" item="5"/>
          <tpl hier="108" item="3"/>
          <tpl hier="113" item="4"/>
        </tpls>
      </n>
      <m>
        <tpls c="7">
          <tpl fld="5" item="51"/>
          <tpl fld="4" item="0"/>
          <tpl hier="98" item="1"/>
          <tpl fld="6" item="2"/>
          <tpl hier="103" item="5"/>
          <tpl hier="108" item="3"/>
          <tpl hier="113" item="4"/>
        </tpls>
      </m>
      <m>
        <tpls c="7">
          <tpl fld="5" item="108"/>
          <tpl fld="4" item="1"/>
          <tpl hier="98" item="1"/>
          <tpl fld="6" item="2"/>
          <tpl hier="103" item="5"/>
          <tpl hier="108" item="3"/>
          <tpl hier="113" item="4"/>
        </tpls>
      </m>
      <n v="1">
        <tpls c="7">
          <tpl fld="5" item="145"/>
          <tpl fld="4" item="0"/>
          <tpl hier="98" item="1"/>
          <tpl fld="6" item="2"/>
          <tpl hier="103" item="5"/>
          <tpl hier="108" item="3"/>
          <tpl hier="113" item="4"/>
        </tpls>
      </n>
      <m>
        <tpls c="7">
          <tpl fld="5" item="152"/>
          <tpl fld="4" item="0"/>
          <tpl hier="98" item="1"/>
          <tpl fld="6" item="2"/>
          <tpl hier="103" item="5"/>
          <tpl hier="108" item="3"/>
          <tpl hier="113" item="4"/>
        </tpls>
      </m>
      <m>
        <tpls c="7">
          <tpl fld="5" item="39"/>
          <tpl fld="4" item="1"/>
          <tpl hier="98" item="1"/>
          <tpl fld="6" item="2"/>
          <tpl hier="103" item="5"/>
          <tpl hier="108" item="3"/>
          <tpl hier="113" item="4"/>
        </tpls>
      </m>
      <n v="11">
        <tpls c="7">
          <tpl fld="5" item="175"/>
          <tpl fld="4" item="0"/>
          <tpl hier="98" item="1"/>
          <tpl fld="6" item="2"/>
          <tpl hier="103" item="5"/>
          <tpl hier="108" item="3"/>
          <tpl hier="113" item="4"/>
        </tpls>
      </n>
      <m>
        <tpls c="7">
          <tpl fld="5" item="83"/>
          <tpl fld="4" item="3"/>
          <tpl hier="98" item="1"/>
          <tpl fld="6" item="2"/>
          <tpl hier="103" item="5"/>
          <tpl hier="108" item="3"/>
          <tpl hier="113" item="4"/>
        </tpls>
      </m>
      <n v="4">
        <tpls c="7">
          <tpl fld="5" item="116"/>
          <tpl fld="4" item="0"/>
          <tpl hier="98" item="1"/>
          <tpl fld="6" item="2"/>
          <tpl hier="103" item="5"/>
          <tpl hier="108" item="3"/>
          <tpl hier="113" item="4"/>
        </tpls>
      </n>
      <m>
        <tpls c="7">
          <tpl fld="5" item="94"/>
          <tpl fld="4" item="0"/>
          <tpl hier="98" item="1"/>
          <tpl fld="6" item="2"/>
          <tpl hier="103" item="5"/>
          <tpl hier="108" item="3"/>
          <tpl hier="113" item="4"/>
        </tpls>
      </m>
      <m>
        <tpls c="7">
          <tpl fld="5" item="55"/>
          <tpl fld="4" item="1"/>
          <tpl hier="98" item="1"/>
          <tpl fld="6" item="2"/>
          <tpl hier="103" item="5"/>
          <tpl hier="108" item="3"/>
          <tpl hier="113" item="4"/>
        </tpls>
      </m>
      <n v="46">
        <tpls c="7">
          <tpl fld="5" item="114"/>
          <tpl fld="4" item="0"/>
          <tpl hier="98" item="1"/>
          <tpl fld="6" item="2"/>
          <tpl hier="103" item="5"/>
          <tpl hier="108" item="3"/>
          <tpl hier="113" item="4"/>
        </tpls>
      </n>
      <m>
        <tpls c="7">
          <tpl fld="5" item="193"/>
          <tpl fld="4" item="1"/>
          <tpl hier="98" item="1"/>
          <tpl fld="6" item="2"/>
          <tpl hier="103" item="5"/>
          <tpl hier="108" item="3"/>
          <tpl hier="113" item="4"/>
        </tpls>
      </m>
      <n v="1">
        <tpls c="7">
          <tpl fld="5" item="52"/>
          <tpl fld="4" item="0"/>
          <tpl hier="98" item="1"/>
          <tpl fld="6" item="2"/>
          <tpl hier="103" item="5"/>
          <tpl hier="108" item="3"/>
          <tpl hier="113" item="4"/>
        </tpls>
      </n>
      <m>
        <tpls c="7">
          <tpl fld="5" item="162"/>
          <tpl fld="4" item="3"/>
          <tpl hier="98" item="1"/>
          <tpl fld="6" item="2"/>
          <tpl hier="103" item="5"/>
          <tpl hier="108" item="3"/>
          <tpl hier="113" item="4"/>
        </tpls>
      </m>
      <m>
        <tpls c="7">
          <tpl fld="5" item="292"/>
          <tpl fld="4" item="0"/>
          <tpl hier="98" item="1"/>
          <tpl fld="6" item="1"/>
          <tpl hier="103" item="5"/>
          <tpl hier="108" item="3"/>
          <tpl hier="113" item="4"/>
        </tpls>
      </m>
      <m>
        <tpls c="7">
          <tpl fld="5" item="292"/>
          <tpl fld="4" item="0"/>
          <tpl hier="98" item="1"/>
          <tpl fld="6" item="2"/>
          <tpl hier="103" item="5"/>
          <tpl hier="108" item="3"/>
          <tpl hier="113" item="4"/>
        </tpls>
      </m>
      <m>
        <tpls c="7">
          <tpl fld="5" item="294"/>
          <tpl fld="4" item="1"/>
          <tpl hier="98" item="1"/>
          <tpl hier="102" item="4294967295"/>
          <tpl hier="103" item="5"/>
          <tpl hier="108" item="3"/>
          <tpl hier="113" item="4"/>
        </tpls>
      </m>
      <m>
        <tpls c="7">
          <tpl fld="5" item="296"/>
          <tpl fld="4" item="1"/>
          <tpl hier="98" item="1"/>
          <tpl hier="102" item="4294967295"/>
          <tpl hier="103" item="5"/>
          <tpl hier="108" item="3"/>
          <tpl hier="113" item="4"/>
        </tpls>
      </m>
      <m>
        <tpls c="7">
          <tpl fld="5" item="305"/>
          <tpl fld="4" item="1"/>
          <tpl hier="98" item="1"/>
          <tpl fld="6" item="2"/>
          <tpl hier="103" item="5"/>
          <tpl hier="108" item="3"/>
          <tpl hier="113" item="4"/>
        </tpls>
      </m>
      <m>
        <tpls c="7">
          <tpl fld="5" item="305"/>
          <tpl fld="4" item="1"/>
          <tpl hier="98" item="1"/>
          <tpl hier="102" item="4294967295"/>
          <tpl hier="103" item="5"/>
          <tpl hier="108" item="3"/>
          <tpl hier="113" item="4"/>
        </tpls>
      </m>
      <m>
        <tpls c="7">
          <tpl fld="5" item="305"/>
          <tpl fld="4" item="1"/>
          <tpl hier="98" item="1"/>
          <tpl fld="6" item="1"/>
          <tpl hier="103" item="5"/>
          <tpl hier="108" item="3"/>
          <tpl hier="113" item="4"/>
        </tpls>
      </m>
      <m>
        <tpls c="7">
          <tpl fld="5" item="306"/>
          <tpl fld="4" item="1"/>
          <tpl hier="98" item="1"/>
          <tpl fld="6" item="2"/>
          <tpl hier="103" item="5"/>
          <tpl hier="108" item="3"/>
          <tpl hier="113" item="4"/>
        </tpls>
      </m>
      <m>
        <tpls c="7">
          <tpl fld="5" item="306"/>
          <tpl fld="4" item="1"/>
          <tpl hier="98" item="1"/>
          <tpl fld="6" item="1"/>
          <tpl hier="103" item="5"/>
          <tpl hier="108" item="3"/>
          <tpl hier="113" item="4"/>
        </tpls>
      </m>
      <m>
        <tpls c="7">
          <tpl fld="5" item="307"/>
          <tpl fld="4" item="1"/>
          <tpl hier="98" item="1"/>
          <tpl fld="6" item="1"/>
          <tpl hier="103" item="5"/>
          <tpl hier="108" item="3"/>
          <tpl hier="113" item="4"/>
        </tpls>
      </m>
      <m>
        <tpls c="7">
          <tpl fld="5" item="307"/>
          <tpl fld="4" item="1"/>
          <tpl hier="98" item="1"/>
          <tpl hier="102" item="4294967295"/>
          <tpl hier="103" item="5"/>
          <tpl hier="108" item="3"/>
          <tpl hier="113" item="4"/>
        </tpls>
      </m>
      <n v="5">
        <tpls c="7">
          <tpl fld="5" item="308"/>
          <tpl fld="4" item="0"/>
          <tpl hier="98" item="1"/>
          <tpl fld="6" item="2"/>
          <tpl hier="103" item="5"/>
          <tpl hier="108" item="3"/>
          <tpl hier="113" item="4"/>
        </tpls>
      </n>
      <n v="3">
        <tpls c="7">
          <tpl fld="5" item="308"/>
          <tpl fld="4" item="0"/>
          <tpl hier="98" item="1"/>
          <tpl fld="6" item="1"/>
          <tpl hier="103" item="5"/>
          <tpl hier="108" item="3"/>
          <tpl hier="113" item="4"/>
        </tpls>
      </n>
      <m>
        <tpls c="7">
          <tpl fld="5" item="309"/>
          <tpl fld="4" item="0"/>
          <tpl hier="98" item="1"/>
          <tpl hier="102" item="4294967295"/>
          <tpl hier="103" item="5"/>
          <tpl hier="108" item="3"/>
          <tpl hier="113" item="4"/>
        </tpls>
      </m>
      <m>
        <tpls c="7">
          <tpl fld="5" item="309"/>
          <tpl fld="4" item="0"/>
          <tpl hier="98" item="1"/>
          <tpl fld="6" item="2"/>
          <tpl hier="103" item="5"/>
          <tpl hier="108" item="3"/>
          <tpl hier="113" item="4"/>
        </tpls>
      </m>
      <m>
        <tpls c="7">
          <tpl fld="5" item="310"/>
          <tpl fld="4" item="1"/>
          <tpl hier="98" item="1"/>
          <tpl fld="6" item="2"/>
          <tpl hier="103" item="5"/>
          <tpl hier="108" item="3"/>
          <tpl hier="113" item="4"/>
        </tpls>
      </m>
      <m>
        <tpls c="7">
          <tpl fld="5" item="310"/>
          <tpl fld="4" item="1"/>
          <tpl hier="98" item="1"/>
          <tpl hier="102" item="4294967295"/>
          <tpl hier="103" item="5"/>
          <tpl hier="108" item="3"/>
          <tpl hier="113" item="4"/>
        </tpls>
      </m>
      <m>
        <tpls c="7">
          <tpl fld="5" item="311"/>
          <tpl fld="4" item="0"/>
          <tpl hier="98" item="1"/>
          <tpl fld="6" item="2"/>
          <tpl hier="103" item="5"/>
          <tpl hier="108" item="3"/>
          <tpl hier="113" item="4"/>
        </tpls>
      </m>
      <m>
        <tpls c="7">
          <tpl fld="5" item="311"/>
          <tpl fld="4" item="0"/>
          <tpl hier="98" item="1"/>
          <tpl fld="6" item="1"/>
          <tpl hier="103" item="5"/>
          <tpl hier="108" item="3"/>
          <tpl hier="113" item="4"/>
        </tpls>
      </m>
      <m>
        <tpls c="7">
          <tpl fld="2" item="12"/>
          <tpl fld="7" item="3"/>
          <tpl hier="98" item="1"/>
          <tpl hier="102" item="4294967295"/>
          <tpl hier="103" item="5"/>
          <tpl hier="108" item="3"/>
          <tpl hier="113" item="4"/>
        </tpls>
      </m>
      <m>
        <tpls c="7">
          <tpl fld="2" item="9"/>
          <tpl fld="7" item="3"/>
          <tpl hier="98" item="1"/>
          <tpl hier="102" item="4294967295"/>
          <tpl hier="103" item="5"/>
          <tpl hier="108" item="3"/>
          <tpl hier="113" item="4"/>
        </tpls>
      </m>
      <n v="3547.85">
        <tpls c="7">
          <tpl fld="2" item="10"/>
          <tpl fld="7" item="3"/>
          <tpl hier="98" item="1"/>
          <tpl hier="102" item="4294967295"/>
          <tpl hier="103" item="5"/>
          <tpl hier="108" item="3"/>
          <tpl hier="113" item="4"/>
        </tpls>
      </n>
      <m>
        <tpls c="7">
          <tpl fld="2" item="6"/>
          <tpl fld="7" item="3"/>
          <tpl hier="98" item="1"/>
          <tpl hier="102" item="4294967295"/>
          <tpl hier="103" item="5"/>
          <tpl hier="108" item="3"/>
          <tpl hier="113" item="4"/>
        </tpls>
      </m>
      <n v="15855.009999999998">
        <tpls c="7">
          <tpl fld="2" item="5"/>
          <tpl fld="7" item="3"/>
          <tpl hier="98" item="1"/>
          <tpl hier="102" item="4294967295"/>
          <tpl hier="103" item="5"/>
          <tpl hier="108" item="3"/>
          <tpl hier="113" item="4"/>
        </tpls>
      </n>
      <n v="101524.3">
        <tpls c="7">
          <tpl fld="2" item="15"/>
          <tpl fld="7" item="3"/>
          <tpl hier="98" item="1"/>
          <tpl hier="102" item="4294967295"/>
          <tpl hier="103" item="5"/>
          <tpl hier="108" item="3"/>
          <tpl hier="113" item="4"/>
        </tpls>
      </n>
      <n v="14595.65">
        <tpls c="7">
          <tpl fld="2" item="13"/>
          <tpl fld="7" item="3"/>
          <tpl hier="98" item="1"/>
          <tpl hier="102" item="4294967295"/>
          <tpl hier="103" item="5"/>
          <tpl hier="108" item="3"/>
          <tpl hier="113" item="4"/>
        </tpls>
      </n>
      <n v="600">
        <tpls c="7">
          <tpl fld="2" item="3"/>
          <tpl fld="7" item="4"/>
          <tpl hier="98" item="1"/>
          <tpl hier="102" item="4294967295"/>
          <tpl hier="103" item="5"/>
          <tpl hier="108" item="3"/>
          <tpl hier="113" item="4"/>
        </tpls>
      </n>
      <n v="6240">
        <tpls c="7">
          <tpl fld="2" item="9"/>
          <tpl fld="7" item="4"/>
          <tpl hier="98" item="1"/>
          <tpl hier="102" item="4294967295"/>
          <tpl hier="103" item="5"/>
          <tpl hier="108" item="3"/>
          <tpl hier="113" item="4"/>
        </tpls>
      </n>
      <n v="0">
        <tpls c="7">
          <tpl fld="2" item="13"/>
          <tpl fld="7" item="4"/>
          <tpl hier="98" item="1"/>
          <tpl hier="102" item="4294967295"/>
          <tpl hier="103" item="5"/>
          <tpl hier="108" item="3"/>
          <tpl hier="113" item="4"/>
        </tpls>
      </n>
      <n v="1460">
        <tpls c="7">
          <tpl fld="2" item="2"/>
          <tpl fld="7" item="4"/>
          <tpl hier="98" item="1"/>
          <tpl hier="102" item="4294967295"/>
          <tpl hier="103" item="5"/>
          <tpl hier="108" item="3"/>
          <tpl hier="113" item="4"/>
        </tpls>
      </n>
      <n v="0">
        <tpls c="7">
          <tpl fld="2" item="8"/>
          <tpl fld="7" item="4"/>
          <tpl hier="98" item="1"/>
          <tpl hier="102" item="4294967295"/>
          <tpl hier="103" item="5"/>
          <tpl hier="108" item="3"/>
          <tpl hier="113" item="4"/>
        </tpls>
      </n>
      <n v="0">
        <tpls c="7">
          <tpl fld="2" item="14"/>
          <tpl fld="7" item="4"/>
          <tpl hier="98" item="1"/>
          <tpl hier="102" item="4294967295"/>
          <tpl hier="103" item="5"/>
          <tpl hier="108" item="3"/>
          <tpl hier="113" item="4"/>
        </tpls>
      </n>
      <n v="0">
        <tpls c="7">
          <tpl fld="2" item="10"/>
          <tpl fld="7" item="4"/>
          <tpl hier="98" item="1"/>
          <tpl hier="102" item="4294967295"/>
          <tpl hier="103" item="5"/>
          <tpl hier="108" item="3"/>
          <tpl hier="113" item="4"/>
        </tpls>
      </n>
      <n v="5603.67">
        <tpls c="7">
          <tpl fld="2" item="5"/>
          <tpl fld="7" item="4"/>
          <tpl hier="98" item="1"/>
          <tpl hier="102" item="4294967295"/>
          <tpl hier="103" item="5"/>
          <tpl hier="108" item="3"/>
          <tpl hier="113" item="4"/>
        </tpls>
      </n>
      <m>
        <tpls c="7">
          <tpl fld="2" item="16"/>
          <tpl fld="7" item="4"/>
          <tpl hier="98" item="1"/>
          <tpl hier="102" item="4294967295"/>
          <tpl hier="103" item="5"/>
          <tpl hier="108" item="3"/>
          <tpl hier="113" item="4"/>
        </tpls>
      </m>
      <m>
        <tpls c="7">
          <tpl fld="5" item="314"/>
          <tpl fld="4" item="1"/>
          <tpl hier="98" item="1"/>
          <tpl fld="6" item="2"/>
          <tpl hier="103" item="5"/>
          <tpl hier="108" item="3"/>
          <tpl hier="113" item="4"/>
        </tpls>
      </m>
      <m>
        <tpls c="7">
          <tpl fld="5" item="314"/>
          <tpl fld="4" item="1"/>
          <tpl hier="98" item="1"/>
          <tpl hier="102" item="4294967295"/>
          <tpl hier="103" item="5"/>
          <tpl hier="108" item="3"/>
          <tpl hier="113" item="4"/>
        </tpls>
      </m>
      <m>
        <tpls c="7">
          <tpl fld="5" item="316"/>
          <tpl fld="4" item="0"/>
          <tpl hier="98" item="1"/>
          <tpl hier="102" item="4294967295"/>
          <tpl hier="103" item="5"/>
          <tpl hier="108" item="3"/>
          <tpl hier="113" item="4"/>
        </tpls>
      </m>
      <m>
        <tpls c="7">
          <tpl fld="5" item="316"/>
          <tpl fld="4" item="0"/>
          <tpl hier="98" item="1"/>
          <tpl fld="6" item="1"/>
          <tpl hier="103" item="5"/>
          <tpl hier="108" item="3"/>
          <tpl hier="113" item="4"/>
        </tpls>
      </m>
      <n v="1">
        <tpls c="6">
          <tpl fld="2" item="4"/>
          <tpl hier="98" item="1"/>
          <tpl fld="6" item="2"/>
          <tpl hier="103" item="5"/>
          <tpl hier="108" item="3"/>
          <tpl hier="113" item="4"/>
        </tpls>
      </n>
      <n v="55">
        <tpls c="6">
          <tpl fld="2" item="5"/>
          <tpl hier="98" item="1"/>
          <tpl fld="6" item="2"/>
          <tpl hier="103" item="5"/>
          <tpl hier="108" item="3"/>
          <tpl hier="113" item="4"/>
        </tpls>
      </n>
      <n v="1292">
        <tpls c="6">
          <tpl hier="0" item="4294967295"/>
          <tpl hier="98" item="1"/>
          <tpl fld="6" item="2"/>
          <tpl hier="103" item="5"/>
          <tpl hier="108" item="3"/>
          <tpl hier="113" item="4"/>
        </tpls>
      </n>
      <n v="16">
        <tpls c="6">
          <tpl fld="3" item="0"/>
          <tpl hier="98" item="1"/>
          <tpl fld="6" item="2"/>
          <tpl hier="103" item="5"/>
          <tpl hier="108" item="3"/>
          <tpl hier="113" item="4"/>
        </tpls>
      </n>
      <m>
        <tpls c="7">
          <tpl fld="5" item="318"/>
          <tpl fld="4" item="1"/>
          <tpl hier="98" item="1"/>
          <tpl hier="102" item="4294967295"/>
          <tpl hier="103" item="5"/>
          <tpl hier="108" item="3"/>
          <tpl hier="113" item="4"/>
        </tpls>
      </m>
      <m>
        <tpls c="7">
          <tpl fld="5" item="318"/>
          <tpl fld="4" item="1"/>
          <tpl hier="98" item="1"/>
          <tpl fld="6" item="1"/>
          <tpl hier="103" item="5"/>
          <tpl hier="108" item="3"/>
          <tpl hier="113" item="4"/>
        </tpls>
      </m>
      <n v="0">
        <tpls c="7">
          <tpl fld="5" item="321"/>
          <tpl fld="4" item="0"/>
          <tpl hier="98" item="1"/>
          <tpl hier="102" item="4294967295"/>
          <tpl hier="103" item="5"/>
          <tpl hier="108" item="3"/>
          <tpl hier="113" item="4"/>
        </tpls>
      </n>
      <n v="2">
        <tpls c="7">
          <tpl fld="5" item="321"/>
          <tpl fld="4" item="0"/>
          <tpl hier="98" item="1"/>
          <tpl fld="6" item="2"/>
          <tpl hier="103" item="5"/>
          <tpl hier="108" item="3"/>
          <tpl hier="113" item="4"/>
        </tpls>
      </n>
      <m>
        <tpls c="7">
          <tpl fld="5" item="322"/>
          <tpl fld="4" item="0"/>
          <tpl hier="98" item="1"/>
          <tpl fld="6" item="1"/>
          <tpl hier="103" item="5"/>
          <tpl hier="108" item="3"/>
          <tpl hier="113" item="4"/>
        </tpls>
      </m>
      <m>
        <tpls c="7">
          <tpl fld="5" item="322"/>
          <tpl fld="4" item="0"/>
          <tpl hier="98" item="1"/>
          <tpl fld="6" item="2"/>
          <tpl hier="103" item="5"/>
          <tpl hier="108" item="3"/>
          <tpl hier="113" item="4"/>
        </tpls>
      </m>
      <m>
        <tpls c="7">
          <tpl fld="5" item="322"/>
          <tpl fld="4" item="0"/>
          <tpl hier="98" item="1"/>
          <tpl hier="102" item="4294967295"/>
          <tpl hier="103" item="5"/>
          <tpl hier="108" item="3"/>
          <tpl hier="113" item="4"/>
        </tpls>
      </m>
      <m>
        <tpls c="7">
          <tpl fld="5" item="323"/>
          <tpl fld="4" item="0"/>
          <tpl hier="98" item="1"/>
          <tpl hier="102" item="4294967295"/>
          <tpl hier="103" item="5"/>
          <tpl hier="108" item="3"/>
          <tpl hier="113" item="4"/>
        </tpls>
      </m>
      <m>
        <tpls c="7">
          <tpl fld="5" item="323"/>
          <tpl fld="4" item="0"/>
          <tpl hier="98" item="1"/>
          <tpl fld="6" item="2"/>
          <tpl hier="103" item="5"/>
          <tpl hier="108" item="3"/>
          <tpl hier="113" item="4"/>
        </tpls>
      </m>
      <m>
        <tpls c="7">
          <tpl fld="5" item="324"/>
          <tpl fld="4" item="1"/>
          <tpl hier="98" item="1"/>
          <tpl fld="6" item="2"/>
          <tpl hier="103" item="5"/>
          <tpl hier="108" item="3"/>
          <tpl hier="113" item="4"/>
        </tpls>
      </m>
      <m>
        <tpls c="7">
          <tpl fld="5" item="324"/>
          <tpl fld="4" item="1"/>
          <tpl hier="98" item="1"/>
          <tpl hier="102" item="4294967295"/>
          <tpl hier="103" item="5"/>
          <tpl hier="108" item="3"/>
          <tpl hier="113" item="4"/>
        </tpls>
      </m>
      <m>
        <tpls c="7">
          <tpl fld="5" item="326"/>
          <tpl fld="4" item="0"/>
          <tpl hier="98" item="1"/>
          <tpl fld="6" item="2"/>
          <tpl hier="103" item="5"/>
          <tpl hier="108" item="3"/>
          <tpl hier="113" item="4"/>
        </tpls>
      </m>
      <m>
        <tpls c="7">
          <tpl fld="5" item="326"/>
          <tpl fld="4" item="0"/>
          <tpl hier="98" item="1"/>
          <tpl hier="102" item="4294967295"/>
          <tpl hier="103" item="5"/>
          <tpl hier="108" item="3"/>
          <tpl hier="113" item="4"/>
        </tpls>
      </m>
      <m>
        <tpls c="7">
          <tpl fld="5" item="326"/>
          <tpl fld="4" item="0"/>
          <tpl hier="98" item="1"/>
          <tpl fld="6" item="1"/>
          <tpl hier="103" item="5"/>
          <tpl hier="108" item="3"/>
          <tpl hier="113" item="4"/>
        </tpls>
      </m>
      <m>
        <tpls c="7">
          <tpl fld="5" item="327"/>
          <tpl fld="4" item="0"/>
          <tpl hier="98" item="1"/>
          <tpl hier="102" item="4294967295"/>
          <tpl hier="103" item="5"/>
          <tpl hier="108" item="3"/>
          <tpl hier="113" item="4"/>
        </tpls>
      </m>
      <m>
        <tpls c="7">
          <tpl fld="5" item="327"/>
          <tpl fld="4" item="0"/>
          <tpl hier="98" item="1"/>
          <tpl fld="6" item="2"/>
          <tpl hier="103" item="5"/>
          <tpl hier="108" item="3"/>
          <tpl hier="113" item="4"/>
        </tpls>
      </m>
      <m>
        <tpls c="7">
          <tpl fld="5" item="331"/>
          <tpl fld="4" item="0"/>
          <tpl hier="98" item="1"/>
          <tpl fld="6" item="2"/>
          <tpl hier="103" item="5"/>
          <tpl hier="108" item="3"/>
          <tpl hier="113" item="4"/>
        </tpls>
      </m>
      <m>
        <tpls c="7">
          <tpl fld="5" item="331"/>
          <tpl fld="4" item="0"/>
          <tpl hier="98" item="1"/>
          <tpl hier="102" item="4294967295"/>
          <tpl hier="103" item="5"/>
          <tpl hier="108" item="3"/>
          <tpl hier="113" item="4"/>
        </tpls>
      </m>
      <m>
        <tpls c="7">
          <tpl fld="5" item="332"/>
          <tpl fld="4" item="1"/>
          <tpl hier="98" item="1"/>
          <tpl fld="6" item="2"/>
          <tpl hier="103" item="5"/>
          <tpl hier="108" item="3"/>
          <tpl hier="113" item="4"/>
        </tpls>
      </m>
      <m>
        <tpls c="7">
          <tpl fld="5" item="332"/>
          <tpl fld="4" item="1"/>
          <tpl hier="98" item="1"/>
          <tpl fld="6" item="1"/>
          <tpl hier="103" item="5"/>
          <tpl hier="108" item="3"/>
          <tpl hier="113" item="4"/>
        </tpls>
      </m>
      <m>
        <tpls c="7">
          <tpl fld="5" item="332"/>
          <tpl fld="4" item="1"/>
          <tpl hier="98" item="1"/>
          <tpl hier="102" item="4294967295"/>
          <tpl hier="103" item="5"/>
          <tpl hier="108" item="3"/>
          <tpl hier="113" item="4"/>
        </tpls>
      </m>
      <m>
        <tpls c="7">
          <tpl fld="5" item="333"/>
          <tpl fld="4" item="3"/>
          <tpl hier="98" item="1"/>
          <tpl hier="102" item="4294967295"/>
          <tpl hier="103" item="5"/>
          <tpl hier="108" item="3"/>
          <tpl hier="113" item="4"/>
        </tpls>
      </m>
      <m>
        <tpls c="7">
          <tpl fld="5" item="333"/>
          <tpl fld="4" item="3"/>
          <tpl hier="98" item="1"/>
          <tpl fld="6" item="2"/>
          <tpl hier="103" item="5"/>
          <tpl hier="108" item="3"/>
          <tpl hier="113" item="4"/>
        </tpls>
      </m>
      <m>
        <tpls c="7">
          <tpl fld="5" item="333"/>
          <tpl fld="4" item="3"/>
          <tpl hier="98" item="1"/>
          <tpl fld="6" item="1"/>
          <tpl hier="103" item="5"/>
          <tpl hier="108" item="3"/>
          <tpl hier="113" item="4"/>
        </tpls>
      </m>
      <m>
        <tpls c="7">
          <tpl fld="5" item="334"/>
          <tpl fld="4" item="3"/>
          <tpl hier="98" item="1"/>
          <tpl hier="102" item="4294967295"/>
          <tpl hier="103" item="5"/>
          <tpl hier="108" item="3"/>
          <tpl hier="113" item="4"/>
        </tpls>
      </m>
      <m>
        <tpls c="7">
          <tpl fld="5" item="334"/>
          <tpl fld="4" item="3"/>
          <tpl hier="98" item="1"/>
          <tpl fld="6" item="2"/>
          <tpl hier="103" item="5"/>
          <tpl hier="108" item="3"/>
          <tpl hier="113" item="4"/>
        </tpls>
      </m>
      <m>
        <tpls c="7">
          <tpl fld="5" item="334"/>
          <tpl fld="4" item="3"/>
          <tpl hier="98" item="1"/>
          <tpl fld="6" item="1"/>
          <tpl hier="103" item="5"/>
          <tpl hier="108" item="3"/>
          <tpl hier="113" item="4"/>
        </tpls>
      </m>
      <m>
        <tpls c="7">
          <tpl fld="5" item="335"/>
          <tpl fld="4" item="1"/>
          <tpl hier="98" item="1"/>
          <tpl hier="102" item="4294967295"/>
          <tpl hier="103" item="5"/>
          <tpl hier="108" item="3"/>
          <tpl hier="113" item="4"/>
        </tpls>
      </m>
      <m>
        <tpls c="7">
          <tpl fld="5" item="335"/>
          <tpl fld="4" item="1"/>
          <tpl hier="98" item="1"/>
          <tpl fld="6" item="2"/>
          <tpl hier="103" item="5"/>
          <tpl hier="108" item="3"/>
          <tpl hier="113" item="4"/>
        </tpls>
      </m>
      <m>
        <tpls c="7">
          <tpl fld="5" item="336"/>
          <tpl fld="4" item="0"/>
          <tpl hier="98" item="1"/>
          <tpl fld="6" item="2"/>
          <tpl hier="103" item="5"/>
          <tpl hier="108" item="3"/>
          <tpl hier="113" item="4"/>
        </tpls>
      </m>
      <m>
        <tpls c="7">
          <tpl fld="5" item="336"/>
          <tpl fld="4" item="0"/>
          <tpl hier="98" item="1"/>
          <tpl fld="6" item="1"/>
          <tpl hier="103" item="5"/>
          <tpl hier="108" item="3"/>
          <tpl hier="113" item="4"/>
        </tpls>
      </m>
      <n v="15000">
        <tpls c="7">
          <tpl fld="2" item="11"/>
          <tpl fld="7" item="3"/>
          <tpl hier="98" item="1"/>
          <tpl hier="102" item="4294967295"/>
          <tpl hier="103" item="5"/>
          <tpl hier="108" item="3"/>
          <tpl hier="113" item="4"/>
        </tpls>
      </n>
      <m>
        <tpls c="7">
          <tpl fld="2" item="11"/>
          <tpl fld="7" item="0"/>
          <tpl hier="98" item="1"/>
          <tpl hier="102" item="4294967295"/>
          <tpl hier="103" item="5"/>
          <tpl hier="108" item="3"/>
          <tpl hier="113" item="4"/>
        </tpls>
      </m>
      <m>
        <tpls c="7">
          <tpl fld="2" item="11"/>
          <tpl fld="7" item="1"/>
          <tpl hier="98" item="1"/>
          <tpl hier="102" item="4294967295"/>
          <tpl hier="103" item="5"/>
          <tpl hier="108" item="3"/>
          <tpl hier="113" item="4"/>
        </tpls>
      </m>
      <m>
        <tpls c="7">
          <tpl fld="2" item="11"/>
          <tpl fld="7" item="2"/>
          <tpl hier="98" item="1"/>
          <tpl hier="102" item="4294967295"/>
          <tpl hier="103" item="5"/>
          <tpl hier="108" item="3"/>
          <tpl hier="113" item="4"/>
        </tpls>
      </m>
      <m>
        <tpls c="7">
          <tpl fld="5" item="337"/>
          <tpl fld="4" item="0"/>
          <tpl hier="98" item="1"/>
          <tpl hier="102" item="4294967295"/>
          <tpl hier="103" item="5"/>
          <tpl hier="108" item="3"/>
          <tpl hier="113" item="4"/>
        </tpls>
      </m>
      <m>
        <tpls c="7">
          <tpl fld="5" item="337"/>
          <tpl fld="4" item="0"/>
          <tpl hier="98" item="1"/>
          <tpl fld="6" item="2"/>
          <tpl hier="103" item="5"/>
          <tpl hier="108" item="3"/>
          <tpl hier="113" item="4"/>
        </tpls>
      </m>
      <m>
        <tpls c="7">
          <tpl fld="5" item="337"/>
          <tpl fld="4" item="0"/>
          <tpl hier="98" item="1"/>
          <tpl fld="6" item="1"/>
          <tpl hier="103" item="5"/>
          <tpl hier="108" item="3"/>
          <tpl hier="113" item="4"/>
        </tpls>
      </m>
      <n v="1">
        <tpls c="7">
          <tpl fld="5" item="338"/>
          <tpl fld="4" item="0"/>
          <tpl hier="98" item="1"/>
          <tpl fld="6" item="2"/>
          <tpl hier="103" item="5"/>
          <tpl hier="108" item="3"/>
          <tpl hier="113" item="4"/>
        </tpls>
      </n>
      <n v="1">
        <tpls c="7">
          <tpl fld="5" item="338"/>
          <tpl fld="4" item="0"/>
          <tpl hier="98" item="1"/>
          <tpl fld="6" item="1"/>
          <tpl hier="103" item="5"/>
          <tpl hier="108" item="3"/>
          <tpl hier="113" item="4"/>
        </tpls>
      </n>
      <m>
        <tpls c="7">
          <tpl fld="5" item="339"/>
          <tpl fld="4" item="0"/>
          <tpl hier="98" item="1"/>
          <tpl fld="6" item="2"/>
          <tpl hier="103" item="5"/>
          <tpl hier="108" item="3"/>
          <tpl hier="113" item="4"/>
        </tpls>
      </m>
      <m>
        <tpls c="7">
          <tpl fld="5" item="339"/>
          <tpl fld="4" item="0"/>
          <tpl hier="98" item="1"/>
          <tpl fld="6" item="1"/>
          <tpl hier="103" item="5"/>
          <tpl hier="108" item="3"/>
          <tpl hier="113" item="4"/>
        </tpls>
      </m>
      <m>
        <tpls c="7">
          <tpl fld="5" item="339"/>
          <tpl fld="4" item="0"/>
          <tpl hier="98" item="1"/>
          <tpl hier="102" item="4294967295"/>
          <tpl hier="103" item="5"/>
          <tpl hier="108" item="3"/>
          <tpl hier="113" item="4"/>
        </tpls>
      </m>
      <m>
        <tpls c="7">
          <tpl fld="5" item="340"/>
          <tpl fld="4" item="1"/>
          <tpl hier="98" item="1"/>
          <tpl hier="102" item="4294967295"/>
          <tpl hier="103" item="5"/>
          <tpl hier="108" item="3"/>
          <tpl hier="113" item="4"/>
        </tpls>
      </m>
      <m>
        <tpls c="7">
          <tpl fld="5" item="340"/>
          <tpl fld="4" item="1"/>
          <tpl hier="98" item="1"/>
          <tpl fld="6" item="1"/>
          <tpl hier="103" item="5"/>
          <tpl hier="108" item="3"/>
          <tpl hier="113" item="4"/>
        </tpls>
      </m>
      <m>
        <tpls c="7">
          <tpl fld="5" item="341"/>
          <tpl fld="4" item="1"/>
          <tpl hier="98" item="1"/>
          <tpl hier="102" item="4294967295"/>
          <tpl hier="103" item="5"/>
          <tpl hier="108" item="3"/>
          <tpl hier="113" item="4"/>
        </tpls>
      </m>
      <m>
        <tpls c="7">
          <tpl fld="5" item="341"/>
          <tpl fld="4" item="1"/>
          <tpl hier="98" item="1"/>
          <tpl fld="6" item="1"/>
          <tpl hier="103" item="5"/>
          <tpl hier="108" item="3"/>
          <tpl hier="113" item="4"/>
        </tpls>
      </m>
      <m>
        <tpls c="7">
          <tpl fld="5" item="341"/>
          <tpl fld="4" item="1"/>
          <tpl hier="98" item="1"/>
          <tpl fld="6" item="2"/>
          <tpl hier="103" item="5"/>
          <tpl hier="108" item="3"/>
          <tpl hier="113" item="4"/>
        </tpls>
      </m>
      <m>
        <tpls c="7">
          <tpl fld="5" item="342"/>
          <tpl fld="4" item="0"/>
          <tpl hier="98" item="1"/>
          <tpl fld="6" item="2"/>
          <tpl hier="103" item="5"/>
          <tpl hier="108" item="3"/>
          <tpl hier="113" item="4"/>
        </tpls>
      </m>
      <m>
        <tpls c="7">
          <tpl fld="5" item="342"/>
          <tpl fld="4" item="0"/>
          <tpl hier="98" item="1"/>
          <tpl fld="6" item="1"/>
          <tpl hier="103" item="5"/>
          <tpl hier="108" item="3"/>
          <tpl hier="113" item="4"/>
        </tpls>
      </m>
      <n v="2">
        <tpls c="7">
          <tpl fld="5" item="343"/>
          <tpl fld="4" item="0"/>
          <tpl hier="98" item="1"/>
          <tpl fld="6" item="2"/>
          <tpl hier="103" item="5"/>
          <tpl hier="108" item="3"/>
          <tpl hier="113" item="4"/>
        </tpls>
      </n>
      <n v="150">
        <tpls c="7">
          <tpl fld="5" item="343"/>
          <tpl fld="4" item="0"/>
          <tpl hier="98" item="1"/>
          <tpl hier="102" item="4294967295"/>
          <tpl hier="103" item="5"/>
          <tpl hier="108" item="3"/>
          <tpl hier="113" item="4"/>
        </tpls>
      </n>
      <n v="5">
        <tpls c="6">
          <tpl fld="3" item="1"/>
          <tpl hier="98" item="1"/>
          <tpl fld="6" item="1"/>
          <tpl hier="103" item="5"/>
          <tpl hier="108" item="3"/>
          <tpl hier="113" item="4"/>
        </tpls>
      </n>
      <n v="9">
        <tpls c="6">
          <tpl fld="2" item="11"/>
          <tpl hier="98" item="1"/>
          <tpl fld="6" item="1"/>
          <tpl hier="103" item="5"/>
          <tpl hier="108" item="3"/>
          <tpl hier="113" item="4"/>
        </tpls>
      </n>
      <n v="15">
        <tpls c="6">
          <tpl fld="3" item="0"/>
          <tpl hier="98" item="1"/>
          <tpl fld="6" item="1"/>
          <tpl hier="103" item="5"/>
          <tpl hier="108" item="3"/>
          <tpl hier="113" item="4"/>
        </tpls>
      </n>
      <n v="335">
        <tpls c="6">
          <tpl fld="3" item="2"/>
          <tpl hier="98" item="1"/>
          <tpl fld="6" item="1"/>
          <tpl hier="103" item="5"/>
          <tpl hier="108" item="3"/>
          <tpl hier="113" item="4"/>
        </tpls>
      </n>
      <n v="2">
        <tpls c="6">
          <tpl fld="2" item="3"/>
          <tpl hier="98" item="1"/>
          <tpl fld="6" item="1"/>
          <tpl hier="103" item="5"/>
          <tpl hier="108" item="3"/>
          <tpl hier="113" item="4"/>
        </tpls>
      </n>
      <n v="30">
        <tpls c="6">
          <tpl fld="2" item="6"/>
          <tpl hier="98" item="1"/>
          <tpl fld="6" item="1"/>
          <tpl hier="103" item="5"/>
          <tpl hier="108" item="3"/>
          <tpl hier="113" item="4"/>
        </tpls>
      </n>
      <n v="8">
        <tpls c="6">
          <tpl fld="2" item="8"/>
          <tpl hier="98" item="1"/>
          <tpl fld="6" item="1"/>
          <tpl hier="103" item="5"/>
          <tpl hier="108" item="3"/>
          <tpl hier="113" item="4"/>
        </tpls>
      </n>
      <n v="47">
        <tpls c="6">
          <tpl fld="2" item="5"/>
          <tpl hier="98" item="1"/>
          <tpl fld="6" item="1"/>
          <tpl hier="103" item="5"/>
          <tpl hier="108" item="3"/>
          <tpl hier="113" item="4"/>
        </tpls>
      </n>
      <n v="1">
        <tpls c="6">
          <tpl fld="2" item="4"/>
          <tpl hier="98" item="1"/>
          <tpl fld="6" item="1"/>
          <tpl hier="103" item="5"/>
          <tpl hier="108" item="3"/>
          <tpl hier="113" item="4"/>
        </tpls>
      </n>
      <n v="706">
        <tpls c="6">
          <tpl hier="0" item="4294967295"/>
          <tpl hier="98" item="1"/>
          <tpl fld="6" item="1"/>
          <tpl hier="103" item="5"/>
          <tpl hier="108" item="3"/>
          <tpl hier="113" item="4"/>
        </tpls>
      </n>
      <n v="105">
        <tpls c="6">
          <tpl fld="2" item="15"/>
          <tpl hier="98" item="1"/>
          <tpl fld="6" item="1"/>
          <tpl hier="103" item="5"/>
          <tpl hier="108" item="3"/>
          <tpl hier="113" item="4"/>
        </tpls>
      </n>
      <n v="74">
        <tpls c="6">
          <tpl fld="2" item="2"/>
          <tpl hier="98" item="1"/>
          <tpl fld="6" item="1"/>
          <tpl hier="103" item="5"/>
          <tpl hier="108" item="3"/>
          <tpl hier="113" item="4"/>
        </tpls>
      </n>
      <n v="10">
        <tpls c="6">
          <tpl fld="2" item="13"/>
          <tpl hier="98" item="1"/>
          <tpl fld="6" item="1"/>
          <tpl hier="103" item="5"/>
          <tpl hier="108" item="3"/>
          <tpl hier="113" item="4"/>
        </tpls>
      </n>
      <m>
        <tpls c="7">
          <tpl fld="5" item="344"/>
          <tpl fld="4" item="0"/>
          <tpl hier="98" item="1"/>
          <tpl fld="6" item="2"/>
          <tpl hier="103" item="5"/>
          <tpl hier="108" item="3"/>
          <tpl hier="113" item="4"/>
        </tpls>
      </m>
      <m>
        <tpls c="7">
          <tpl fld="5" item="345"/>
          <tpl fld="4" item="1"/>
          <tpl hier="98" item="1"/>
          <tpl fld="6" item="1"/>
          <tpl hier="103" item="5"/>
          <tpl hier="108" item="3"/>
          <tpl hier="113" item="4"/>
        </tpls>
      </m>
      <m>
        <tpls c="7">
          <tpl fld="5" item="345"/>
          <tpl fld="4" item="1"/>
          <tpl hier="98" item="1"/>
          <tpl fld="6" item="2"/>
          <tpl hier="103" item="5"/>
          <tpl hier="108" item="3"/>
          <tpl hier="113" item="4"/>
        </tpls>
      </m>
      <m>
        <tpls c="7">
          <tpl fld="2" item="3"/>
          <tpl fld="7" item="1"/>
          <tpl hier="98" item="1"/>
          <tpl hier="102" item="4294967295"/>
          <tpl hier="103" item="5"/>
          <tpl hier="108" item="3"/>
          <tpl hier="113" item="4"/>
        </tpls>
      </m>
      <m>
        <tpls c="7">
          <tpl fld="2" item="3"/>
          <tpl fld="7" item="2"/>
          <tpl hier="98" item="1"/>
          <tpl hier="102" item="4294967295"/>
          <tpl hier="103" item="5"/>
          <tpl hier="108" item="3"/>
          <tpl hier="113" item="4"/>
        </tpls>
      </m>
      <n v="2003.85">
        <tpls c="7">
          <tpl fld="2" item="8"/>
          <tpl hier="7" item="2"/>
          <tpl hier="98" item="1"/>
          <tpl hier="102" item="4294967295"/>
          <tpl hier="103" item="5"/>
          <tpl hier="108" item="3"/>
          <tpl hier="113" item="4"/>
        </tpls>
      </n>
      <m>
        <tpls c="7">
          <tpl fld="2" item="12"/>
          <tpl hier="7" item="2"/>
          <tpl hier="98" item="1"/>
          <tpl hier="102" item="4294967295"/>
          <tpl hier="103" item="5"/>
          <tpl hier="108" item="3"/>
          <tpl hier="113" item="4"/>
        </tpls>
      </m>
      <n v="2656">
        <tpls c="7">
          <tpl fld="2" item="6"/>
          <tpl hier="7" item="2"/>
          <tpl hier="98" item="1"/>
          <tpl hier="102" item="4294967295"/>
          <tpl hier="103" item="5"/>
          <tpl hier="108" item="3"/>
          <tpl hier="113" item="4"/>
        </tpls>
      </n>
      <n v="3684.2">
        <tpls c="7">
          <tpl fld="2" item="10"/>
          <tpl hier="7" item="2"/>
          <tpl hier="98" item="1"/>
          <tpl hier="102" item="4294967295"/>
          <tpl hier="103" item="5"/>
          <tpl hier="108" item="3"/>
          <tpl hier="113" item="4"/>
        </tpls>
      </n>
      <n v="4150">
        <tpls c="7">
          <tpl fld="2" item="14"/>
          <tpl hier="7" item="2"/>
          <tpl hier="98" item="1"/>
          <tpl hier="102" item="4294967295"/>
          <tpl hier="103" item="5"/>
          <tpl hier="108" item="3"/>
          <tpl hier="113" item="4"/>
        </tpls>
      </n>
      <n v="391">
        <tpls c="7">
          <tpl fld="2" item="1"/>
          <tpl hier="7" item="2"/>
          <tpl hier="98" item="1"/>
          <tpl hier="102" item="4294967295"/>
          <tpl hier="103" item="5"/>
          <tpl hier="108" item="3"/>
          <tpl hier="113" item="4"/>
        </tpls>
      </n>
      <n v="3163972.1600000006">
        <tpls c="7">
          <tpl hier="0" item="4294967295"/>
          <tpl hier="7" item="2"/>
          <tpl hier="98" item="1"/>
          <tpl hier="102" item="4294967295"/>
          <tpl hier="103" item="5"/>
          <tpl hier="108" item="3"/>
          <tpl hier="113" item="4"/>
        </tpls>
      </n>
      <m>
        <tpls c="7">
          <tpl fld="2" item="16"/>
          <tpl hier="7" item="2"/>
          <tpl hier="98" item="1"/>
          <tpl hier="102" item="4294967295"/>
          <tpl hier="103" item="5"/>
          <tpl hier="108" item="3"/>
          <tpl hier="113" item="4"/>
        </tpls>
      </m>
      <n v="15891.359999999997">
        <tpls c="7">
          <tpl fld="2" item="2"/>
          <tpl hier="7" item="2"/>
          <tpl hier="98" item="1"/>
          <tpl hier="102" item="4294967295"/>
          <tpl hier="103" item="5"/>
          <tpl hier="108" item="3"/>
          <tpl hier="113" item="4"/>
        </tpls>
      </n>
      <n v="104198.3">
        <tpls c="7">
          <tpl fld="2" item="15"/>
          <tpl hier="7" item="2"/>
          <tpl hier="98" item="1"/>
          <tpl hier="102" item="4294967295"/>
          <tpl hier="103" item="5"/>
          <tpl hier="108" item="3"/>
          <tpl hier="113" item="4"/>
        </tpls>
      </n>
      <n v="600">
        <tpls c="7">
          <tpl fld="2" item="3"/>
          <tpl hier="7" item="2"/>
          <tpl hier="98" item="1"/>
          <tpl hier="102" item="4294967295"/>
          <tpl hier="103" item="5"/>
          <tpl hier="108" item="3"/>
          <tpl hier="113" item="4"/>
        </tpls>
      </n>
      <m>
        <tpls c="7">
          <tpl fld="5" item="346"/>
          <tpl fld="4" item="0"/>
          <tpl hier="98" item="1"/>
          <tpl fld="6" item="2"/>
          <tpl hier="103" item="5"/>
          <tpl hier="108" item="3"/>
          <tpl hier="113" item="4"/>
        </tpls>
      </m>
      <m>
        <tpls c="7">
          <tpl fld="5" item="346"/>
          <tpl fld="4" item="0"/>
          <tpl hier="98" item="1"/>
          <tpl hier="102" item="4294967295"/>
          <tpl hier="103" item="5"/>
          <tpl hier="108" item="3"/>
          <tpl hier="113" item="4"/>
        </tpls>
      </m>
      <m>
        <tpls c="7">
          <tpl fld="5" item="346"/>
          <tpl fld="4" item="0"/>
          <tpl hier="98" item="1"/>
          <tpl fld="6" item="1"/>
          <tpl hier="103" item="5"/>
          <tpl hier="108" item="3"/>
          <tpl hier="113" item="4"/>
        </tpls>
      </m>
      <m>
        <tpls c="7">
          <tpl fld="5" item="227"/>
          <tpl fld="4" item="2"/>
          <tpl hier="98" item="1"/>
          <tpl fld="6" item="2"/>
          <tpl hier="103" item="5"/>
          <tpl hier="108" item="3"/>
          <tpl hier="113" item="4"/>
        </tpls>
      </m>
      <m>
        <tpls c="7">
          <tpl fld="5" item="227"/>
          <tpl fld="4" item="2"/>
          <tpl hier="98" item="1"/>
          <tpl fld="6" item="1"/>
          <tpl hier="103" item="5"/>
          <tpl hier="108" item="3"/>
          <tpl hier="113" item="4"/>
        </tpls>
      </m>
      <m>
        <tpls c="7">
          <tpl fld="5" item="227"/>
          <tpl fld="4" item="2"/>
          <tpl hier="98" item="1"/>
          <tpl hier="102" item="4294967295"/>
          <tpl hier="103" item="5"/>
          <tpl hier="108" item="3"/>
          <tpl hier="113" item="4"/>
        </tpls>
      </m>
      <m>
        <tpls c="7">
          <tpl fld="5" item="347"/>
          <tpl fld="4" item="1"/>
          <tpl hier="98" item="1"/>
          <tpl fld="6" item="2"/>
          <tpl hier="103" item="5"/>
          <tpl hier="108" item="3"/>
          <tpl hier="113" item="4"/>
        </tpls>
      </m>
      <m>
        <tpls c="7">
          <tpl fld="5" item="347"/>
          <tpl fld="4" item="1"/>
          <tpl hier="98" item="1"/>
          <tpl hier="102" item="4294967295"/>
          <tpl hier="103" item="5"/>
          <tpl hier="108" item="3"/>
          <tpl hier="113" item="4"/>
        </tpls>
      </m>
      <m>
        <tpls c="7">
          <tpl fld="5" item="347"/>
          <tpl fld="4" item="1"/>
          <tpl hier="98" item="1"/>
          <tpl fld="6" item="1"/>
          <tpl hier="103" item="5"/>
          <tpl hier="108" item="3"/>
          <tpl hier="113" item="4"/>
        </tpls>
      </m>
      <m>
        <tpls c="7">
          <tpl fld="5" item="348"/>
          <tpl fld="4" item="0"/>
          <tpl hier="98" item="1"/>
          <tpl hier="102" item="4294967295"/>
          <tpl hier="103" item="5"/>
          <tpl hier="108" item="3"/>
          <tpl hier="113" item="4"/>
        </tpls>
      </m>
      <m>
        <tpls c="7">
          <tpl fld="5" item="348"/>
          <tpl fld="4" item="0"/>
          <tpl hier="98" item="1"/>
          <tpl fld="6" item="2"/>
          <tpl hier="103" item="5"/>
          <tpl hier="108" item="3"/>
          <tpl hier="113" item="4"/>
        </tpls>
      </m>
      <m>
        <tpls c="7">
          <tpl fld="5" item="348"/>
          <tpl fld="4" item="0"/>
          <tpl hier="98" item="1"/>
          <tpl fld="6" item="1"/>
          <tpl hier="103" item="5"/>
          <tpl hier="108" item="3"/>
          <tpl hier="113" item="4"/>
        </tpls>
      </m>
      <m>
        <tpls c="7">
          <tpl fld="5" item="349"/>
          <tpl fld="4" item="0"/>
          <tpl hier="98" item="1"/>
          <tpl hier="102" item="4294967295"/>
          <tpl hier="103" item="5"/>
          <tpl hier="108" item="3"/>
          <tpl hier="113" item="4"/>
        </tpls>
      </m>
      <m>
        <tpls c="7">
          <tpl fld="5" item="349"/>
          <tpl fld="4" item="0"/>
          <tpl hier="98" item="1"/>
          <tpl fld="6" item="1"/>
          <tpl hier="103" item="5"/>
          <tpl hier="108" item="3"/>
          <tpl hier="113" item="4"/>
        </tpls>
      </m>
      <m>
        <tpls c="7">
          <tpl fld="5" item="349"/>
          <tpl fld="4" item="0"/>
          <tpl hier="98" item="1"/>
          <tpl fld="6" item="2"/>
          <tpl hier="103" item="5"/>
          <tpl hier="108" item="3"/>
          <tpl hier="113" item="4"/>
        </tpls>
      </m>
      <m>
        <tpls c="7">
          <tpl fld="5" item="350"/>
          <tpl fld="4" item="3"/>
          <tpl hier="98" item="1"/>
          <tpl hier="102" item="4294967295"/>
          <tpl hier="103" item="5"/>
          <tpl hier="108" item="3"/>
          <tpl hier="113" item="4"/>
        </tpls>
      </m>
      <m>
        <tpls c="7">
          <tpl fld="5" item="350"/>
          <tpl fld="4" item="3"/>
          <tpl hier="98" item="1"/>
          <tpl fld="6" item="2"/>
          <tpl hier="103" item="5"/>
          <tpl hier="108" item="3"/>
          <tpl hier="113" item="4"/>
        </tpls>
      </m>
      <m>
        <tpls c="7">
          <tpl fld="5" item="350"/>
          <tpl fld="4" item="3"/>
          <tpl hier="98" item="1"/>
          <tpl fld="6" item="1"/>
          <tpl hier="103" item="5"/>
          <tpl hier="108" item="3"/>
          <tpl hier="113" item="4"/>
        </tpls>
      </m>
      <n v="0">
        <tpls c="7">
          <tpl fld="5" item="351"/>
          <tpl fld="4" item="0"/>
          <tpl hier="98" item="1"/>
          <tpl hier="102" item="4294967295"/>
          <tpl hier="103" item="5"/>
          <tpl hier="108" item="3"/>
          <tpl hier="113" item="4"/>
        </tpls>
      </n>
      <n v="1">
        <tpls c="7">
          <tpl fld="5" item="351"/>
          <tpl fld="4" item="0"/>
          <tpl hier="98" item="1"/>
          <tpl fld="6" item="2"/>
          <tpl hier="103" item="5"/>
          <tpl hier="108" item="3"/>
          <tpl hier="113" item="4"/>
        </tpls>
      </n>
      <n v="1">
        <tpls c="7">
          <tpl fld="5" item="351"/>
          <tpl fld="4" item="0"/>
          <tpl hier="98" item="1"/>
          <tpl fld="6" item="1"/>
          <tpl hier="103" item="5"/>
          <tpl hier="108" item="3"/>
          <tpl hier="113" item="4"/>
        </tpls>
      </n>
      <m>
        <tpls c="7">
          <tpl fld="5" item="352"/>
          <tpl fld="4" item="1"/>
          <tpl hier="98" item="1"/>
          <tpl fld="6" item="2"/>
          <tpl hier="103" item="5"/>
          <tpl hier="108" item="3"/>
          <tpl hier="113" item="4"/>
        </tpls>
      </m>
      <m>
        <tpls c="7">
          <tpl fld="5" item="352"/>
          <tpl fld="4" item="1"/>
          <tpl hier="98" item="1"/>
          <tpl hier="102" item="4294967295"/>
          <tpl hier="103" item="5"/>
          <tpl hier="108" item="3"/>
          <tpl hier="113" item="4"/>
        </tpls>
      </m>
      <m>
        <tpls c="7">
          <tpl fld="5" item="353"/>
          <tpl fld="4" item="1"/>
          <tpl hier="98" item="1"/>
          <tpl fld="6" item="2"/>
          <tpl hier="103" item="5"/>
          <tpl hier="108" item="3"/>
          <tpl hier="113" item="4"/>
        </tpls>
      </m>
      <m>
        <tpls c="7">
          <tpl fld="5" item="353"/>
          <tpl fld="4" item="1"/>
          <tpl hier="98" item="1"/>
          <tpl hier="102" item="4294967295"/>
          <tpl hier="103" item="5"/>
          <tpl hier="108" item="3"/>
          <tpl hier="113" item="4"/>
        </tpls>
      </m>
      <m>
        <tpls c="7">
          <tpl fld="5" item="353"/>
          <tpl fld="4" item="1"/>
          <tpl hier="98" item="1"/>
          <tpl fld="6" item="1"/>
          <tpl hier="103" item="5"/>
          <tpl hier="108" item="3"/>
          <tpl hier="113" item="4"/>
        </tpls>
      </m>
      <m>
        <tpls c="7">
          <tpl fld="5" item="354"/>
          <tpl fld="4" item="1"/>
          <tpl hier="98" item="1"/>
          <tpl hier="102" item="4294967295"/>
          <tpl hier="103" item="5"/>
          <tpl hier="108" item="3"/>
          <tpl hier="113" item="4"/>
        </tpls>
      </m>
      <m>
        <tpls c="7">
          <tpl fld="5" item="354"/>
          <tpl fld="4" item="1"/>
          <tpl hier="98" item="1"/>
          <tpl fld="6" item="2"/>
          <tpl hier="103" item="5"/>
          <tpl hier="108" item="3"/>
          <tpl hier="113" item="4"/>
        </tpls>
      </m>
      <m>
        <tpls c="7">
          <tpl fld="5" item="355"/>
          <tpl fld="4" item="0"/>
          <tpl hier="98" item="1"/>
          <tpl fld="6" item="2"/>
          <tpl hier="103" item="5"/>
          <tpl hier="108" item="3"/>
          <tpl hier="113" item="4"/>
        </tpls>
      </m>
      <m>
        <tpls c="7">
          <tpl fld="5" item="355"/>
          <tpl fld="4" item="0"/>
          <tpl hier="98" item="1"/>
          <tpl fld="6" item="1"/>
          <tpl hier="103" item="5"/>
          <tpl hier="108" item="3"/>
          <tpl hier="113" item="4"/>
        </tpls>
      </m>
      <m>
        <tpls c="7">
          <tpl fld="5" item="355"/>
          <tpl fld="4" item="0"/>
          <tpl hier="98" item="1"/>
          <tpl hier="102" item="4294967295"/>
          <tpl hier="103" item="5"/>
          <tpl hier="108" item="3"/>
          <tpl hier="113" item="4"/>
        </tpls>
      </m>
      <m>
        <tpls c="7">
          <tpl fld="5" item="356"/>
          <tpl fld="4" item="0"/>
          <tpl hier="98" item="1"/>
          <tpl fld="6" item="2"/>
          <tpl hier="103" item="5"/>
          <tpl hier="108" item="3"/>
          <tpl hier="113" item="4"/>
        </tpls>
      </m>
      <m>
        <tpls c="7">
          <tpl fld="5" item="356"/>
          <tpl fld="4" item="0"/>
          <tpl hier="98" item="1"/>
          <tpl fld="6" item="1"/>
          <tpl hier="103" item="5"/>
          <tpl hier="108" item="3"/>
          <tpl hier="113" item="4"/>
        </tpls>
      </m>
      <m>
        <tpls c="7">
          <tpl fld="5" item="357"/>
          <tpl fld="4" item="0"/>
          <tpl hier="98" item="1"/>
          <tpl fld="6" item="2"/>
          <tpl hier="103" item="5"/>
          <tpl hier="108" item="3"/>
          <tpl hier="113" item="4"/>
        </tpls>
      </m>
      <m>
        <tpls c="7">
          <tpl fld="5" item="357"/>
          <tpl fld="4" item="0"/>
          <tpl hier="98" item="1"/>
          <tpl hier="102" item="4294967295"/>
          <tpl hier="103" item="5"/>
          <tpl hier="108" item="3"/>
          <tpl hier="113" item="4"/>
        </tpls>
      </m>
      <m>
        <tpls c="7">
          <tpl fld="5" item="23"/>
          <tpl fld="4" item="2"/>
          <tpl hier="98" item="1"/>
          <tpl fld="6" item="2"/>
          <tpl hier="103" item="5"/>
          <tpl hier="108" item="3"/>
          <tpl hier="113" item="4"/>
        </tpls>
      </m>
      <m>
        <tpls c="7">
          <tpl fld="5" item="23"/>
          <tpl fld="4" item="2"/>
          <tpl hier="98" item="1"/>
          <tpl hier="102" item="4294967295"/>
          <tpl hier="103" item="5"/>
          <tpl hier="108" item="3"/>
          <tpl hier="113" item="4"/>
        </tpls>
      </m>
      <m>
        <tpls c="7">
          <tpl fld="5" item="23"/>
          <tpl fld="4" item="2"/>
          <tpl hier="98" item="1"/>
          <tpl fld="6" item="1"/>
          <tpl hier="103" item="5"/>
          <tpl hier="108" item="3"/>
          <tpl hier="113" item="4"/>
        </tpls>
      </m>
      <m>
        <tpls c="7">
          <tpl fld="5" item="358"/>
          <tpl fld="4" item="1"/>
          <tpl hier="98" item="1"/>
          <tpl fld="6" item="2"/>
          <tpl hier="103" item="5"/>
          <tpl hier="108" item="3"/>
          <tpl hier="113" item="4"/>
        </tpls>
      </m>
      <m>
        <tpls c="7">
          <tpl fld="5" item="359"/>
          <tpl fld="4" item="1"/>
          <tpl hier="98" item="1"/>
          <tpl fld="6" item="2"/>
          <tpl hier="103" item="5"/>
          <tpl hier="108" item="3"/>
          <tpl hier="113" item="4"/>
        </tpls>
      </m>
      <m>
        <tpls c="7">
          <tpl fld="5" item="359"/>
          <tpl fld="4" item="1"/>
          <tpl hier="98" item="1"/>
          <tpl fld="6" item="1"/>
          <tpl hier="103" item="5"/>
          <tpl hier="108" item="3"/>
          <tpl hier="113" item="4"/>
        </tpls>
      </m>
      <m>
        <tpls c="7">
          <tpl fld="5" item="360"/>
          <tpl fld="4" item="3"/>
          <tpl hier="98" item="1"/>
          <tpl hier="102" item="4294967295"/>
          <tpl hier="103" item="5"/>
          <tpl hier="108" item="3"/>
          <tpl hier="113" item="4"/>
        </tpls>
      </m>
      <m>
        <tpls c="7">
          <tpl fld="5" item="360"/>
          <tpl fld="4" item="3"/>
          <tpl hier="98" item="1"/>
          <tpl fld="6" item="1"/>
          <tpl hier="103" item="5"/>
          <tpl hier="108" item="3"/>
          <tpl hier="113" item="4"/>
        </tpls>
      </m>
      <m>
        <tpls c="7">
          <tpl fld="5" item="360"/>
          <tpl fld="4" item="3"/>
          <tpl hier="98" item="1"/>
          <tpl fld="6" item="2"/>
          <tpl hier="103" item="5"/>
          <tpl hier="108" item="3"/>
          <tpl hier="113" item="4"/>
        </tpls>
      </m>
      <m>
        <tpls c="7">
          <tpl fld="5" item="361"/>
          <tpl fld="4" item="1"/>
          <tpl hier="98" item="1"/>
          <tpl fld="6" item="2"/>
          <tpl hier="103" item="5"/>
          <tpl hier="108" item="3"/>
          <tpl hier="113" item="4"/>
        </tpls>
      </m>
      <m>
        <tpls c="7">
          <tpl fld="5" item="361"/>
          <tpl fld="4" item="1"/>
          <tpl hier="98" item="1"/>
          <tpl hier="102" item="4294967295"/>
          <tpl hier="103" item="5"/>
          <tpl hier="108" item="3"/>
          <tpl hier="113" item="4"/>
        </tpls>
      </m>
      <m>
        <tpls c="7">
          <tpl fld="5" item="361"/>
          <tpl fld="4" item="1"/>
          <tpl hier="98" item="1"/>
          <tpl fld="6" item="1"/>
          <tpl hier="103" item="5"/>
          <tpl hier="108" item="3"/>
          <tpl hier="113" item="4"/>
        </tpls>
      </m>
      <n v="10">
        <tpls c="7">
          <tpl fld="5" item="362"/>
          <tpl fld="4" item="0"/>
          <tpl hier="98" item="1"/>
          <tpl fld="6" item="2"/>
          <tpl hier="103" item="5"/>
          <tpl hier="108" item="3"/>
          <tpl hier="113" item="4"/>
        </tpls>
      </n>
      <n v="9">
        <tpls c="7">
          <tpl fld="5" item="362"/>
          <tpl fld="4" item="0"/>
          <tpl hier="98" item="1"/>
          <tpl fld="6" item="1"/>
          <tpl hier="103" item="5"/>
          <tpl hier="108" item="3"/>
          <tpl hier="113" item="4"/>
        </tpls>
      </n>
      <n v="0">
        <tpls c="7">
          <tpl fld="5" item="362"/>
          <tpl fld="4" item="0"/>
          <tpl hier="98" item="1"/>
          <tpl hier="102" item="4294967295"/>
          <tpl hier="103" item="5"/>
          <tpl hier="108" item="3"/>
          <tpl hier="113" item="4"/>
        </tpls>
      </n>
      <m>
        <tpls c="7">
          <tpl fld="5" item="363"/>
          <tpl fld="4" item="0"/>
          <tpl hier="98" item="1"/>
          <tpl fld="6" item="1"/>
          <tpl hier="103" item="5"/>
          <tpl hier="108" item="3"/>
          <tpl hier="113" item="4"/>
        </tpls>
      </m>
      <m>
        <tpls c="7">
          <tpl fld="5" item="363"/>
          <tpl fld="4" item="0"/>
          <tpl hier="98" item="1"/>
          <tpl fld="6" item="2"/>
          <tpl hier="103" item="5"/>
          <tpl hier="108" item="3"/>
          <tpl hier="113" item="4"/>
        </tpls>
      </m>
      <m>
        <tpls c="7">
          <tpl fld="5" item="363"/>
          <tpl fld="4" item="0"/>
          <tpl hier="98" item="1"/>
          <tpl hier="102" item="4294967295"/>
          <tpl hier="103" item="5"/>
          <tpl hier="108" item="3"/>
          <tpl hier="113" item="4"/>
        </tpls>
      </m>
      <m>
        <tpls c="7">
          <tpl fld="5" item="364"/>
          <tpl fld="4" item="1"/>
          <tpl hier="98" item="1"/>
          <tpl fld="6" item="1"/>
          <tpl hier="103" item="5"/>
          <tpl hier="108" item="3"/>
          <tpl hier="113" item="4"/>
        </tpls>
      </m>
      <m>
        <tpls c="7">
          <tpl fld="5" item="364"/>
          <tpl fld="4" item="1"/>
          <tpl hier="98" item="1"/>
          <tpl fld="6" item="2"/>
          <tpl hier="103" item="5"/>
          <tpl hier="108" item="3"/>
          <tpl hier="113" item="4"/>
        </tpls>
      </m>
      <m>
        <tpls c="7">
          <tpl fld="5" item="365"/>
          <tpl fld="4" item="1"/>
          <tpl hier="98" item="1"/>
          <tpl fld="6" item="2"/>
          <tpl hier="103" item="5"/>
          <tpl hier="108" item="3"/>
          <tpl hier="113" item="4"/>
        </tpls>
      </m>
      <m>
        <tpls c="7">
          <tpl fld="5" item="365"/>
          <tpl fld="4" item="1"/>
          <tpl hier="98" item="1"/>
          <tpl fld="6" item="1"/>
          <tpl hier="103" item="5"/>
          <tpl hier="108" item="3"/>
          <tpl hier="113" item="4"/>
        </tpls>
      </m>
      <m>
        <tpls c="7">
          <tpl fld="5" item="365"/>
          <tpl fld="4" item="1"/>
          <tpl hier="98" item="1"/>
          <tpl hier="102" item="4294967295"/>
          <tpl hier="103" item="5"/>
          <tpl hier="108" item="3"/>
          <tpl hier="113" item="4"/>
        </tpls>
      </m>
      <m>
        <tpls c="7">
          <tpl fld="5" item="367"/>
          <tpl fld="4" item="1"/>
          <tpl hier="98" item="1"/>
          <tpl fld="6" item="2"/>
          <tpl hier="103" item="5"/>
          <tpl hier="108" item="3"/>
          <tpl hier="113" item="4"/>
        </tpls>
      </m>
      <m>
        <tpls c="7">
          <tpl fld="5" item="367"/>
          <tpl fld="4" item="1"/>
          <tpl hier="98" item="1"/>
          <tpl hier="102" item="4294967295"/>
          <tpl hier="103" item="5"/>
          <tpl hier="108" item="3"/>
          <tpl hier="113" item="4"/>
        </tpls>
      </m>
      <m>
        <tpls c="7">
          <tpl fld="5" item="368"/>
          <tpl fld="4" item="0"/>
          <tpl hier="98" item="1"/>
          <tpl hier="102" item="4294967295"/>
          <tpl hier="103" item="5"/>
          <tpl hier="108" item="3"/>
          <tpl hier="113" item="4"/>
        </tpls>
      </m>
      <m>
        <tpls c="7">
          <tpl fld="5" item="368"/>
          <tpl fld="4" item="0"/>
          <tpl hier="98" item="1"/>
          <tpl fld="6" item="1"/>
          <tpl hier="103" item="5"/>
          <tpl hier="108" item="3"/>
          <tpl hier="113" item="4"/>
        </tpls>
      </m>
      <m>
        <tpls c="7">
          <tpl fld="5" item="367"/>
          <tpl fld="4" item="1"/>
          <tpl hier="98" item="1"/>
          <tpl fld="6" item="1"/>
          <tpl hier="103" item="5"/>
          <tpl hier="108" item="3"/>
          <tpl hier="113" item="4"/>
        </tpls>
      </m>
      <m>
        <tpls c="7">
          <tpl fld="5" item="344"/>
          <tpl fld="4" item="0"/>
          <tpl hier="98" item="1"/>
          <tpl hier="102" item="4294967295"/>
          <tpl hier="103" item="5"/>
          <tpl hier="108" item="3"/>
          <tpl hier="113" item="4"/>
        </tpls>
      </m>
      <m>
        <tpls c="7">
          <tpl fld="5" item="324"/>
          <tpl fld="4" item="1"/>
          <tpl hier="98" item="1"/>
          <tpl fld="6" item="1"/>
          <tpl hier="103" item="5"/>
          <tpl hier="108" item="3"/>
          <tpl hier="113" item="4"/>
        </tpls>
      </m>
      <m>
        <tpls c="7">
          <tpl fld="5" item="286"/>
          <tpl fld="4" item="1"/>
          <tpl hier="98" item="1"/>
          <tpl fld="6" item="1"/>
          <tpl hier="103" item="5"/>
          <tpl hier="108" item="3"/>
          <tpl hier="113" item="4"/>
        </tpls>
      </m>
      <m>
        <tpls c="7">
          <tpl fld="5" item="253"/>
          <tpl fld="4" item="1"/>
          <tpl hier="98" item="1"/>
          <tpl fld="6" item="1"/>
          <tpl hier="103" item="5"/>
          <tpl hier="108" item="3"/>
          <tpl hier="113" item="4"/>
        </tpls>
      </m>
      <m>
        <tpls c="7">
          <tpl fld="5" item="228"/>
          <tpl fld="4" item="1"/>
          <tpl hier="98" item="1"/>
          <tpl hier="102" item="4294967295"/>
          <tpl hier="103" item="5"/>
          <tpl hier="108" item="3"/>
          <tpl hier="113" item="4"/>
        </tpls>
      </m>
      <m>
        <tpls c="7">
          <tpl fld="5" item="199"/>
          <tpl fld="4" item="1"/>
          <tpl hier="98" item="1"/>
          <tpl fld="6" item="1"/>
          <tpl hier="103" item="5"/>
          <tpl hier="108" item="3"/>
          <tpl hier="113" item="4"/>
        </tpls>
      </m>
      <n v="63439.5">
        <tpls c="7">
          <tpl fld="5" item="187"/>
          <tpl fld="4" item="0"/>
          <tpl hier="98" item="1"/>
          <tpl hier="102" item="4294967295"/>
          <tpl hier="103" item="5"/>
          <tpl hier="108" item="3"/>
          <tpl hier="113" item="4"/>
        </tpls>
      </n>
      <n v="972372.17">
        <tpls c="7">
          <tpl fld="5" item="161"/>
          <tpl fld="4" item="0"/>
          <tpl hier="98" item="1"/>
          <tpl hier="102" item="4294967295"/>
          <tpl hier="103" item="5"/>
          <tpl hier="108" item="3"/>
          <tpl hier="113" item="4"/>
        </tpls>
      </n>
      <m>
        <tpls c="7">
          <tpl fld="5" item="124"/>
          <tpl fld="4" item="0"/>
          <tpl hier="98" item="1"/>
          <tpl fld="6" item="1"/>
          <tpl hier="103" item="5"/>
          <tpl hier="108" item="3"/>
          <tpl hier="113" item="4"/>
        </tpls>
      </m>
      <n v="3">
        <tpls c="7">
          <tpl fld="5" item="97"/>
          <tpl fld="4" item="0"/>
          <tpl hier="98" item="1"/>
          <tpl fld="6" item="1"/>
          <tpl hier="103" item="5"/>
          <tpl hier="108" item="3"/>
          <tpl hier="113" item="4"/>
        </tpls>
      </n>
      <n v="244">
        <tpls c="6">
          <tpl fld="2" item="0"/>
          <tpl hier="98" item="1"/>
          <tpl fld="6" item="1"/>
          <tpl hier="103" item="5"/>
          <tpl hier="108" item="3"/>
          <tpl hier="113" item="4"/>
        </tpls>
      </n>
      <m>
        <tpls c="7">
          <tpl fld="5" item="284"/>
          <tpl fld="4" item="1"/>
          <tpl hier="98" item="1"/>
          <tpl hier="102" item="4294967295"/>
          <tpl hier="103" item="5"/>
          <tpl hier="108" item="3"/>
          <tpl hier="113" item="4"/>
        </tpls>
      </m>
      <m>
        <tpls c="7">
          <tpl fld="5" item="270"/>
          <tpl fld="4" item="1"/>
          <tpl hier="98" item="1"/>
          <tpl fld="6" item="2"/>
          <tpl hier="103" item="5"/>
          <tpl hier="108" item="3"/>
          <tpl hier="113" item="4"/>
        </tpls>
      </m>
      <n v="6">
        <tpls c="7">
          <tpl fld="5" item="267"/>
          <tpl fld="4" item="0"/>
          <tpl hier="98" item="1"/>
          <tpl fld="6" item="1"/>
          <tpl hier="103" item="5"/>
          <tpl hier="108" item="3"/>
          <tpl hier="113" item="4"/>
        </tpls>
      </n>
      <m>
        <tpls c="7">
          <tpl fld="5" item="252"/>
          <tpl fld="4" item="1"/>
          <tpl hier="98" item="1"/>
          <tpl hier="102" item="4294967295"/>
          <tpl hier="103" item="5"/>
          <tpl hier="108" item="3"/>
          <tpl hier="113" item="4"/>
        </tpls>
      </m>
      <m>
        <tpls c="7">
          <tpl fld="5" item="235"/>
          <tpl fld="4" item="1"/>
          <tpl hier="98" item="1"/>
          <tpl hier="102" item="4294967295"/>
          <tpl hier="103" item="5"/>
          <tpl hier="108" item="3"/>
          <tpl hier="113" item="4"/>
        </tpls>
      </m>
      <m>
        <tpls c="7">
          <tpl fld="2" item="8"/>
          <tpl fld="7" item="2"/>
          <tpl hier="98" item="1"/>
          <tpl hier="102" item="4294967295"/>
          <tpl hier="103" item="5"/>
          <tpl hier="108" item="3"/>
          <tpl hier="113" item="4"/>
        </tpls>
      </m>
      <m>
        <tpls c="7">
          <tpl fld="5" item="191"/>
          <tpl fld="4" item="1"/>
          <tpl hier="98" item="1"/>
          <tpl hier="102" item="4294967295"/>
          <tpl hier="103" item="5"/>
          <tpl hier="108" item="3"/>
          <tpl hier="113" item="4"/>
        </tpls>
      </m>
      <n v="1">
        <tpls c="7">
          <tpl fld="5" item="181"/>
          <tpl fld="4" item="0"/>
          <tpl hier="98" item="1"/>
          <tpl fld="6" item="1"/>
          <tpl hier="103" item="5"/>
          <tpl hier="108" item="3"/>
          <tpl hier="113" item="4"/>
        </tpls>
      </n>
      <m>
        <tpls c="7">
          <tpl fld="2" item="9"/>
          <tpl fld="7" item="2"/>
          <tpl hier="98" item="1"/>
          <tpl hier="102" item="4294967295"/>
          <tpl hier="103" item="5"/>
          <tpl hier="108" item="3"/>
          <tpl hier="113" item="4"/>
        </tpls>
      </m>
      <m>
        <tpls c="7">
          <tpl fld="5" item="314"/>
          <tpl fld="4" item="1"/>
          <tpl hier="98" item="1"/>
          <tpl fld="6" item="1"/>
          <tpl hier="103" item="5"/>
          <tpl hier="108" item="3"/>
          <tpl hier="113" item="4"/>
        </tpls>
      </m>
      <m>
        <tpls c="7">
          <tpl fld="5" item="297"/>
          <tpl fld="4" item="3"/>
          <tpl hier="98" item="1"/>
          <tpl fld="6" item="2"/>
          <tpl hier="103" item="5"/>
          <tpl hier="108" item="3"/>
          <tpl hier="113" item="4"/>
        </tpls>
      </m>
      <m>
        <tpls c="7">
          <tpl fld="5" item="294"/>
          <tpl fld="4" item="1"/>
          <tpl hier="98" item="1"/>
          <tpl fld="6" item="1"/>
          <tpl hier="103" item="5"/>
          <tpl hier="108" item="3"/>
          <tpl hier="113" item="4"/>
        </tpls>
      </m>
      <m>
        <tpls c="7">
          <tpl fld="5" item="281"/>
          <tpl fld="4" item="0"/>
          <tpl hier="98" item="1"/>
          <tpl fld="6" item="1"/>
          <tpl hier="103" item="5"/>
          <tpl hier="108" item="3"/>
          <tpl hier="113" item="4"/>
        </tpls>
      </m>
      <m>
        <tpls c="7">
          <tpl fld="5" item="266"/>
          <tpl fld="4" item="0"/>
          <tpl hier="98" item="1"/>
          <tpl hier="102" item="4294967295"/>
          <tpl hier="103" item="5"/>
          <tpl hier="108" item="3"/>
          <tpl hier="113" item="4"/>
        </tpls>
      </m>
      <m>
        <tpls c="7">
          <tpl fld="5" item="264"/>
          <tpl fld="4" item="1"/>
          <tpl hier="98" item="1"/>
          <tpl hier="102" item="4294967295"/>
          <tpl hier="103" item="5"/>
          <tpl hier="108" item="3"/>
          <tpl hier="113" item="4"/>
        </tpls>
      </m>
      <n v="3">
        <tpls c="7">
          <tpl fld="5" item="251"/>
          <tpl fld="4" item="0"/>
          <tpl hier="98" item="1"/>
          <tpl fld="6" item="1"/>
          <tpl hier="103" item="5"/>
          <tpl hier="108" item="3"/>
          <tpl hier="113" item="4"/>
        </tpls>
      </n>
      <m>
        <tpls c="7">
          <tpl fld="5" item="234"/>
          <tpl fld="4" item="0"/>
          <tpl hier="98" item="1"/>
          <tpl fld="6" item="1"/>
          <tpl hier="103" item="5"/>
          <tpl hier="108" item="3"/>
          <tpl hier="113" item="4"/>
        </tpls>
      </m>
      <m>
        <tpls c="7">
          <tpl fld="5" item="178"/>
          <tpl fld="4" item="1"/>
          <tpl hier="98" item="1"/>
          <tpl fld="6" item="1"/>
          <tpl hier="103" item="5"/>
          <tpl hier="108" item="3"/>
          <tpl hier="113" item="4"/>
        </tpls>
      </m>
      <m>
        <tpls c="7">
          <tpl fld="5" item="118"/>
          <tpl fld="4" item="1"/>
          <tpl hier="98" item="1"/>
          <tpl fld="6" item="1"/>
          <tpl hier="103" item="5"/>
          <tpl hier="108" item="3"/>
          <tpl hier="113" item="4"/>
        </tpls>
      </m>
      <m>
        <tpls c="7">
          <tpl fld="5" item="109"/>
          <tpl fld="4" item="0"/>
          <tpl hier="98" item="1"/>
          <tpl fld="6" item="1"/>
          <tpl hier="103" item="5"/>
          <tpl hier="108" item="3"/>
          <tpl hier="113" item="4"/>
        </tpls>
      </m>
      <m>
        <tpls c="7">
          <tpl fld="5" item="310"/>
          <tpl fld="4" item="1"/>
          <tpl hier="98" item="1"/>
          <tpl fld="6" item="1"/>
          <tpl hier="103" item="5"/>
          <tpl hier="108" item="3"/>
          <tpl hier="113" item="4"/>
        </tpls>
      </m>
      <m>
        <tpls c="7">
          <tpl fld="5" item="105"/>
          <tpl fld="4" item="0"/>
          <tpl hier="98" item="1"/>
          <tpl fld="6" item="1"/>
          <tpl hier="103" item="5"/>
          <tpl hier="108" item="3"/>
          <tpl hier="113" item="4"/>
        </tpls>
      </m>
      <m>
        <tpls c="7">
          <tpl fld="5" item="271"/>
          <tpl fld="4" item="1"/>
          <tpl hier="98" item="1"/>
          <tpl fld="6" item="1"/>
          <tpl hier="103" item="5"/>
          <tpl hier="108" item="3"/>
          <tpl hier="113" item="4"/>
        </tpls>
      </m>
      <n v="10">
        <tpls c="7">
          <tpl fld="5" item="170"/>
          <tpl fld="4" item="0"/>
          <tpl hier="98" item="1"/>
          <tpl fld="6" item="1"/>
          <tpl hier="103" item="5"/>
          <tpl hier="108" item="3"/>
          <tpl hier="113" item="4"/>
        </tpls>
      </n>
      <m>
        <tpls c="7">
          <tpl fld="5" item="298"/>
          <tpl fld="4" item="0"/>
          <tpl hier="98" item="1"/>
          <tpl hier="102" item="4294967295"/>
          <tpl hier="103" item="5"/>
          <tpl hier="108" item="3"/>
          <tpl hier="113" item="4"/>
        </tpls>
      </m>
      <m>
        <tpls c="7">
          <tpl fld="5" item="184"/>
          <tpl fld="4" item="0"/>
          <tpl hier="98" item="1"/>
          <tpl hier="102" item="4294967295"/>
          <tpl hier="103" item="5"/>
          <tpl hier="108" item="3"/>
          <tpl hier="113" item="4"/>
        </tpls>
      </m>
      <m>
        <tpls c="7">
          <tpl fld="5" item="358"/>
          <tpl fld="4" item="1"/>
          <tpl hier="98" item="1"/>
          <tpl hier="102" item="4294967295"/>
          <tpl hier="103" item="5"/>
          <tpl hier="108" item="3"/>
          <tpl hier="113" item="4"/>
        </tpls>
      </m>
      <n v="0">
        <tpls c="7">
          <tpl fld="5" item="338"/>
          <tpl fld="4" item="0"/>
          <tpl hier="98" item="1"/>
          <tpl hier="102" item="4294967295"/>
          <tpl hier="103" item="5"/>
          <tpl hier="108" item="3"/>
          <tpl hier="113" item="4"/>
        </tpls>
      </n>
      <m>
        <tpls c="7">
          <tpl fld="5" item="311"/>
          <tpl fld="4" item="0"/>
          <tpl hier="98" item="1"/>
          <tpl hier="102" item="4294967295"/>
          <tpl hier="103" item="5"/>
          <tpl hier="108" item="3"/>
          <tpl hier="113" item="4"/>
        </tpls>
      </m>
      <m>
        <tpls c="7">
          <tpl fld="5" item="296"/>
          <tpl fld="4" item="1"/>
          <tpl hier="98" item="1"/>
          <tpl fld="6" item="1"/>
          <tpl hier="103" item="5"/>
          <tpl hier="108" item="3"/>
          <tpl hier="113" item="4"/>
        </tpls>
      </m>
      <m>
        <tpls c="7">
          <tpl fld="5" item="275"/>
          <tpl fld="4" item="0"/>
          <tpl hier="98" item="1"/>
          <tpl fld="6" item="1"/>
          <tpl hier="103" item="5"/>
          <tpl hier="108" item="3"/>
          <tpl hier="113" item="4"/>
        </tpls>
      </m>
      <m>
        <tpls c="7">
          <tpl fld="5" item="268"/>
          <tpl fld="4" item="1"/>
          <tpl hier="98" item="1"/>
          <tpl fld="6" item="2"/>
          <tpl hier="103" item="5"/>
          <tpl hier="108" item="3"/>
          <tpl hier="113" item="4"/>
        </tpls>
      </m>
      <m>
        <tpls c="7">
          <tpl fld="5" item="257"/>
          <tpl fld="4" item="0"/>
          <tpl hier="98" item="1"/>
          <tpl hier="102" item="4294967295"/>
          <tpl hier="103" item="5"/>
          <tpl hier="108" item="3"/>
          <tpl hier="113" item="4"/>
        </tpls>
      </m>
      <m>
        <tpls c="7">
          <tpl fld="5" item="230"/>
          <tpl fld="4" item="0"/>
          <tpl hier="98" item="1"/>
          <tpl hier="102" item="4294967295"/>
          <tpl hier="103" item="5"/>
          <tpl hier="108" item="3"/>
          <tpl hier="113" item="4"/>
        </tpls>
      </m>
      <m>
        <tpls c="7">
          <tpl fld="5" item="229"/>
          <tpl fld="4" item="0"/>
          <tpl hier="98" item="1"/>
          <tpl fld="6" item="1"/>
          <tpl hier="103" item="5"/>
          <tpl hier="108" item="3"/>
          <tpl hier="113" item="4"/>
        </tpls>
      </m>
      <n v="4000">
        <tpls c="7">
          <tpl fld="5" item="188"/>
          <tpl fld="4" item="0"/>
          <tpl hier="98" item="1"/>
          <tpl hier="102" item="4294967295"/>
          <tpl hier="103" item="5"/>
          <tpl hier="108" item="3"/>
          <tpl hier="113" item="4"/>
        </tpls>
      </n>
      <m>
        <tpls c="7">
          <tpl fld="5" item="131"/>
          <tpl fld="4" item="1"/>
          <tpl hier="98" item="1"/>
          <tpl hier="102" item="4294967295"/>
          <tpl hier="103" item="5"/>
          <tpl hier="108" item="3"/>
          <tpl hier="113" item="4"/>
        </tpls>
      </m>
      <m>
        <tpls c="7">
          <tpl fld="5" item="110"/>
          <tpl fld="4" item="1"/>
          <tpl hier="98" item="1"/>
          <tpl fld="6" item="1"/>
          <tpl hier="103" item="5"/>
          <tpl hier="108" item="3"/>
          <tpl hier="113" item="4"/>
        </tpls>
      </m>
      <m>
        <tpls c="7">
          <tpl fld="5" item="366"/>
          <tpl fld="4" item="1"/>
          <tpl hier="98" item="1"/>
          <tpl hier="102" item="4294967295"/>
          <tpl hier="103" item="5"/>
          <tpl hier="108" item="3"/>
          <tpl hier="113" item="4"/>
        </tpls>
      </m>
      <m>
        <tpls c="7">
          <tpl fld="5" item="331"/>
          <tpl fld="4" item="0"/>
          <tpl hier="98" item="1"/>
          <tpl fld="6" item="1"/>
          <tpl hier="103" item="5"/>
          <tpl hier="108" item="3"/>
          <tpl hier="113" item="4"/>
        </tpls>
      </m>
      <m>
        <tpls c="7">
          <tpl fld="5" item="126"/>
          <tpl fld="4" item="1"/>
          <tpl hier="98" item="1"/>
          <tpl hier="102" item="4294967295"/>
          <tpl hier="103" item="5"/>
          <tpl hier="108" item="3"/>
          <tpl hier="113" item="4"/>
        </tpls>
      </m>
      <m>
        <tpls c="7">
          <tpl fld="5" item="255"/>
          <tpl fld="4" item="1"/>
          <tpl hier="98" item="1"/>
          <tpl hier="102" item="4294967295"/>
          <tpl hier="103" item="5"/>
          <tpl hier="108" item="3"/>
          <tpl hier="113" item="4"/>
        </tpls>
      </m>
      <m>
        <tpls c="7">
          <tpl fld="5" item="265"/>
          <tpl fld="4" item="0"/>
          <tpl hier="98" item="1"/>
          <tpl fld="6" item="1"/>
          <tpl hier="103" item="5"/>
          <tpl hier="108" item="3"/>
          <tpl hier="113" item="4"/>
        </tpls>
      </m>
      <m>
        <tpls c="7">
          <tpl fld="5" item="202"/>
          <tpl fld="4" item="1"/>
          <tpl hier="98" item="1"/>
          <tpl fld="6" item="1"/>
          <tpl hier="103" item="5"/>
          <tpl hier="108" item="3"/>
          <tpl hier="113" item="4"/>
        </tpls>
      </m>
      <m>
        <tpls c="7">
          <tpl fld="2" item="5"/>
          <tpl fld="7" item="2"/>
          <tpl hier="98" item="1"/>
          <tpl hier="102" item="4294967295"/>
          <tpl hier="103" item="5"/>
          <tpl hier="108" item="3"/>
          <tpl hier="113" item="4"/>
        </tpls>
      </m>
      <m>
        <tpls c="7">
          <tpl fld="2" item="12"/>
          <tpl fld="7" item="2"/>
          <tpl hier="98" item="1"/>
          <tpl hier="102" item="4294967295"/>
          <tpl hier="103" item="5"/>
          <tpl hier="108" item="3"/>
          <tpl hier="113" item="4"/>
        </tpls>
      </m>
      <m>
        <tpls c="7">
          <tpl fld="5" item="225"/>
          <tpl fld="4" item="0"/>
          <tpl hier="98" item="1"/>
          <tpl fld="6" item="1"/>
          <tpl hier="103" item="5"/>
          <tpl hier="108" item="3"/>
          <tpl hier="113" item="4"/>
        </tpls>
      </m>
      <m>
        <tpls c="7">
          <tpl fld="5" item="72"/>
          <tpl fld="4" item="0"/>
          <tpl hier="98" item="1"/>
          <tpl fld="6" item="1"/>
          <tpl hier="103" item="5"/>
          <tpl hier="108" item="3"/>
          <tpl hier="113" item="4"/>
        </tpls>
      </m>
      <n v="6">
        <tpls c="7">
          <tpl fld="5" item="247"/>
          <tpl fld="4" item="0"/>
          <tpl hier="98" item="1"/>
          <tpl fld="6" item="1"/>
          <tpl hier="103" item="5"/>
          <tpl hier="108" item="3"/>
          <tpl hier="113" item="4"/>
        </tpls>
      </n>
      <m>
        <tpls c="7">
          <tpl fld="5" item="214"/>
          <tpl fld="4" item="1"/>
          <tpl hier="98" item="1"/>
          <tpl fld="6" item="1"/>
          <tpl hier="103" item="5"/>
          <tpl hier="108" item="3"/>
          <tpl hier="113" item="4"/>
        </tpls>
      </m>
      <m>
        <tpls c="7">
          <tpl fld="5" item="279"/>
          <tpl fld="4" item="3"/>
          <tpl hier="98" item="1"/>
          <tpl fld="6" item="1"/>
          <tpl hier="103" item="5"/>
          <tpl hier="108" item="3"/>
          <tpl hier="113" item="4"/>
        </tpls>
      </m>
      <m>
        <tpls c="7">
          <tpl fld="5" item="335"/>
          <tpl fld="4" item="1"/>
          <tpl hier="98" item="1"/>
          <tpl fld="6" item="1"/>
          <tpl hier="103" item="5"/>
          <tpl hier="108" item="3"/>
          <tpl hier="113" item="4"/>
        </tpls>
      </m>
      <m>
        <tpls c="7">
          <tpl fld="2" item="15"/>
          <tpl fld="7" item="2"/>
          <tpl hier="98" item="1"/>
          <tpl hier="102" item="4294967295"/>
          <tpl hier="103" item="5"/>
          <tpl hier="108" item="3"/>
          <tpl hier="113" item="4"/>
        </tpls>
      </m>
      <m>
        <tpls c="7">
          <tpl fld="5" item="352"/>
          <tpl fld="4" item="1"/>
          <tpl hier="98" item="1"/>
          <tpl fld="6" item="1"/>
          <tpl hier="103" item="5"/>
          <tpl hier="108" item="3"/>
          <tpl hier="113" item="4"/>
        </tpls>
      </m>
      <m>
        <tpls c="7">
          <tpl fld="5" item="30"/>
          <tpl fld="4" item="1"/>
          <tpl hier="98" item="1"/>
          <tpl fld="6" item="1"/>
          <tpl hier="103" item="5"/>
          <tpl hier="108" item="3"/>
          <tpl hier="113" item="4"/>
        </tpls>
      </m>
      <m>
        <tpls c="7">
          <tpl fld="5" item="122"/>
          <tpl fld="4" item="1"/>
          <tpl hier="98" item="1"/>
          <tpl fld="6" item="1"/>
          <tpl hier="103" item="5"/>
          <tpl hier="108" item="3"/>
          <tpl hier="113" item="4"/>
        </tpls>
      </m>
      <m>
        <tpls c="7">
          <tpl fld="2" item="1"/>
          <tpl fld="7" item="2"/>
          <tpl hier="98" item="1"/>
          <tpl hier="102" item="4294967295"/>
          <tpl hier="103" item="5"/>
          <tpl hier="108" item="3"/>
          <tpl hier="113" item="4"/>
        </tpls>
      </m>
      <m>
        <tpls c="7">
          <tpl fld="5" item="357"/>
          <tpl fld="4" item="0"/>
          <tpl hier="98" item="1"/>
          <tpl fld="6" item="1"/>
          <tpl hier="103" item="5"/>
          <tpl hier="108" item="3"/>
          <tpl hier="113" item="4"/>
        </tpls>
      </m>
      <m>
        <tpls c="7">
          <tpl fld="5" item="174"/>
          <tpl fld="4" item="0"/>
          <tpl hier="98" item="1"/>
          <tpl fld="6" item="1"/>
          <tpl hier="103" item="5"/>
          <tpl hier="108" item="3"/>
          <tpl hier="113" item="4"/>
        </tpls>
      </m>
      <m>
        <tpls c="7">
          <tpl fld="5" item="368"/>
          <tpl fld="4" item="0"/>
          <tpl hier="98" item="1"/>
          <tpl fld="6" item="2"/>
          <tpl hier="103" item="5"/>
          <tpl hier="108" item="3"/>
          <tpl hier="113" item="4"/>
        </tpls>
      </m>
      <m>
        <tpls c="7">
          <tpl fld="5" item="163"/>
          <tpl fld="4" item="0"/>
          <tpl hier="98" item="1"/>
          <tpl hier="102" item="4294967295"/>
          <tpl hier="103" item="5"/>
          <tpl hier="108" item="3"/>
          <tpl hier="113" item="4"/>
        </tpls>
      </m>
      <m>
        <tpls c="7">
          <tpl fld="5" item="88"/>
          <tpl fld="4" item="0"/>
          <tpl hier="98" item="1"/>
          <tpl fld="6" item="1"/>
          <tpl hier="103" item="5"/>
          <tpl hier="108" item="3"/>
          <tpl hier="113" item="4"/>
        </tpls>
      </m>
      <m>
        <tpls c="7">
          <tpl fld="5" item="330"/>
          <tpl fld="4" item="1"/>
          <tpl hier="98" item="1"/>
          <tpl fld="6" item="1"/>
          <tpl hier="103" item="5"/>
          <tpl hier="108" item="3"/>
          <tpl hier="113" item="4"/>
        </tpls>
      </m>
    </entries>
    <sets count="6">
      <set count="1" maxRank="1" setDefinition="{[Local Organisation].[CAB].[Member].&amp;[Citizens Advice Member]&amp;[Not recorded/not applicable]}">
        <tpls c="1">
          <tpl fld="1" item="0"/>
        </tpls>
      </set>
      <set count="1" maxRank="1" setDefinition="{[Local Organisation].[CAB].[Member].&amp;[York (member)]&amp;[Yorkshire &amp; the Humber]}">
        <tpls c="1">
          <tpl fld="1" item="1"/>
        </tpls>
      </set>
      <set count="5" maxRank="1" setDefinition="{([AIC Outcome].[Financial Outcome Category].&amp;[Repayments rescheduled]),([AIC Outcome].[Financial Outcome Category].&amp;[Re-imbursements, services, loans]),([AIC Outcome].[Financial Outcome Category].&amp;[Not recorded/not applicable]),([AIC Outcome].[Financial Outcome Category].&amp;[Income gain]),([AIC Outcome].[Financial Outcome Category].&amp;[Debts written off])}">
        <tpls c="1">
          <tpl fld="7" item="1"/>
        </tpls>
      </set>
      <set count="1" maxRank="1" setDefinition="{[Monthly Calendar Outcome Date].[Financial].[Year].&amp;[2016-17]}">
        <tpls c="1">
          <tpl fld="8" item="1"/>
        </tpls>
      </set>
      <set count="1" maxRank="1" setDefinition="{[National Funder].[Funder].[All]}">
        <tpls c="1">
          <tpl hier="113" item="4294967295"/>
        </tpls>
      </set>
      <set count="1" maxRank="1" setDefinition="{[Monthly Calendar Enquiry Created].[Financial].[All]}">
        <tpls c="1">
          <tpl hier="103" item="4294967295"/>
        </tpls>
      </set>
    </sets>
    <queryCache count="405">
      <query mdx="[AIC Outcome].[Advice Area].&amp;[Benefits &amp; tax credits]">
        <tpls c="1">
          <tpl fld="2" item="0"/>
        </tpls>
      </query>
      <query mdx="[AIC Outcome].[Advice Area].&amp;[Health &amp; community care]">
        <tpls c="1">
          <tpl fld="2" item="1"/>
        </tpls>
      </query>
      <query mdx="[AIC Outcome].[Advice Area].&amp;[Financial services &amp; capability]">
        <tpls c="1">
          <tpl fld="2" item="2"/>
        </tpls>
      </query>
      <query mdx="[AIC Outcome].[Advice Area].&amp;[Education]">
        <tpls c="1">
          <tpl fld="2" item="3"/>
        </tpls>
      </query>
      <query mdx="[AIC Outcome].[Advice Area].&amp;[Discrimination]">
        <tpls c="1">
          <tpl fld="2" item="4"/>
        </tpls>
      </query>
      <query mdx="[AIC Outcome].[Advice Area].&amp;[Utilities &amp; communications]">
        <tpls c="1">
          <tpl fld="2" item="5"/>
        </tpls>
      </query>
      <query mdx="[AIC Outcome].[Advice Area].&amp;[Housing]">
        <tpls c="1">
          <tpl fld="2" item="6"/>
        </tpls>
      </query>
      <query mdx="[AIC Outcome].[Advice Area].&amp;[Debt]">
        <tpls c="1">
          <tpl fld="2" item="7"/>
        </tpls>
      </query>
      <query mdx="[AIC Outcome].[Advice Area].&amp;[Travel &amp; transport]">
        <tpls c="1">
          <tpl fld="2" item="8"/>
        </tpls>
      </query>
      <query mdx="[AIC Outcome].[Advice Area].&amp;[Relationships &amp; family]">
        <tpls c="1">
          <tpl fld="2" item="9"/>
        </tpls>
      </query>
      <query mdx="[AIC Outcome].[Advice Area].&amp;[Tax]">
        <tpls c="1">
          <tpl fld="2" item="10"/>
        </tpls>
      </query>
      <query mdx="[AIC Outcome].[Advice Area].&amp;[Legal]">
        <tpls c="1">
          <tpl fld="2" item="11"/>
        </tpls>
      </query>
      <query mdx="[AIC Outcome].[Advice Area].&amp;[Immigration &amp; asylum]">
        <tpls c="1">
          <tpl fld="2" item="12"/>
        </tpls>
      </query>
      <query mdx="[AIC Outcome].[Advice Area].&amp;[Employment]">
        <tpls c="1">
          <tpl fld="2" item="13"/>
        </tpls>
      </query>
      <query mdx="[AIC Outcome].[AIC Part1].&amp;[Tax]">
        <tpls c="1">
          <tpl fld="3" item="0"/>
        </tpls>
      </query>
      <query mdx="[AIC Outcome].[Advice Area].[All]">
        <tpls c="1">
          <tpl hier="0" item="4294967295"/>
        </tpls>
      </query>
      <query mdx="[AIC Outcome].[Advice Area].&amp;[Consumer goods &amp; services]">
        <tpls c="1">
          <tpl fld="2" item="14"/>
        </tpls>
      </query>
      <query mdx="[AIC Outcome].[Advice Area].&amp;[Other]">
        <tpls c="1">
          <tpl fld="2" item="15"/>
        </tpls>
      </query>
      <query mdx="[AIC Outcome].[Type Of Outcome].&amp;[Core]">
        <tpls c="1">
          <tpl fld="4" item="0"/>
        </tpls>
      </query>
      <query mdx="[AIC Outcome].[Outcome].&amp;[Bereavement Planning]">
        <tpls c="1">
          <tpl fld="5" item="0"/>
        </tpls>
      </query>
      <query mdx="[AIC Outcome].[Outcome].&amp;[Other]">
        <tpls c="1">
          <tpl fld="5" item="1"/>
        </tpls>
      </query>
      <query mdx="[AIC Outcome].[Type Of Outcome].&amp;[Local]">
        <tpls c="1">
          <tpl fld="4" item="1"/>
        </tpls>
      </query>
      <query mdx="[AIC Outcome].[Outcome].&amp;[North Liverpool - Be Healthy - 1.2 - Manage mental health]">
        <tpls c="1">
          <tpl fld="5" item="2"/>
        </tpls>
      </query>
      <query mdx="[AIC Outcome].[Outcome].&amp;[Unfair Insurance challenged - successful]">
        <tpls c="1">
          <tpl fld="5" item="3"/>
        </tpls>
      </query>
      <query mdx="[AIC Outcome].[Type Of Outcome].&amp;[Not recorded/not applicable]">
        <tpls c="1">
          <tpl fld="4" item="2"/>
        </tpls>
      </query>
      <query mdx="[AIC Outcome].[Type Of Outcome].&amp;[Project]">
        <tpls c="1">
          <tpl fld="4" item="3"/>
        </tpls>
      </query>
      <query mdx="[AIC Outcome].[Outcome].&amp;[F2F - Referral to digital debt advice]">
        <tpls c="1">
          <tpl fld="5" item="4"/>
        </tpls>
      </query>
      <query mdx="[Measures].[Annualised Value]">
        <tpls c="1">
          <tpl hier="102" item="4294967295"/>
        </tpls>
      </query>
      <query mdx="[AIC Outcome].[Outcome].&amp;[East End (Hackney) attend a diagnostic interview]">
        <tpls c="1">
          <tpl fld="5" item="5"/>
        </tpls>
      </query>
      <query mdx="[AIC Outcome].[Outcome].&amp;[North Liverpool 3.1 Greater choice/involvement/control at service level + within the wider community]">
        <tpls c="1">
          <tpl fld="5" item="6"/>
        </tpls>
      </query>
      <query mdx="[AIC Outcome].[Outcome].&amp;[BHWCAB - Payment from BDC Exceptional Hardship Fund]">
        <tpls c="1">
          <tpl fld="5" item="7"/>
        </tpls>
      </query>
      <query mdx="[AIC Outcome].[Outcome].&amp;[Wiltshire - Surviving Winter Grant]">
        <tpls c="1">
          <tpl fld="5" item="8"/>
        </tpls>
      </query>
      <query mdx="[AIC Outcome].[Outcome].&amp;[Claim or action - not possible]">
        <tpls c="1">
          <tpl fld="5" item="9"/>
        </tpls>
      </query>
      <query mdx="[AIC Outcome].[Outcome].&amp;[Walsall NHS - Physical Activity]">
        <tpls c="1">
          <tpl fld="5" item="10"/>
        </tpls>
      </query>
      <query mdx="[AIC Outcome].[Outcome].&amp;[Wiltshire - Wessex Water Restart]">
        <tpls c="1">
          <tpl fld="5" item="11"/>
        </tpls>
      </query>
      <query mdx="[AIC Outcome].[Outcome].&amp;[Financial body challenged - unsuccessful]">
        <tpls c="1">
          <tpl fld="5" item="12"/>
        </tpls>
      </query>
      <query mdx="[AIC Outcome].[Outcome].&amp;[Bath - H5 housing benefit LHA and CTB]">
        <tpls c="1">
          <tpl fld="5" item="13"/>
        </tpls>
      </query>
      <query mdx="[AIC Outcome].[Outcome].&amp;[Redbridge - LBR Council/Leasehold]">
        <tpls c="1">
          <tpl fld="5" item="14"/>
        </tpls>
      </query>
      <query mdx="[AIC Outcome].[Outcome].&amp;[Tunbridge Wells and District Cashflow]">
        <tpls c="1">
          <tpl fld="5" item="15"/>
        </tpls>
      </query>
      <query mdx="[AIC Outcome].[Outcome].&amp;[Benefit / tax credit gain - Money put back into payment]">
        <tpls c="1">
          <tpl fld="5" item="16"/>
        </tpls>
      </query>
      <query mdx="[AIC Outcome].[Outcome].&amp;[Complaint made to organisation]">
        <tpls c="1">
          <tpl fld="5" item="17"/>
        </tpls>
      </query>
      <query mdx="[AIC Outcome].[Outcome].&amp;[Salford District -HWB 5 Improved Physical Health via Advice &amp; Information about Health &amp; Social Care]">
        <tpls c="1">
          <tpl fld="5" item="18"/>
        </tpls>
      </query>
      <query mdx="[AIC Outcome].[Outcome].&amp;[Legal fines /costs imposed]">
        <tpls c="1">
          <tpl fld="5" item="19"/>
        </tpls>
      </query>
      <query mdx="[AIC Outcome].[Outcome].&amp;[Other savings achieved]">
        <tpls c="1">
          <tpl fld="5" item="20"/>
        </tpls>
      </query>
      <query mdx="[AIC Outcome].[Outcome].&amp;[Southwark - Thames Water Grant Application]">
        <tpls c="1">
          <tpl fld="5" item="21"/>
        </tpls>
      </query>
      <query mdx="[AIC Outcome].[Outcome].&amp;[Appeal made]">
        <tpls c="1">
          <tpl fld="5" item="22"/>
        </tpls>
      </query>
      <query mdx="[AIC Outcome].[Outcome].&amp;[Benefit / tax credit gain - a new award or increase]">
        <tpls c="1">
          <tpl fld="5" item="23"/>
        </tpls>
      </query>
      <query mdx="[Measures].[Unique Client Count]">
        <tpls c="1">
          <tpl fld="6" item="1"/>
        </tpls>
      </query>
      <query mdx="[AIC Outcome].[Outcome].&amp;[Gender based violence - unsuccessful]">
        <tpls c="1">
          <tpl fld="5" item="24"/>
        </tpls>
      </query>
      <query mdx="[AIC Outcome].[Outcome].&amp;[Rehoused (not Part 7)]">
        <tpls c="1">
          <tpl fld="5" item="25"/>
        </tpls>
      </query>
      <query mdx="[AIC Outcome].[Outcome].&amp;[Lewes District - Avoided homelessness]">
        <tpls c="1">
          <tpl fld="5" item="26"/>
        </tpls>
      </query>
      <query mdx="[AIC Outcome].[Outcome].&amp;[Utilities disconnection prevented]">
        <tpls c="1">
          <tpl fld="5" item="27"/>
        </tpls>
      </query>
      <query mdx="[AIC Outcome].[Outcome].&amp;[Bath &amp; North East Somerset - Foodbank]">
        <tpls c="1">
          <tpl fld="5" item="28"/>
        </tpls>
      </query>
      <query mdx="[AIC Outcome].[Outcome].&amp;[Deportation prevented/delayed]">
        <tpls c="1">
          <tpl fld="5" item="29"/>
        </tpls>
      </query>
      <query mdx="[AIC Outcome].[Outcome].&amp;[Taunton Aid in Sickness]">
        <tpls c="1">
          <tpl fld="5" item="30"/>
        </tpls>
      </query>
      <query mdx="[AIC Outcome].[Outcome].&amp;[NASS support secured]">
        <tpls c="1">
          <tpl fld="5" item="31"/>
        </tpls>
      </query>
      <query mdx="[AIC Outcome].[Outcome].&amp;[Issue unresolved or appeal unsuccessful]">
        <tpls c="1">
          <tpl fld="5" item="32"/>
        </tpls>
      </query>
      <query mdx="[AIC Outcome].[Outcome].&amp;[Claim or action - unsuccessful]">
        <tpls c="1">
          <tpl fld="5" item="33"/>
        </tpls>
      </query>
      <query mdx="[AIC Outcome].[Outcome].&amp;[Croydon HAP – Other]">
        <tpls c="1">
          <tpl fld="5" item="34"/>
        </tpls>
      </query>
      <query mdx="[AIC Outcome].[Outcome].&amp;[Walton Weybridge &amp; Hersham- Local assistance scheme]">
        <tpls c="1">
          <tpl fld="5" item="35"/>
        </tpls>
      </query>
      <query mdx="[AIC Outcome].[Outcome].&amp;[Salford District - BLCC 3 Increased Life Skills via  obtaining assessments/ services]">
        <tpls c="1">
          <tpl fld="5" item="36"/>
        </tpls>
      </query>
      <query mdx="[Monthly Calendar Enquiry Created].[Financial].[All]">
        <tpls c="1">
          <tpl hier="103" item="4294967295"/>
        </tpls>
      </query>
      <query mdx="[AIC Outcome].[Outcome].&amp;[Social care charges reduced or eliminated]">
        <tpls c="1">
          <tpl fld="5" item="37"/>
        </tpls>
      </query>
      <query mdx="[AIC Outcome].[Outcome].&amp;[Debts repaid]">
        <tpls c="1">
          <tpl fld="5" item="38"/>
        </tpls>
      </query>
      <query mdx="[AIC Outcome].[Outcome].&amp;[Bath - Bath Municipal Charities Grant, Childrens Centres]">
        <tpls c="1">
          <tpl fld="5" item="39"/>
        </tpls>
      </query>
      <query mdx="[AIC Outcome].[Financial Outcome Category].&amp;[Re-imbursements, services, loans]">
        <tpls c="1">
          <tpl fld="7" item="0"/>
        </tpls>
      </query>
      <query mdx="[AIC Outcome].[Outcome].&amp;[Overpayment reduced or not recovered]">
        <tpls c="1">
          <tpl fld="5" item="40"/>
        </tpls>
      </query>
      <query mdx="[AIC Outcome].[Outcome].&amp;[Bailiff's action stopped/suspended/prevented]">
        <tpls c="1">
          <tpl fld="5" item="41"/>
        </tpls>
      </query>
      <query mdx="[AIC Outcome].[Outcome].&amp;[Refund / Cancellation - refused]">
        <tpls c="1">
          <tpl fld="5" item="42"/>
        </tpls>
      </query>
      <query mdx="[AIC Outcome].[Outcome].&amp;[Walsall NHS - Alcohol]">
        <tpls c="1">
          <tpl fld="5" item="43"/>
        </tpls>
      </query>
      <query mdx="[AIC Outcome].[Outcome].&amp;[Benefit / tax credit gain - award or increase following revision or appeal]">
        <tpls c="1">
          <tpl fld="5" item="44"/>
        </tpls>
      </query>
      <query mdx="[Measures].[Number of Outcomes]">
        <tpls c="1">
          <tpl fld="6" item="2"/>
        </tpls>
      </query>
      <query mdx="[AIC Outcome].[Outcome].&amp;[Challenge to disciplinary action - successful]">
        <tpls c="1">
          <tpl fld="5" item="45"/>
        </tpls>
      </query>
      <query mdx="[AIC Outcome].[Financial Outcome Category].&amp;[Repayments rescheduled]">
        <tpls c="1">
          <tpl fld="7" item="1"/>
        </tpls>
      </query>
      <query mdx="[AIC Outcome].[Outcome].&amp;[South Liverpool 4.4 Accessed/received relevant advocacy support]">
        <tpls c="1">
          <tpl fld="5" item="46"/>
        </tpls>
      </query>
      <query mdx="[AIC Outcome].[Outcome].&amp;[Will /probate outcomes - successful]">
        <tpls c="1">
          <tpl fld="5" item="47"/>
        </tpls>
      </query>
      <query mdx="[AIC Outcome].[Outcome].&amp;[Right to enter/stay secured]">
        <tpls c="1">
          <tpl fld="5" item="48"/>
        </tpls>
      </query>
      <query mdx="[AIC Outcome].[Outcome].&amp;[Financial body challenged - successful]">
        <tpls c="1">
          <tpl fld="5" item="49"/>
        </tpls>
      </query>
      <query mdx="[AIC Outcome].[Outcome].&amp;[Bus pass obtained]">
        <tpls c="1">
          <tpl fld="5" item="50"/>
        </tpls>
      </query>
      <query mdx="[AIC Outcome].[Outcome].&amp;[Request to be added to Priority Services Reg / Special Ass Reg]">
        <tpls c="1">
          <tpl fld="5" item="51"/>
        </tpls>
      </query>
      <query mdx="[AIC Outcome].[Outcome].&amp;[Non-financial]">
        <tpls c="1">
          <tpl fld="5" item="52"/>
        </tpls>
      </query>
      <query mdx="[AIC Outcome].[Outcome].&amp;[South Liverpool - Economic Wellbeing - 5.3 - Support to obtain paid work]">
        <tpls c="1">
          <tpl fld="5" item="53"/>
        </tpls>
      </query>
      <query mdx="[AIC Outcome].[Outcome].&amp;[East End (Hackney) money management advice, information or training]">
        <tpls c="1">
          <tpl fld="5" item="54"/>
        </tpls>
      </query>
      <query mdx="[AIC Outcome].[Outcome].&amp;[West Oxfordshire: Settled Accommodation secured]">
        <tpls c="1">
          <tpl fld="5" item="55"/>
        </tpls>
      </query>
      <query mdx="[AIC Outcome].[Outcome].&amp;[East End (Hackney) Attendance at employment and training advice session]">
        <tpls c="1">
          <tpl fld="5" item="56"/>
        </tpls>
      </query>
      <query mdx="[AIC Outcome].[Outcome].&amp;[East End (Hackney) Manage their budgets]">
        <tpls c="1">
          <tpl fld="5" item="57"/>
        </tpls>
      </query>
      <query mdx="[AIC Outcome].[Advice Area].&amp;[Not recorded/not applicable]">
        <tpls c="1">
          <tpl fld="2" item="16"/>
        </tpls>
      </query>
      <query mdx="[AIC Outcome].[Outcome].&amp;[Money recovered]">
        <tpls c="1">
          <tpl fld="5" item="58"/>
        </tpls>
      </query>
      <query mdx="[AIC Outcome].[Outcome].&amp;[Harassment or bullying stopped]">
        <tpls c="1">
          <tpl fld="5" item="59"/>
        </tpls>
      </query>
      <query mdx="[AIC Outcome].[Outcome].&amp;[client obtained appropriate help with court forms]">
        <tpls c="1">
          <tpl fld="5" item="60"/>
        </tpls>
      </query>
      <query mdx="[AIC Outcome].[Outcome].&amp;[East End (Hackney) Residents who open or use a bank account]">
        <tpls c="1">
          <tpl fld="5" item="61"/>
        </tpls>
      </query>
      <query mdx="[AIC Outcome].[Outcome].&amp;[Barriers to employment removed]">
        <tpls c="1">
          <tpl fld="5" item="62"/>
        </tpls>
      </query>
      <query mdx="[AIC Outcome].[Outcome].&amp;[Gender based violence - successful]">
        <tpls c="1">
          <tpl fld="5" item="63"/>
        </tpls>
      </query>
      <query mdx="[AIC Outcome].[Outcome].&amp;[Non-financial admin issue resolved]">
        <tpls c="1">
          <tpl fld="5" item="64"/>
        </tpls>
      </query>
      <query mdx="[AIC Outcome].[Outcome].&amp;[Salford District - BLCC 1 Improved Physical Health via obtaining Health and Social Care Services]">
        <tpls c="1">
          <tpl fld="5" item="65"/>
        </tpls>
      </query>
      <query mdx="[AIC Outcome].[Outcome].&amp;[Buckingham Winslow &amp; District - MAP]">
        <tpls c="1">
          <tpl fld="5" item="66"/>
        </tpls>
      </query>
      <query mdx="[AIC Outcome].[Outcome].&amp;[Apology refused]">
        <tpls c="1">
          <tpl fld="5" item="67"/>
        </tpls>
      </query>
      <query mdx="[AIC Outcome].[Outcome].&amp;[Refund / Repair / Replacement refused]">
        <tpls c="1">
          <tpl fld="5" item="68"/>
        </tpls>
      </query>
      <query mdx="[AIC Outcome].[Outcome].&amp;[Civil proceedings completed]">
        <tpls c="1">
          <tpl fld="5" item="69"/>
        </tpls>
      </query>
      <query mdx="[AIC Outcome].[Outcome].&amp;[Improved health / capacity to manage]">
        <tpls c="1">
          <tpl fld="5" item="70"/>
        </tpls>
      </query>
      <query mdx="[AIC Outcome].[Outcome].&amp;[South Liverpool - Positive Contribution - 3.2 - Confidence &amp; ability to have greater choice]">
        <tpls c="1">
          <tpl fld="5" item="71"/>
        </tpls>
      </query>
      <query mdx="[AIC Outcome].[Outcome].&amp;[CASHflow]">
        <tpls c="1">
          <tpl fld="5" item="72"/>
        </tpls>
      </query>
      <query mdx="[AIC Outcome].[Outcome].&amp;[Tax - other (non-financial)]">
        <tpls c="1">
          <tpl fld="5" item="73"/>
        </tpls>
      </query>
      <query mdx="[AIC Outcome].[Outcome].&amp;[Change to banking arrangements]">
        <tpls c="1">
          <tpl fld="5" item="74"/>
        </tpls>
      </query>
      <query mdx="[AIC Outcome].[Outcome].&amp;[Immigration status improved]">
        <tpls c="1">
          <tpl fld="5" item="75"/>
        </tpls>
      </query>
      <query mdx="[AIC Outcome].[Outcome].&amp;[Bath - Wessex Water Assist, Reduced Tariff]">
        <tpls c="1">
          <tpl fld="5" item="76"/>
        </tpls>
      </query>
      <query mdx="[AIC Outcome].[Outcome].&amp;[Challenge to discriminatory practice / policy / decision rejected]">
        <tpls c="1">
          <tpl fld="5" item="77"/>
        </tpls>
      </query>
      <query mdx="[AIC Outcome].[Outcome].&amp;[Administration order only]">
        <tpls c="1">
          <tpl fld="5" item="78"/>
        </tpls>
      </query>
      <query mdx="[AIC Outcome].[Outcome].&amp;[Appropriate service/ support obtained for client - unsuccessful]">
        <tpls c="1">
          <tpl fld="5" item="79"/>
        </tpls>
      </query>
      <query mdx="[AIC Outcome].[Outcome].&amp;[Application made to Fuel Direct scheme]">
        <tpls c="1">
          <tpl fld="5" item="80"/>
        </tpls>
      </query>
      <query mdx="[AIC Outcome].[Outcome].&amp;[Lewes District - Reduced stress/anxiety]">
        <tpls c="1">
          <tpl fld="5" item="81"/>
        </tpls>
      </query>
      <query mdx="[AIC Outcome].[Outcome].&amp;[RBL Grant Given]">
        <tpls c="1">
          <tpl fld="5" item="82"/>
        </tpls>
      </query>
      <query mdx="[AIC Outcome].[Outcome].&amp;[Macmillan Grant]">
        <tpls c="1">
          <tpl fld="5" item="83"/>
        </tpls>
      </query>
      <query mdx="[AIC Outcome].[Outcome].&amp;[South Liverpool 6.1 Improve or maintain self-respect]">
        <tpls c="1">
          <tpl fld="5" item="84"/>
        </tpls>
      </query>
      <query mdx="[AIC Outcome].[Outcome].&amp;[Temporary accomm secured (not Part 7)]">
        <tpls c="1">
          <tpl fld="5" item="85"/>
        </tpls>
      </query>
      <query mdx="[AIC Outcome].[Outcome].&amp;[Not recorded/not applicable]">
        <tpls c="1">
          <tpl fld="5" item="86"/>
        </tpls>
      </query>
      <query mdx="[AIC Outcome].[Outcome].&amp;[Walsall NC - Children into school]">
        <tpls c="1">
          <tpl fld="5" item="87"/>
        </tpls>
      </query>
      <query mdx="[AIC Outcome].[Outcome].&amp;[Unfair Insurance challenged - unsuccessful]">
        <tpls c="1">
          <tpl fld="5" item="88"/>
        </tpls>
      </query>
      <query mdx="[AIC Outcome].[Outcome].&amp;[ADR - not upheld / unavailable]">
        <tpls c="1">
          <tpl fld="5" item="89"/>
        </tpls>
      </query>
      <query mdx="[AIC Outcome].[Outcome].&amp;[Food provision / referral]">
        <tpls c="1">
          <tpl fld="5" item="90"/>
        </tpls>
      </query>
      <query mdx="[AIC Outcome].[Outcome].&amp;[Grievance rejected by employer]">
        <tpls c="1">
          <tpl fld="5" item="91"/>
        </tpls>
      </query>
      <query mdx="[AIC Outcome].[Outcome].&amp;[East End (Hackney) attend an IT training session]">
        <tpls c="1">
          <tpl fld="5" item="92"/>
        </tpls>
      </query>
      <query mdx="[AIC Outcome].[Outcome].&amp;[UC: Personal Budgeting Support received]">
        <tpls c="1">
          <tpl fld="5" item="93"/>
        </tpls>
      </query>
      <query mdx="[AIC Outcome].[Outcome].&amp;[Court or committal proceedings avoided/suspended]">
        <tpls c="1">
          <tpl fld="5" item="94"/>
        </tpls>
      </query>
      <query mdx="[AIC Outcome].[Outcome].&amp;[Other (non-financial)]">
        <tpls c="1">
          <tpl fld="5" item="95"/>
        </tpls>
      </query>
      <query mdx="[AIC Outcome].[Outcome].&amp;[Salford District -  HWB 2 General Health and Wellbeing]">
        <tpls c="1">
          <tpl fld="5" item="96"/>
        </tpls>
      </query>
      <query mdx="[AIC Outcome].[Outcome].&amp;[Homelessness delayed]">
        <tpls c="1">
          <tpl fld="5" item="97"/>
        </tpls>
      </query>
      <query mdx="[AIC Outcome].[Outcome].&amp;[West Oxfordshire: Property/Management improved]">
        <tpls c="1">
          <tpl fld="5" item="98"/>
        </tpls>
      </query>
      <query mdx="[AIC Outcome].[Outcome].&amp;[Bath -  Wessex Water Restart, Phased Debt Write Off]">
        <tpls c="1">
          <tpl fld="5" item="99"/>
        </tpls>
      </query>
      <query mdx="[AIC Outcome].[Outcome].&amp;[Terms or conditions maintained/enforced]">
        <tpls c="1">
          <tpl fld="5" item="100"/>
        </tpls>
      </query>
      <query mdx="[AIC Outcome].[Outcome].&amp;[Referred to other advice/support]">
        <tpls c="1">
          <tpl fld="5" item="101"/>
        </tpls>
      </query>
      <query mdx="[AIC Outcome].[Outcome].&amp;[Enforcement action avoided/suspended]">
        <tpls c="1">
          <tpl fld="5" item="102"/>
        </tpls>
      </query>
      <query mdx="[AIC Outcome].[Outcome].&amp;[Child Maintenance Enforcement action taken]">
        <tpls c="1">
          <tpl fld="5" item="103"/>
        </tpls>
      </query>
      <query mdx="[AIC Outcome].[Outcome].&amp;[Bath - H4 eviction suspended]">
        <tpls c="1">
          <tpl fld="5" item="104"/>
        </tpls>
      </query>
      <query mdx="[AIC Outcome].[Outcome].&amp;[LA / RSL Mortgage rescue]">
        <tpls c="1">
          <tpl fld="5" item="105"/>
        </tpls>
      </query>
      <query mdx="[AIC Outcome].[Outcome].&amp;[Better deal through switching supplier]">
        <tpls c="1">
          <tpl fld="5" item="106"/>
        </tpls>
      </query>
      <query mdx="[AIC Outcome].[Financial Outcome Category].&amp;[Debts written off]">
        <tpls c="1">
          <tpl fld="7" item="2"/>
        </tpls>
      </query>
      <query mdx="[AIC Outcome].[Outcome].&amp;[Application under incapacity legislation]">
        <tpls c="1">
          <tpl fld="5" item="107"/>
        </tpls>
      </query>
      <query mdx="[AIC Outcome].[Outcome].&amp;[Oxfordshire South &amp; Vale: Housing  - rent arrears paid]">
        <tpls c="1">
          <tpl fld="5" item="108"/>
        </tpls>
      </query>
      <query mdx="[AIC Outcome].[Outcome].&amp;[Reference provided]">
        <tpls c="1">
          <tpl fld="5" item="109"/>
        </tpls>
      </query>
      <query mdx="[AIC Outcome].[Outcome].&amp;[Sherwood and Newark - Mortgage Rescue Scheme]">
        <tpls c="1">
          <tpl fld="5" item="110"/>
        </tpls>
      </query>
      <query mdx="[AIC Outcome].[Outcome].&amp;[Southwark - EDF Grant]">
        <tpls c="1">
          <tpl fld="5" item="111"/>
        </tpls>
      </query>
      <query mdx="[AIC Outcome].[Outcome].&amp;[Discriminatory practice/policy/decision unchanged]">
        <tpls c="1">
          <tpl fld="5" item="112"/>
        </tpls>
      </query>
      <query mdx="[AIC Outcome].[Outcome].&amp;[Southwark - Macmillan Grant for Dimbleby Project]">
        <tpls c="1">
          <tpl fld="5" item="113"/>
        </tpls>
      </query>
      <query mdx="[AIC Outcome].[Outcome].&amp;[Debt write off - other]">
        <tpls c="1">
          <tpl fld="5" item="114"/>
        </tpls>
      </query>
      <query mdx="[AIC Outcome].[Outcome].&amp;[Salford District - HWB 1 Choice and Control in Health and Social Care provision]">
        <tpls c="1">
          <tpl fld="5" item="115"/>
        </tpls>
      </query>
      <query mdx="[AIC Outcome].[Outcome].&amp;[Financial gain (please specify)]">
        <tpls c="1">
          <tpl fld="5" item="116"/>
        </tpls>
      </query>
      <query mdx="[AIC Outcome].[Outcome].&amp;[South Liverpool 4.3 Increased feelings of safety and/or reduced anxiety]">
        <tpls c="1">
          <tpl fld="5" item="117"/>
        </tpls>
      </query>
      <query mdx="[AIC Outcome].[Outcome].&amp;[Croydon - HAP - Other - Part VI / VII (including reviews).]">
        <tpls c="1">
          <tpl fld="5" item="118"/>
        </tpls>
      </query>
      <query mdx="[AIC Outcome].[Outcome].&amp;[Chiltern - Griffin Club]">
        <tpls c="1">
          <tpl fld="5" item="119"/>
        </tpls>
      </query>
      <query mdx="[AIC Outcome].[Outcome].&amp;[Child maintenance received]">
        <tpls c="1">
          <tpl fld="5" item="120"/>
        </tpls>
      </query>
      <query mdx="[AIC Outcome].[Outcome].&amp;[Reasonable adjustment for disability - made]">
        <tpls c="1">
          <tpl fld="5" item="121"/>
        </tpls>
      </query>
      <query mdx="[AIC Outcome].[Outcome].&amp;[Bath - H2 possesion suspended]">
        <tpls c="1">
          <tpl fld="5" item="122"/>
        </tpls>
      </query>
      <query mdx="[AIC Outcome].[Outcome].&amp;[Unfair practice remedy - success]">
        <tpls c="1">
          <tpl fld="5" item="123"/>
        </tpls>
      </query>
      <query mdx="[AIC Outcome].[Outcome].&amp;[Reasonable adjustment for disability - refused]">
        <tpls c="1">
          <tpl fld="5" item="124"/>
        </tpls>
      </query>
      <query mdx="[AIC Outcome].[Outcome].&amp;[Discrimination remedy – unsuccessful]">
        <tpls c="1">
          <tpl fld="5" item="125"/>
        </tpls>
      </query>
      <query mdx="[AIC Outcome].[Outcome].&amp;[Bath - H3 eviction prevented]">
        <tpls c="1">
          <tpl fld="5" item="126"/>
        </tpls>
      </query>
      <query mdx="[AIC Outcome].[Outcome].&amp;[East End (Hackney) attend a training session on affordable financial services and products]">
        <tpls c="1">
          <tpl fld="5" item="127"/>
        </tpls>
      </query>
      <query mdx="[AIC Outcome].[Outcome].&amp;[Application made to energy trust fund]">
        <tpls c="1">
          <tpl fld="5" item="128"/>
        </tpls>
      </query>
      <query mdx="[AIC Outcome].[Outcome].&amp;[Reference refused]">
        <tpls c="1">
          <tpl fld="5" item="129"/>
        </tpls>
      </query>
      <query mdx="[AIC Outcome].[Outcome].&amp;[Taunton Other Grant]">
        <tpls c="1">
          <tpl fld="5" item="130"/>
        </tpls>
      </query>
      <query mdx="[AIC Outcome].[Outcome].&amp;[South Liverpool - Positive Contribution - 3.1 - Confidence, choice, control &amp; involvement]">
        <tpls c="1">
          <tpl fld="5" item="131"/>
        </tpls>
      </query>
      <query mdx="[AIC Outcome].[Outcome].&amp;[Referred to RAFBF for further assistance]">
        <tpls c="1">
          <tpl fld="5" item="132"/>
        </tpls>
      </query>
      <query mdx="[AIC Outcome].[Outcome].&amp;[Lost document returned / replaced - successful]">
        <tpls c="1">
          <tpl fld="5" item="133"/>
        </tpls>
      </query>
      <query mdx="[AIC Outcome].[Outcome].&amp;[Business not found or ceased trading]">
        <tpls c="1">
          <tpl fld="5" item="134"/>
        </tpls>
      </query>
      <query mdx="[AIC Outcome].[Outcome].&amp;[Walsall NC - GP Registration]">
        <tpls c="1">
          <tpl fld="5" item="135"/>
        </tpls>
      </query>
      <query mdx="[AIC Outcome].[Outcome].&amp;[Home care/aids/adaptations obtained]">
        <tpls c="1">
          <tpl fld="5" item="136"/>
        </tpls>
      </query>
      <query mdx="[AIC Outcome].[Outcome].&amp;[South Liverpool - Stay Safe - 4.4 - Self harm/Stress - Harm/risk to others]">
        <tpls c="1">
          <tpl fld="5" item="137"/>
        </tpls>
      </query>
      <query mdx="[AIC Outcome].[Outcome].&amp;[Negotiation with creditors by Debt Adviser]">
        <tpls c="1">
          <tpl fld="5" item="138"/>
        </tpls>
      </query>
      <query mdx="[AIC Outcome].[Outcome].&amp;[North Liverpool - Be Healthy - 1.1 - Manage physical health]">
        <tpls c="1">
          <tpl fld="5" item="139"/>
        </tpls>
      </query>
      <query mdx="[AIC Outcome].[Outcome].&amp;[South Liverpool - Enjoy &amp; Achieve - 2.2 - Leisure/cultural &amp; faith]">
        <tpls c="1">
          <tpl fld="5" item="140"/>
        </tpls>
      </query>
      <query mdx="[AIC Outcome].[Outcome].&amp;[Insurance taken out]">
        <tpls c="1">
          <tpl fld="5" item="141"/>
        </tpls>
      </query>
      <query mdx="[AIC Outcome].[Type Of Outcome].[All]">
        <tpls c="1">
          <tpl hier="14" item="4294967295"/>
        </tpls>
      </query>
      <query mdx="[AIC Outcome].[Outcome].&amp;[Creditor action stopped/suspended/prevented]">
        <tpls c="1">
          <tpl fld="5" item="142"/>
        </tpls>
      </query>
      <query mdx="[AIC Outcome].[Outcome].&amp;[Claim or complaint - unsuccessful]">
        <tpls c="1">
          <tpl fld="5" item="143"/>
        </tpls>
      </query>
      <query mdx="[AIC Outcome].[Outcome].&amp;[Southwark - Energy Savings Referrals]">
        <tpls c="1">
          <tpl fld="5" item="144"/>
        </tpls>
      </query>
      <query mdx="[AIC Outcome].[Outcome].&amp;[Referred for energy efficiency advice]">
        <tpls c="1">
          <tpl fld="5" item="145"/>
        </tpls>
      </query>
      <query mdx="[AIC Outcome].[Outcome].&amp;[Grievance or complaint rejected]">
        <tpls c="1">
          <tpl fld="5" item="146"/>
        </tpls>
      </query>
      <query mdx="[AIC Outcome].[Outcome].&amp;[Walsall NHS - Non-specific referral]">
        <tpls c="1">
          <tpl fld="5" item="147"/>
        </tpls>
      </query>
      <query mdx="[AIC Outcome].[Outcome].&amp;[Right to benefits secured]">
        <tpls c="1">
          <tpl fld="5" item="148"/>
        </tpls>
      </query>
      <query mdx="[AIC Outcome].[Outcome].&amp;[Legal aid obtained - successful]">
        <tpls c="1">
          <tpl fld="5" item="149"/>
        </tpls>
      </query>
      <query mdx="[AIC Outcome].[Outcome].&amp;[Complaint resolved]">
        <tpls c="1">
          <tpl fld="5" item="150"/>
        </tpls>
      </query>
      <query mdx="[AIC Outcome].[Outcome].&amp;[Financial gain/improvement]">
        <tpls c="1">
          <tpl fld="5" item="151"/>
        </tpls>
      </query>
      <query mdx="[AIC Outcome].[Outcome].&amp;[Challenge to disciplinary - unsuccessful]">
        <tpls c="1">
          <tpl fld="5" item="152"/>
        </tpls>
      </query>
      <query mdx="[AIC Outcome].[Outcome].&amp;[Tax - other (financial gain)]">
        <tpls c="1">
          <tpl fld="5" item="153"/>
        </tpls>
      </query>
      <query mdx="[AIC Outcome].[Outcome].&amp;[Insurance pay-out]">
        <tpls c="1">
          <tpl fld="5" item="154"/>
        </tpls>
      </query>
      <query mdx="[AIC Outcome].[Outcome].&amp;[Croydon HAP – Settled accommodation secured]">
        <tpls c="1">
          <tpl fld="5" item="155"/>
        </tpls>
      </query>
      <query mdx="[AIC Outcome].[Outcome].&amp;[Not liable for debt]">
        <tpls c="1">
          <tpl fld="5" item="156"/>
        </tpls>
      </query>
      <query mdx="[AIC Outcome].[Outcome].&amp;[Walsall NC - Other Health Referral]">
        <tpls c="1">
          <tpl fld="5" item="157"/>
        </tpls>
      </query>
      <query mdx="[AIC Outcome].[Outcome].&amp;[Criminal proceedings completed]">
        <tpls c="1">
          <tpl fld="5" item="158"/>
        </tpls>
      </query>
      <query mdx="[AIC Outcome].[Outcome].&amp;[Refund / Cancellation rights - successfully used]">
        <tpls c="1">
          <tpl fld="5" item="159"/>
        </tpls>
      </query>
      <query mdx="[AIC Outcome].[Outcome].&amp;[Enforcement action taken]">
        <tpls c="1">
          <tpl fld="5" item="160"/>
        </tpls>
      </query>
      <query mdx="[AIC Outcome].[Outcome].&amp;[DRO - debt relief order]">
        <tpls c="1">
          <tpl fld="5" item="161"/>
        </tpls>
      </query>
      <query mdx="[AIC Outcome].[Outcome].&amp;[Referred to telephone provider for debt solution]">
        <tpls c="1">
          <tpl fld="5" item="162"/>
        </tpls>
      </query>
      <query mdx="[AIC Outcome].[AIC Part1].&amp;[Consumer goods &amp; services]">
        <tpls c="1">
          <tpl fld="3" item="1"/>
        </tpls>
      </query>
      <query mdx="[AIC Outcome].[Outcome].&amp;[collection action stopped/suspended/prevented]">
        <tpls c="1">
          <tpl fld="5" item="163"/>
        </tpls>
      </query>
      <query mdx="[AIC Outcome].[Outcome].&amp;[Contact arrangements - disputed]">
        <tpls c="1">
          <tpl fld="5" item="164"/>
        </tpls>
      </query>
      <query mdx="[AIC Outcome].[Outcome].&amp;[Harassment or neighbour dispute resolved]">
        <tpls c="1">
          <tpl fld="5" item="165"/>
        </tpls>
      </query>
      <query mdx="[AIC Outcome].[Outcome].&amp;[DRO]">
        <tpls c="1">
          <tpl fld="5" item="166"/>
        </tpls>
      </query>
      <query mdx="[AIC Outcome].[Outcome].&amp;[Goods or services provided]">
        <tpls c="1">
          <tpl fld="5" item="167"/>
        </tpls>
      </query>
      <query mdx="[AIC Outcome].[Outcome].&amp;[North Liverpool 6.1 Improve or maintain self-respect]">
        <tpls c="1">
          <tpl fld="5" item="168"/>
        </tpls>
      </query>
      <query mdx="[AIC Outcome].[Outcome].&amp;[East End (Hackney) use mainstream financial services including credit]">
        <tpls c="1">
          <tpl fld="5" item="169"/>
        </tpls>
      </query>
      <query mdx="[AIC Outcome].[Outcome].&amp;[Able to access / engage in community activities]">
        <tpls c="1">
          <tpl fld="5" item="170"/>
        </tpls>
      </query>
      <query mdx="[AIC Outcome].[Outcome].&amp;[Action taken to redress under-occupation]">
        <tpls c="1">
          <tpl fld="5" item="171"/>
        </tpls>
      </query>
      <query mdx="[AIC Outcome].[Outcome].&amp;[Reasonable adjustment made for disabled client]">
        <tpls c="1">
          <tpl fld="5" item="172"/>
        </tpls>
      </query>
      <query mdx="[AIC Outcome].[Outcome].&amp;[Compensation or remedy agreed by settlement]">
        <tpls c="1">
          <tpl fld="5" item="173"/>
        </tpls>
      </query>
      <query mdx="[AIC Outcome].[Outcome].&amp;[Civil penalty challenged and repaid]">
        <tpls c="1">
          <tpl fld="5" item="174"/>
        </tpls>
      </query>
      <query mdx="[AIC Outcome].[Outcome].&amp;[Financial situation stabilised / debts under control]">
        <tpls c="1">
          <tpl fld="5" item="175"/>
        </tpls>
      </query>
      <query mdx="[AIC Outcome].[Outcome].&amp;[East Staffordshire - ALES Satisfaction]">
        <tpls c="1">
          <tpl fld="5" item="176"/>
        </tpls>
      </query>
      <query mdx="[AIC Outcome].[Outcome].&amp;[South Liverpool - Be Healthy - 1.2 - Manage mental health]">
        <tpls c="1">
          <tpl fld="5" item="177"/>
        </tpls>
      </query>
      <query mdx="[AIC Outcome].[Outcome].&amp;[Oxfordshire South &amp; Vale: Non-financial gain - goods]">
        <tpls c="1">
          <tpl fld="5" item="178"/>
        </tpls>
      </query>
      <query mdx="[AIC Outcome].[Outcome].&amp;[Oxfordshire South &amp; Vale: Financial gain - benefits]">
        <tpls c="1">
          <tpl fld="5" item="179"/>
        </tpls>
      </query>
      <query mdx="[AIC Outcome].[Outcome].&amp;[Bath - H6 notice to quit prevented]">
        <tpls c="1">
          <tpl fld="5" item="180"/>
        </tpls>
      </query>
      <query mdx="[AIC Outcome].[Outcome].&amp;[Tax rebate]">
        <tpls c="1">
          <tpl fld="5" item="181"/>
        </tpls>
      </query>
      <query mdx="[AIC Outcome].[Outcome].&amp;[Financial assistance - loans]">
        <tpls c="1">
          <tpl fld="5" item="182"/>
        </tpls>
      </query>
      <query mdx="[AIC Outcome].[Outcome].&amp;[East Staffordshire - ALES Signposting]">
        <tpls c="1">
          <tpl fld="5" item="183"/>
        </tpls>
      </query>
      <query mdx="[AIC Outcome].[Outcome].&amp;[Admission appeal - unsuccessful]">
        <tpls c="1">
          <tpl fld="5" item="184"/>
        </tpls>
      </query>
      <query mdx="[AIC Outcome].[Outcome].&amp;[Homelessness prevented - remained in home]">
        <tpls c="1">
          <tpl fld="5" item="185"/>
        </tpls>
      </query>
      <query mdx="[AIC Outcome].[AIC Part1].&amp;[Debt]">
        <tpls c="1">
          <tpl fld="3" item="2"/>
        </tpls>
      </query>
      <query mdx="[AIC Outcome].[Outcome].&amp;[Lewes District - Identified need for specialist advice]">
        <tpls c="1">
          <tpl fld="5" item="186"/>
        </tpls>
      </query>
      <query mdx="[AIC Outcome].[Outcome].&amp;[Benefit / tax credit maintained]">
        <tpls c="1">
          <tpl fld="5" item="187"/>
        </tpls>
      </query>
      <query mdx="[AIC Outcome].[Outcome].&amp;[Cancellation - successful]">
        <tpls c="1">
          <tpl fld="5" item="188"/>
        </tpls>
      </query>
      <query mdx="[AIC Outcome].[Outcome].&amp;[Grievance upheld by employer]">
        <tpls c="1">
          <tpl fld="5" item="189"/>
        </tpls>
      </query>
      <query mdx="[AIC Outcome].[Outcome].&amp;[Redbridge - LBR Mortgage/ Debt]">
        <tpls c="1">
          <tpl fld="5" item="190"/>
        </tpls>
      </query>
      <query mdx="[AIC Outcome].[Outcome].&amp;[Wiltshire - Wessex Water Assist]">
        <tpls c="1">
          <tpl fld="5" item="191"/>
        </tpls>
      </query>
      <query mdx="[AIC Outcome].[Outcome].&amp;[Feedback passed to third party]">
        <tpls c="1">
          <tpl fld="5" item="192"/>
        </tpls>
      </query>
      <query mdx="[AIC Outcome].[Outcome].&amp;[Oxfordshire South &amp; Vale: Housing  -rent arrears managed]">
        <tpls c="1">
          <tpl fld="5" item="193"/>
        </tpls>
      </query>
      <query mdx="[AIC Outcome].[Outcome].&amp;[South Gloucestershire - Wessex Water Form Submitted]">
        <tpls c="1">
          <tpl fld="5" item="194"/>
        </tpls>
      </query>
      <query mdx="[AIC Outcome].[Outcome].&amp;[Detention prevented / Client released]">
        <tpls c="1">
          <tpl fld="5" item="195"/>
        </tpls>
      </query>
      <query mdx="[AIC Outcome].[Outcome].&amp;[Uttlesford - BTU Project - Reduced Isolation]">
        <tpls c="1">
          <tpl fld="5" item="196"/>
        </tpls>
      </query>
      <query mdx="[AIC Outcome].[Outcome].&amp;[Repayment negotiated]">
        <tpls c="1">
          <tpl fld="5" item="197"/>
        </tpls>
      </query>
      <query mdx="[AIC Outcome].[Outcome].&amp;[Self help]">
        <tpls c="1">
          <tpl fld="5" item="198"/>
        </tpls>
      </query>
      <query mdx="[AIC Outcome].[Outcome].&amp;[Walsall NC - ESOL Referral]">
        <tpls c="1">
          <tpl fld="5" item="199"/>
        </tpls>
      </query>
      <query mdx="[AIC Outcome].[Outcome].&amp;[Tax coding corrected]">
        <tpls c="1">
          <tpl fld="5" item="200"/>
        </tpls>
      </query>
      <query mdx="[AIC Outcome].[Outcome].&amp;[DMP - debt management plan]">
        <tpls c="1">
          <tpl fld="5" item="201"/>
        </tpls>
      </query>
      <query mdx="[AIC Outcome].[Outcome].&amp;[Walsall  NHS - Healthy Weight]">
        <tpls c="1">
          <tpl fld="5" item="202"/>
        </tpls>
      </query>
      <query mdx="[AIC Outcome].[Outcome].&amp;[Better deal with same supplier]">
        <tpls c="1">
          <tpl fld="5" item="203"/>
        </tpls>
      </query>
      <query mdx="[AIC Outcome].[Outcome].&amp;[East End (Hackney) CV apply for jobs and enter the jobs market]">
        <tpls c="1">
          <tpl fld="5" item="204"/>
        </tpls>
      </query>
      <query mdx="[AIC Outcome].[Outcome].&amp;[Rutland - Homelessness Prevention]">
        <tpls c="1">
          <tpl fld="5" item="205"/>
        </tpls>
      </query>
      <query mdx="[AIC Outcome].[Outcome].&amp;[Blue badge - denied]">
        <tpls c="1">
          <tpl fld="5" item="206"/>
        </tpls>
      </query>
      <query mdx="[AIC Outcome].[Outcome].&amp;[Pension plan made]">
        <tpls c="1">
          <tpl fld="5" item="207"/>
        </tpls>
      </query>
      <query mdx="[AIC Outcome].[Outcome].&amp;[Greater choice and/or involvement and/or control of services]">
        <tpls c="1">
          <tpl fld="5" item="208"/>
        </tpls>
      </query>
      <query mdx="[AIC Outcome].[Outcome].&amp;[Application made to govt scheme for financial help/energy efficiency measures]">
        <tpls c="1">
          <tpl fld="5" item="209"/>
        </tpls>
      </query>
      <query mdx="[AIC Outcome].[Outcome].&amp;[F2F - Referral to other sources of advice]">
        <tpls c="1">
          <tpl fld="5" item="210"/>
        </tpls>
      </query>
      <query mdx="[AIC Outcome].[Outcome].&amp;[Disputed fine / charge / action - unsuccessful]">
        <tpls c="1">
          <tpl fld="5" item="211"/>
        </tpls>
      </query>
      <query mdx="[AIC Outcome].[Outcome].&amp;[Salford District - BLCC 2 Decreased Social Isolation and Improved ability to Take Part in Daily Life]">
        <tpls c="1">
          <tpl fld="5" item="212"/>
        </tpls>
      </query>
      <query mdx="[AIC Outcome].[Outcome].&amp;[Cancellation - unsuccessful]">
        <tpls c="1">
          <tpl fld="5" item="213"/>
        </tpls>
      </query>
      <query mdx="[AIC Outcome].[Outcome].&amp;[Tunbridge Wells and District QBC]">
        <tpls c="1">
          <tpl fld="5" item="214"/>
        </tpls>
      </query>
      <query mdx="[AIC Outcome].[Outcome].&amp;[Bath - Bath Municipal Charities Grant]">
        <tpls c="1">
          <tpl fld="5" item="215"/>
        </tpls>
      </query>
      <query mdx="[AIC Outcome].[Outcome].&amp;[Settled accomm secured (not under a homelessness duty)]">
        <tpls c="1">
          <tpl fld="5" item="216"/>
        </tpls>
      </query>
      <query mdx="[AIC Outcome].[Outcome].&amp;[Blue badge - obtained]">
        <tpls c="1">
          <tpl fld="5" item="217"/>
        </tpls>
      </query>
      <query mdx="[AIC Outcome].[Outcome].&amp;[Taunton Heritage Trust]">
        <tpls c="1">
          <tpl fld="5" item="218"/>
        </tpls>
      </query>
      <query mdx="[AIC Outcome].[Outcome].&amp;[Discrimination remedy – successful]">
        <tpls c="1">
          <tpl fld="5" item="219"/>
        </tpls>
      </query>
      <query mdx="[AIC Outcome].[Outcome].&amp;[Bath - H7 homelessness prevented]">
        <tpls c="1">
          <tpl fld="5" item="220"/>
        </tpls>
      </query>
      <query mdx="[AIC Outcome].[Outcome].&amp;[North Somerset - NSCAB FunderFinder]">
        <tpls c="1">
          <tpl fld="5" item="221"/>
        </tpls>
      </query>
      <query mdx="[AIC Outcome].[Outcome].&amp;[UC: Alternative Payment Arrangement agreed]">
        <tpls c="1">
          <tpl fld="5" item="222"/>
        </tpls>
      </query>
      <query mdx="[AIC Outcome].[Outcome].&amp;[IVA - Individual Voluntary Agreement]">
        <tpls c="1">
          <tpl fld="5" item="223"/>
        </tpls>
      </query>
      <query mdx="[AIC Outcome].[Outcome].&amp;[Will /probate outcomes - unsuccessful]">
        <tpls c="1">
          <tpl fld="5" item="224"/>
        </tpls>
      </query>
      <query mdx="[AIC Outcome].[Outcome].&amp;[Remortgage / Consolidation loan]">
        <tpls c="1">
          <tpl fld="5" item="225"/>
        </tpls>
      </query>
      <query mdx="[AIC Outcome].[Outcome].&amp;[West Oxfordshire: Homelessness delayed]">
        <tpls c="1">
          <tpl fld="5" item="226"/>
        </tpls>
      </query>
      <query mdx="[AIC Outcome].[Outcome].&amp;[Other (financial)]">
        <tpls c="1">
          <tpl fld="5" item="227"/>
        </tpls>
      </query>
      <query mdx="[Monthly Calendar Outcome Date].[Financial].[Year].&amp;[2013-14]">
        <tpls c="1">
          <tpl fld="8" item="0"/>
        </tpls>
      </query>
      <query mdx="[AIC Outcome].[Outcome].&amp;[Walsall NHS - MH and Wellbeing]">
        <tpls c="1">
          <tpl fld="5" item="228"/>
        </tpls>
      </query>
      <query mdx="[AIC Outcome].[Outcome].&amp;[Discriminatory practice/policy/decision changed]">
        <tpls c="1">
          <tpl fld="5" item="229"/>
        </tpls>
      </query>
      <query mdx="[AIC Outcome].[Outcome].&amp;[Client successfully referred to mediation]">
        <tpls c="1">
          <tpl fld="5" item="230"/>
        </tpls>
      </query>
      <query mdx="[AIC Outcome].[Outcome].&amp;[Peterborough Food Voucher]">
        <tpls c="1">
          <tpl fld="5" item="231"/>
        </tpls>
      </query>
      <query mdx="[AIC Outcome].[Outcome].&amp;[Mediation or conciliation unsuccessful]">
        <tpls c="1">
          <tpl fld="5" item="232"/>
        </tpls>
      </query>
      <query mdx="[AIC Outcome].[Outcome].&amp;[Croydon HAP – Other – Disrepair]">
        <tpls c="1">
          <tpl fld="5" item="233"/>
        </tpls>
      </query>
      <query mdx="[AIC Outcome].[Outcome].&amp;[Funeral costs paid / part paid]">
        <tpls c="1">
          <tpl fld="5" item="234"/>
        </tpls>
      </query>
      <query mdx="[AIC Outcome].[Outcome].&amp;[Salford District - BLCC 4 Improved Mental Health and Wellbeing]">
        <tpls c="1">
          <tpl fld="5" item="235"/>
        </tpls>
      </query>
      <query mdx="[AIC Outcome].[Outcome].&amp;[Flexible working hours agreed]">
        <tpls c="1">
          <tpl fld="5" item="236"/>
        </tpls>
      </query>
      <query mdx="[AIC Outcome].[Outcome].&amp;[North Liverpool - Economic Wellbeing - 5.1 - Welfare benefits]">
        <tpls c="1">
          <tpl fld="5" item="237"/>
        </tpls>
      </query>
      <query mdx="[AIC Outcome].[Outcome].&amp;[Buckingham Winslow &amp; District - Court Desk]">
        <tpls c="1">
          <tpl fld="5" item="238"/>
        </tpls>
      </query>
      <query mdx="[AIC Outcome].[Outcome].&amp;[Homelessness averted (under a homelessness duty)]">
        <tpls c="1">
          <tpl fld="5" item="239"/>
        </tpls>
      </query>
      <query mdx="[AIC Outcome].[Outcome].&amp;[Tunbridge Wells and District Understanding improved]">
        <tpls c="1">
          <tpl fld="5" item="240"/>
        </tpls>
      </query>
      <query mdx="[AIC Outcome].[Outcome].&amp;[Benefit / tax credit loss]">
        <tpls c="1">
          <tpl fld="5" item="241"/>
        </tpls>
      </query>
      <query mdx="[AIC Outcome].[Outcome].&amp;[Compensation - awarded]">
        <tpls c="1">
          <tpl fld="5" item="242"/>
        </tpls>
      </query>
      <query mdx="[AIC Outcome].[Outcome].&amp;[Disputed fine / charge / action - successful]">
        <tpls c="1">
          <tpl fld="5" item="243"/>
        </tpls>
      </query>
      <query mdx="[AIC Outcome].[Outcome].&amp;[Full and final settlement]">
        <tpls c="1">
          <tpl fld="5" item="244"/>
        </tpls>
      </query>
      <query mdx="[AIC Outcome].[Outcome].&amp;[Benefit / tax credit gain - overpayment reduced or not recovered]">
        <tpls c="1">
          <tpl fld="5" item="245"/>
        </tpls>
      </query>
      <query mdx="[AIC Outcome].[Outcome].&amp;[Benefit / tax credit gain - Compensation / &quot;ex-gratia&quot; payment]">
        <tpls c="1">
          <tpl fld="5" item="246"/>
        </tpls>
      </query>
      <query mdx="[AIC Outcome].[Outcome].&amp;[Bankruptcy]">
        <tpls c="1">
          <tpl fld="5" item="247"/>
        </tpls>
      </query>
      <query mdx="[AIC Outcome].[Outcome].&amp;[Other. Please specify _________________________]">
        <tpls c="1">
          <tpl fld="5" item="248"/>
        </tpls>
      </query>
      <query mdx="[AIC Outcome].[Outcome].&amp;[Croydon - HAP - Income Raised/Grant Secured]">
        <tpls c="1">
          <tpl fld="5" item="249"/>
        </tpls>
      </query>
      <query mdx="[AIC Outcome].[Outcome].&amp;[Herefordshire WWCAF award]">
        <tpls c="1">
          <tpl fld="5" item="250"/>
        </tpls>
      </query>
      <query mdx="[AIC Outcome].[Outcome].&amp;[Utility meter installed / moved / recalibrated]">
        <tpls c="1">
          <tpl fld="5" item="251"/>
        </tpls>
      </query>
      <query mdx="[AIC Outcome].[Outcome].&amp;[South Liverpool - Be Healthy - 1.4 - Aids, adaptations &amp; assisted technology]">
        <tpls c="1">
          <tpl fld="5" item="252"/>
        </tpls>
      </query>
      <query mdx="[AIC Outcome].[Outcome].&amp;[Southwark - British Gas Grant]">
        <tpls c="1">
          <tpl fld="5" item="253"/>
        </tpls>
      </query>
      <query mdx="[AIC Outcome].[Outcome].&amp;[Harassment or bullying continues]">
        <tpls c="1">
          <tpl fld="5" item="254"/>
        </tpls>
      </query>
      <query mdx="[AIC Outcome].[Outcome].&amp;[Chiltern - Sick Poor]">
        <tpls c="1">
          <tpl fld="5" item="255"/>
        </tpls>
      </query>
      <query mdx="[AIC Outcome].[Outcome].&amp;[Income maximisation]">
        <tpls c="1">
          <tpl fld="5" item="256"/>
        </tpls>
      </query>
      <query mdx="[AIC Outcome].[Outcome].&amp;[Benefit / tax credit loan agreed]">
        <tpls c="1">
          <tpl fld="5" item="257"/>
        </tpls>
      </query>
      <query mdx="[AIC Outcome].[Outcome].&amp;[Benefit / tax credit gain - social fund awarded]">
        <tpls c="1">
          <tpl fld="5" item="258"/>
        </tpls>
      </query>
      <query mdx="[AIC Outcome].[Outcome].&amp;[Leeds - Debt Managed]">
        <tpls c="1">
          <tpl fld="5" item="259"/>
        </tpls>
      </query>
      <query mdx="[AIC Outcome].[Outcome].&amp;[Buckingham Winslow &amp; District - Home Visiting]">
        <tpls c="1">
          <tpl fld="5" item="260"/>
        </tpls>
      </query>
      <query mdx="[AIC Outcome].[Outcome].&amp;[South Liverpool - Economic Wellbeing - 5.2 - Debt]">
        <tpls c="1">
          <tpl fld="5" item="261"/>
        </tpls>
      </query>
      <query mdx="[AIC Outcome].[Outcome].&amp;[Salford District - HWB 6 Enabled Clients  to live in usual place of residence]">
        <tpls c="1">
          <tpl fld="5" item="262"/>
        </tpls>
      </query>
      <query mdx="[AIC Outcome].[Outcome].&amp;[Croydon HAP – Other – Part VII (including reviews)]">
        <tpls c="1">
          <tpl fld="5" item="263"/>
        </tpls>
      </query>
      <query mdx="[AIC Outcome].[Outcome].&amp;[Salford District - HWB 4 Reduction in Reliance on Statutory Health and Social Care  Services]">
        <tpls c="1">
          <tpl fld="5" item="264"/>
        </tpls>
      </query>
      <query mdx="[AIC Outcome].[Outcome].&amp;[Health/social care charges reduced or eliminated]">
        <tpls c="1">
          <tpl fld="5" item="265"/>
        </tpls>
      </query>
      <query mdx="[AIC Outcome].[Outcome].&amp;[Crime prosecuted]">
        <tpls c="1">
          <tpl fld="5" item="266"/>
        </tpls>
      </query>
      <query mdx="[AIC Outcome].[Outcome].&amp;[Token payments]">
        <tpls c="1">
          <tpl fld="5" item="267"/>
        </tpls>
      </query>
      <query mdx="[AIC Outcome].[Outcome].&amp;[South Liverpool 5.1 Maximise income including receipt of the right benefit]">
        <tpls c="1">
          <tpl fld="5" item="268"/>
        </tpls>
      </query>
      <query mdx="[AIC Outcome].[Outcome].&amp;[Savings plan made]">
        <tpls c="1">
          <tpl fld="5" item="269"/>
        </tpls>
      </query>
      <query mdx="[AIC Outcome].[Outcome].&amp;[Bath - NHS Low Income Scheme]">
        <tpls c="1">
          <tpl fld="5" item="270"/>
        </tpls>
      </query>
      <query mdx="[AIC Outcome].[Outcome].&amp;[Chiltern - Madge Fund]">
        <tpls c="1">
          <tpl fld="5" item="271"/>
        </tpls>
      </query>
      <query mdx="[AIC Outcome].[Outcome].&amp;[F2F - Referral to telephone debt advice]">
        <tpls c="1">
          <tpl fld="5" item="272"/>
        </tpls>
      </query>
      <query mdx="[AIC Outcome].[Outcome].&amp;[Tunbridge Wells and District Benefit estimate claim assisted by bureau]">
        <tpls c="1">
          <tpl fld="5" item="273"/>
        </tpls>
      </query>
      <query mdx="[AIC Outcome].[Outcome].&amp;[Salford District - HWB 3 Decreased Social Isolation and Improved ability to Take Part in Daily Life]">
        <tpls c="1">
          <tpl fld="5" item="274"/>
        </tpls>
      </query>
      <query mdx="[AIC Outcome].[Outcome].&amp;[ADR - used successfully]">
        <tpls c="1">
          <tpl fld="5" item="275"/>
        </tpls>
      </query>
      <query mdx="[AIC Outcome].[Outcome].&amp;[Free or reduced charges/costs]">
        <tpls c="1">
          <tpl fld="5" item="276"/>
        </tpls>
      </query>
      <query mdx="[AIC Outcome].[Outcome].&amp;[Taunton Wilton Trust]">
        <tpls c="1">
          <tpl fld="5" item="277"/>
        </tpls>
      </query>
      <query mdx="[AIC Outcome].[Outcome].&amp;[Ancillary relief - unsuccessful]">
        <tpls c="1">
          <tpl fld="5" item="278"/>
        </tpls>
      </query>
      <query mdx="[AIC Outcome].[Outcome].&amp;[Referral to other advice/support]">
        <tpls c="1">
          <tpl fld="5" item="279"/>
        </tpls>
      </query>
      <query mdx="[AIC Outcome].[Outcome].&amp;[Section 4 payments]">
        <tpls c="1">
          <tpl fld="5" item="280"/>
        </tpls>
      </query>
      <query mdx="[AIC Outcome].[Outcome].&amp;[Benefit cap or under-occupation - action taken to mitigate]">
        <tpls c="1">
          <tpl fld="5" item="281"/>
        </tpls>
      </query>
      <query mdx="[AIC Outcome].[Outcome].&amp;[Ancillary relief - successful]">
        <tpls c="1">
          <tpl fld="5" item="282"/>
        </tpls>
      </query>
      <query mdx="[AIC Outcome].[Outcome].&amp;[Taunton Local Assistance Scheme]">
        <tpls c="1">
          <tpl fld="5" item="283"/>
        </tpls>
      </query>
      <query mdx="[AIC Outcome].[Outcome].&amp;[Tunbridge Wells and District - IVA set up]">
        <tpls c="1">
          <tpl fld="5" item="284"/>
        </tpls>
      </query>
      <query mdx="[AIC Outcome].[Outcome].&amp;[Financial gain]">
        <tpls c="1">
          <tpl fld="5" item="285"/>
        </tpls>
      </query>
      <query mdx="[AIC Outcome].[Outcome].&amp;[Sherwood and Newark - HOMELESSNESS PREVENTED: Other Social RP's]">
        <tpls c="1">
          <tpl fld="5" item="286"/>
        </tpls>
      </query>
      <query mdx="[AIC Outcome].[Outcome].&amp;[Tax return completed]">
        <tpls c="1">
          <tpl fld="5" item="287"/>
        </tpls>
      </query>
      <query mdx="[AIC Outcome].[Outcome].&amp;[Administration / Composition order]">
        <tpls c="1">
          <tpl fld="5" item="288"/>
        </tpls>
      </query>
      <query mdx="[AIC Outcome].[Outcome].&amp;[Improvement in life skills]">
        <tpls c="1">
          <tpl fld="5" item="289"/>
        </tpls>
      </query>
      <query mdx="[AIC Outcome].[Outcome].&amp;[Apology given]">
        <tpls c="1">
          <tpl fld="5" item="290"/>
        </tpls>
      </query>
      <query mdx="[AIC Outcome].[Outcome].&amp;[Croydon HAP – Delay of homelessness for between 1 and 5 months]">
        <tpls c="1">
          <tpl fld="5" item="291"/>
        </tpls>
      </query>
      <query mdx="[AIC Outcome].[Outcome].&amp;[Admission appeal - successful]">
        <tpls c="1">
          <tpl fld="5" item="292"/>
        </tpls>
      </query>
      <query mdx="[AIC Outcome].[Outcome].&amp;[Compensation or remedy awarded by court/tribunal]">
        <tpls c="1">
          <tpl fld="5" item="293"/>
        </tpls>
      </query>
      <query mdx="[AIC Outcome].[Outcome].&amp;[Sherwood and Newark - HOMELESSNESS PREVENTED: N&amp;S Homes]">
        <tpls c="1">
          <tpl fld="5" item="294"/>
        </tpls>
      </query>
      <query mdx="[AIC Outcome].[Outcome].&amp;[North Liverpool 4.3 Increased feelings of safety and/or reduced anxiety]">
        <tpls c="1">
          <tpl fld="5" item="295"/>
        </tpls>
      </query>
      <query mdx="[AIC Outcome].[Outcome].&amp;[Walsall NHS - Healthy Eating]">
        <tpls c="1">
          <tpl fld="5" item="296"/>
        </tpls>
      </query>
      <query mdx="[AIC Outcome].[Outcome].&amp;[Referred to RBL for further assistance]">
        <tpls c="1">
          <tpl fld="5" item="297"/>
        </tpls>
      </query>
      <query mdx="[AIC Outcome].[Outcome].&amp;[Financial assistance - associated costs, FSM, uniform, trips, books, travel]">
        <tpls c="1">
          <tpl fld="5" item="298"/>
        </tpls>
      </query>
      <query mdx="[AIC Outcome].[Outcome].&amp;[Administration order with composition order]">
        <tpls c="1">
          <tpl fld="5" item="299"/>
        </tpls>
      </query>
      <query mdx="[AIC Outcome].[Outcome].&amp;[Risk assessment conducted]">
        <tpls c="1">
          <tpl fld="5" item="300"/>
        </tpls>
      </query>
      <query mdx="[AIC Outcome].[Outcome].&amp;[Uttlesford - BTU Project - Improved Quality of Life]">
        <tpls c="1">
          <tpl fld="5" item="301"/>
        </tpls>
      </query>
      <query mdx="[AIC Outcome].[Outcome].&amp;[complaint made]">
        <tpls c="1">
          <tpl fld="5" item="302"/>
        </tpls>
      </query>
      <query mdx="[AIC Outcome].[Outcome].&amp;[South Liverpool - Enjoy &amp; Achieve - 2.4 - External services/groups]">
        <tpls c="1">
          <tpl fld="5" item="303"/>
        </tpls>
      </query>
      <query mdx="[AIC Outcome].[Outcome].&amp;[Compensation ordered/agreed but unpaid]">
        <tpls c="1">
          <tpl fld="5" item="304"/>
        </tpls>
      </query>
      <query mdx="[AIC Outcome].[Outcome].&amp;[South Liverpool 2.3 Participate in chosen work like/voluntary/unpaid work activities]">
        <tpls c="1">
          <tpl fld="5" item="305"/>
        </tpls>
      </query>
      <query mdx="[AIC Outcome].[Outcome].&amp;[West Oxfordshire: Homelessness prevented - client stayed in home]">
        <tpls c="1">
          <tpl fld="5" item="306"/>
        </tpls>
      </query>
      <query mdx="[AIC Outcome].[Outcome].&amp;[Chiltern - Rotary]">
        <tpls c="1">
          <tpl fld="5" item="307"/>
        </tpls>
      </query>
      <query mdx="[AIC Outcome].[Outcome].&amp;[Appropriate service/ support obtained for client - successful]">
        <tpls c="1">
          <tpl fld="5" item="308"/>
        </tpls>
      </query>
      <query mdx="[AIC Outcome].[Outcome].&amp;[Discrimination remedy –  successful]">
        <tpls c="1">
          <tpl fld="5" item="309"/>
        </tpls>
      </query>
      <query mdx="[AIC Outcome].[Outcome].&amp;[Lewes District - Helped to make informed choice]">
        <tpls c="1">
          <tpl fld="5" item="310"/>
        </tpls>
      </query>
      <query mdx="[AIC Outcome].[Outcome].&amp;[Mediation successful]">
        <tpls c="1">
          <tpl fld="5" item="311"/>
        </tpls>
      </query>
      <query mdx="[AIC Outcome].[Financial Outcome Category].&amp;[Income gain]">
        <tpls c="1">
          <tpl fld="7" item="3"/>
        </tpls>
      </query>
      <query mdx="[AIC Outcome].[Financial Outcome Category].&amp;[Not recorded/not applicable]">
        <tpls c="1">
          <tpl fld="7" item="4"/>
        </tpls>
      </query>
      <query mdx="[AIC Outcome].[Outcome].&amp;[South Liverpool - Be Healthy - 1.1 - Manage physical health]">
        <tpls c="1">
          <tpl fld="5" item="312"/>
        </tpls>
      </query>
      <query mdx="[AIC Outcome].[Outcome].&amp;[East End (Hackney) CV or use IT jobsearch]">
        <tpls c="1">
          <tpl fld="5" item="313"/>
        </tpls>
      </query>
      <query mdx="[AIC Outcome].[Outcome].&amp;[South Liverpool - Stay Safe - 4.1 - Secure/obtain/maintain accom &amp; avoid eviction]">
        <tpls c="1">
          <tpl fld="5" item="314"/>
        </tpls>
      </query>
      <query mdx="[AIC Outcome].[Outcome].&amp;[Community Care assessment obtained]">
        <tpls c="1">
          <tpl fld="5" item="315"/>
        </tpls>
      </query>
      <query mdx="[AIC Outcome].[Outcome].&amp;[Indefinite leave]">
        <tpls c="1">
          <tpl fld="5" item="316"/>
        </tpls>
      </query>
      <query mdx="[AIC Outcome].[Outcome].&amp;[Health charges reduced or eliminated]">
        <tpls c="1">
          <tpl fld="5" item="317"/>
        </tpls>
      </query>
      <query mdx="[AIC Outcome].[Outcome].&amp;[East End (Hackney) use of online financial health check.]">
        <tpls c="1">
          <tpl fld="5" item="318"/>
        </tpls>
      </query>
      <query mdx="[AIC Outcome].[Outcome].&amp;[Referred to IVA provider]">
        <tpls c="1">
          <tpl fld="5" item="319"/>
        </tpls>
      </query>
      <query mdx="[AIC Outcome].[Outcome].&amp;[Croydon HAP – Prevention of homelessness for 6 months or more]">
        <tpls c="1">
          <tpl fld="5" item="320"/>
        </tpls>
      </query>
      <query mdx="[AIC Outcome].[Outcome].&amp;[Financial planning for the future]">
        <tpls c="1">
          <tpl fld="5" item="321"/>
        </tpls>
      </query>
      <query mdx="[AIC Outcome].[Outcome].&amp;[Court fees waived or refunded]">
        <tpls c="1">
          <tpl fld="5" item="322"/>
        </tpls>
      </query>
      <query mdx="[AIC Outcome].[Outcome].&amp;[Reduction/removal charges]">
        <tpls c="1">
          <tpl fld="5" item="323"/>
        </tpls>
      </query>
      <query mdx="[AIC Outcome].[Outcome].&amp;[Chiltern - CAB Fund]">
        <tpls c="1">
          <tpl fld="5" item="324"/>
        </tpls>
      </query>
      <query mdx="[AIC Outcome].[Outcome].&amp;[Charitable payment]">
        <tpls c="1">
          <tpl fld="5" item="325"/>
        </tpls>
      </query>
      <query mdx="[AIC Outcome].[Outcome].&amp;[Benefit cap exemption obtained]">
        <tpls c="1">
          <tpl fld="5" item="326"/>
        </tpls>
      </query>
      <query mdx="[AIC Outcome].[Outcome].&amp;[Public transport access - successful]">
        <tpls c="1">
          <tpl fld="5" item="327"/>
        </tpls>
      </query>
      <query mdx="[AIC Outcome].[Outcome].&amp;[Radar key]">
        <tpls c="1">
          <tpl fld="5" item="328"/>
        </tpls>
      </query>
      <query mdx="[AIC Outcome].[Outcome].&amp;[Claim or complaint - not possible]">
        <tpls c="1">
          <tpl fld="5" item="329"/>
        </tpls>
      </query>
      <query mdx="[AIC Outcome].[Outcome].&amp;[Walsall NHS - Smoking Cessation]">
        <tpls c="1">
          <tpl fld="5" item="330"/>
        </tpls>
      </query>
      <query mdx="[AIC Outcome].[Outcome].&amp;[Realising assets (excluding home)]">
        <tpls c="1">
          <tpl fld="5" item="331"/>
        </tpls>
      </query>
      <query mdx="[AIC Outcome].[Outcome].&amp;[North Liverpool - Economic Wellbeing - 5.2 - Debt]">
        <tpls c="1">
          <tpl fld="5" item="332"/>
        </tpls>
      </query>
      <query mdx="[AIC Outcome].[Outcome].&amp;[Annual increase in income]">
        <tpls c="1">
          <tpl fld="5" item="333"/>
        </tpls>
      </query>
      <query mdx="[AIC Outcome].[Outcome].&amp;[Client Represented in Court]">
        <tpls c="1">
          <tpl fld="5" item="334"/>
        </tpls>
      </query>
      <query mdx="[AIC Outcome].[Outcome].&amp;[Tunbridge Wells and District Appeal process started]">
        <tpls c="1">
          <tpl fld="5" item="335"/>
        </tpls>
      </query>
      <query mdx="[AIC Outcome].[Outcome].&amp;[Complaint successful]">
        <tpls c="1">
          <tpl fld="5" item="336"/>
        </tpls>
      </query>
      <query mdx="[AIC Outcome].[Outcome].&amp;[Contact arrangements - agreed]">
        <tpls c="1">
          <tpl fld="5" item="337"/>
        </tpls>
      </query>
      <query mdx="[AIC Outcome].[Outcome].&amp;[New tax liability identified]">
        <tpls c="1">
          <tpl fld="5" item="338"/>
        </tpls>
      </query>
      <query mdx="[AIC Outcome].[Outcome].&amp;[Unfair practice remedy - unsuccessful]">
        <tpls c="1">
          <tpl fld="5" item="339"/>
        </tpls>
      </query>
      <query mdx="[AIC Outcome].[Outcome].&amp;[Oxfordshire South &amp; Vale:  Financial - charitable grant]">
        <tpls c="1">
          <tpl fld="5" item="340"/>
        </tpls>
      </query>
      <query mdx="[AIC Outcome].[Outcome].&amp;[Uttlesford - BTU Project - Client Empowered]">
        <tpls c="1">
          <tpl fld="5" item="341"/>
        </tpls>
      </query>
      <query mdx="[AIC Outcome].[Outcome].&amp;[Legal aid obtained - unsuccessful]">
        <tpls c="1">
          <tpl fld="5" item="342"/>
        </tpls>
      </query>
      <query mdx="[AIC Outcome].[Outcome].&amp;[Refund / Repair / Replacement agreed/scheduled]">
        <tpls c="1">
          <tpl fld="5" item="343"/>
        </tpls>
      </query>
      <query mdx="[AIC Outcome].[Outcome].&amp;[Claimant Commitment amended]">
        <tpls c="1">
          <tpl fld="5" item="344"/>
        </tpls>
      </query>
      <query mdx="[AIC Outcome].[Outcome].&amp;[Bath - H1 possesion prevented]">
        <tpls c="1">
          <tpl fld="5" item="345"/>
        </tpls>
      </query>
      <query mdx="[AIC Outcome].[Outcome].&amp;[Financial assistance - fees &amp; maintenance grants/waivers]">
        <tpls c="1">
          <tpl fld="5" item="346"/>
        </tpls>
      </query>
      <query mdx="[AIC Outcome].[Outcome].&amp;[Sherwood and Newark - HOMELESSNESS PREVENTED: Private]">
        <tpls c="1">
          <tpl fld="5" item="347"/>
        </tpls>
      </query>
      <query mdx="[AIC Outcome].[Outcome].&amp;[Other Consumer Credit Act remedy]">
        <tpls c="1">
          <tpl fld="5" item="348"/>
        </tpls>
      </query>
      <query mdx="[AIC Outcome].[Outcome].&amp;[Able to participate in chosen training and/or education]">
        <tpls c="1">
          <tpl fld="5" item="349"/>
        </tpls>
      </query>
      <query mdx="[AIC Outcome].[Outcome].&amp;[Piper lifeline]">
        <tpls c="1">
          <tpl fld="5" item="350"/>
        </tpls>
      </query>
      <query mdx="[AIC Outcome].[Outcome].&amp;[LA intervened &amp; provided support - success]">
        <tpls c="1">
          <tpl fld="5" item="351"/>
        </tpls>
      </query>
      <query mdx="[AIC Outcome].[Outcome].&amp;[Stratford upon Avon and District - Debt Managed]">
        <tpls c="1">
          <tpl fld="5" item="352"/>
        </tpls>
      </query>
      <query mdx="[AIC Outcome].[Outcome].&amp;[Tunbridge Wells and District Increased wellbeing of client]">
        <tpls c="1">
          <tpl fld="5" item="353"/>
        </tpls>
      </query>
      <query mdx="[AIC Outcome].[Outcome].&amp;[Oxfordshire South &amp; Vale: Financial gain - fuel grant]">
        <tpls c="1">
          <tpl fld="5" item="354"/>
        </tpls>
      </query>
      <query mdx="[AIC Outcome].[Outcome].&amp;[Exclusion overturned]">
        <tpls c="1">
          <tpl fld="5" item="355"/>
        </tpls>
      </query>
      <query mdx="[AIC Outcome].[Outcome].&amp;[Reinstatement]">
        <tpls c="1">
          <tpl fld="5" item="356"/>
        </tpls>
      </query>
      <query mdx="[AIC Outcome].[Outcome].&amp;[Budgeting change]">
        <tpls c="1">
          <tpl fld="5" item="357"/>
        </tpls>
      </query>
      <query mdx="[AIC Outcome].[Outcome].&amp;[Gwynedd &amp; De Ynys Mon: Welsh Water/Dwr Cymru CAF - Accepted]">
        <tpls c="1">
          <tpl fld="5" item="358"/>
        </tpls>
      </query>
      <query mdx="[AIC Outcome].[Outcome].&amp;[Lewes District - Helped keep family together]">
        <tpls c="1">
          <tpl fld="5" item="359"/>
        </tpls>
      </query>
      <query mdx="[AIC Outcome].[Outcome].&amp;[Food Vouchers]">
        <tpls c="1">
          <tpl fld="5" item="360"/>
        </tpls>
      </query>
      <query mdx="[AIC Outcome].[Outcome].&amp;[North Liverpool 5.1 Maximise income including receipt of the right benefit]">
        <tpls c="1">
          <tpl fld="5" item="361"/>
        </tpls>
      </query>
      <query mdx="[AIC Outcome].[Outcome].&amp;[Property or management improved]">
        <tpls c="1">
          <tpl fld="5" item="362"/>
        </tpls>
      </query>
      <query mdx="[AIC Outcome].[Outcome].&amp;[Road tax exemption]">
        <tpls c="1">
          <tpl fld="5" item="363"/>
        </tpls>
      </query>
      <query mdx="[AIC Outcome].[Outcome].&amp;[Tunbridge Wells and District Client empowered]">
        <tpls c="1">
          <tpl fld="5" item="364"/>
        </tpls>
      </query>
      <query mdx="[AIC Outcome].[Outcome].&amp;[Sherwood and Newark - Mortgage repossession prevented]">
        <tpls c="1">
          <tpl fld="5" item="365"/>
        </tpls>
      </query>
      <query mdx="[AIC Outcome].[Outcome].&amp;[Uttlesford - BTU Project - Benefitted Others/Community]">
        <tpls c="1">
          <tpl fld="5" item="366"/>
        </tpls>
      </query>
      <query mdx="[AIC Outcome].[Outcome].&amp;[South Liverpool - Economic Wellbeing - 5.1 - Welfare benefits]">
        <tpls c="1">
          <tpl fld="5" item="367"/>
        </tpls>
      </query>
      <query mdx="[AIC Outcome].[Outcome].&amp;[Compensation - denied]">
        <tpls c="1">
          <tpl fld="5" item="368"/>
        </tpls>
      </query>
    </queryCache>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OnLoad="1" refreshedBy="John Willoughby" refreshedDate="42835.685420717593" backgroundQuery="1" createdVersion="4" refreshedVersion="4" minRefreshableVersion="3" recordCount="0" supportSubquery="1" supportAdvancedDrill="1">
  <cacheSource type="external" connectionId="1"/>
  <cacheFields count="16">
    <cacheField name="[Advice Event Type].[Advice Event Type].[Advice Event Type]" caption="Advice Event Type" numFmtId="0" level="1">
      <sharedItems containsSemiMixedTypes="0" containsString="0"/>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s>
  <cacheHierarchies count="114">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0"/>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9"/>
        <fieldUsage x="10"/>
        <fieldUsage x="11"/>
        <fieldUsage x="12"/>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1"/>
        <fieldUsage x="2"/>
        <fieldUsage x="3"/>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7"/>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OnLoad="1" refreshedBy="John Willoughby" refreshedDate="42835.685435995372" backgroundQuery="1" createdVersion="4" refreshedVersion="4" minRefreshableVersion="3" recordCount="0" supportSubquery="1" supportAdvancedDrill="1">
  <cacheSource type="external" connectionId="1"/>
  <cacheFields count="22">
    <cacheField name="[Measures].[Number of Advice Events]" caption="Number of Advice Events" numFmtId="0" hierarchy="112" level="32767"/>
    <cacheField name="[Measures].[Unique Client Count]" caption="Unique Client Count" numFmtId="0" hierarchy="113" level="32767"/>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Advice Event Type].[Advice Event Type].[Advice Event Type]" caption="Advice Event Type" numFmtId="0" level="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AIC Outcome].[AIC Part1].[AIC Part1]" caption="AIC Part1" numFmtId="0" hierarchy="2" level="1">
      <sharedItems count="16">
        <s v="[AIC Outcome].[AIC Part1].&amp;[Benefits &amp; tax credits]" c="Benefits &amp; tax credits"/>
        <s v="[AIC Outcome].[AIC Part1].&amp;[Consumer goods &amp; services]" c="Consumer goods &amp; services"/>
        <s v="[AIC Outcome].[AIC Part1].&amp;[Debt]" c="Debt"/>
        <s v="[AIC Outcome].[AIC Part1].&amp;[Discrimination]" c="Discrimination"/>
        <s v="[AIC Outcome].[AIC Part1].&amp;[Education]" c="Education"/>
        <s v="[AIC Outcome].[AIC Part1].&amp;[Employment]" c="Employment"/>
        <s v="[AIC Outcome].[AIC Part1].&amp;[Financial services &amp; capability]" c="Financial services &amp; capability"/>
        <s v="[AIC Outcome].[AIC Part1].&amp;[Health &amp; community care]" c="Health &amp; community care"/>
        <s v="[AIC Outcome].[AIC Part1].&amp;[Housing]" c="Housing"/>
        <s v="[AIC Outcome].[AIC Part1].&amp;[Immigration &amp; asylum]" c="Immigration &amp; asylum"/>
        <s v="[AIC Outcome].[AIC Part1].&amp;[Legal]" c="Legal"/>
        <s v="[AIC Outcome].[AIC Part1].&amp;[Other]" c="Other"/>
        <s v="[AIC Outcome].[AIC Part1].&amp;[Relationships &amp; family]" c="Relationships &amp; family"/>
        <s v="[AIC Outcome].[AIC Part1].&amp;[Tax]" c="Tax"/>
        <s v="[AIC Outcome].[AIC Part1].&amp;[Travel &amp; transport]" c="Travel &amp; transport"/>
        <s v="[AIC Outcome].[AIC Part1].&amp;[Utilities &amp; communications]" c="Utilities &amp; communications"/>
      </sharedItems>
    </cacheField>
    <cacheField name="[AIC Outcome].[AIC Part2].[AIC Part2]" caption="AIC Part2" numFmtId="0" hierarchy="3" level="1" mappingCount="1">
      <sharedItems count="201">
        <s v="[AIC Outcome].[AIC Part2].&amp;[Benefits &amp; tax credits]&amp;[02 Income Support]" c="02 Income Support" cp="1">
          <x/>
        </s>
        <s v="[AIC Outcome].[AIC Part2].&amp;[Benefits &amp; tax credits]&amp;[03 Pension Credit]" c="03 Pension Credit" cp="1">
          <x/>
        </s>
        <s v="[AIC Outcome].[AIC Part2].&amp;[Benefits &amp; tax credits]&amp;[05 Social Fund Loans-Budgeting]" c="05 Social Fund Loans-Budgeting" cp="1">
          <x/>
        </s>
        <s v="[AIC Outcome].[AIC Part2].&amp;[Benefits &amp; tax credits]&amp;[07 Housing Benefit]" c="07 Housing Benefit" cp="1">
          <x/>
        </s>
        <s v="[AIC Outcome].[AIC Part2].&amp;[Benefits &amp; tax credits]&amp;[08 Child Benefit]" c="08 Child Benefit" cp="1">
          <x/>
        </s>
        <s v="[AIC Outcome].[AIC Part2].&amp;[Benefits &amp; tax credits]&amp;[10 Working &amp; Child Tax Credits]" c="10 Working &amp; Child Tax Credits" cp="1">
          <x/>
        </s>
        <s v="[AIC Outcome].[AIC Part2].&amp;[Benefits &amp; tax credits]&amp;[11 Jobseekers Allowance]" c="11 Jobseekers Allowance" cp="1">
          <x/>
        </s>
        <s v="[AIC Outcome].[AIC Part2].&amp;[Benefits &amp; tax credits]&amp;[12 National Insurance]" c="12 National Insurance" cp="1">
          <x/>
        </s>
        <s v="[AIC Outcome].[AIC Part2].&amp;[Benefits &amp; tax credits]&amp;[13 State Retirement Pension]" c="13 State Retirement Pension" cp="1">
          <x/>
        </s>
        <s v="[AIC Outcome].[AIC Part2].&amp;[Benefits &amp; tax credits]&amp;[14 Incapacity Benefit]" c="14 Incapacity Benefit" cp="1">
          <x/>
        </s>
        <s v="[AIC Outcome].[AIC Part2].&amp;[Benefits &amp; tax credits]&amp;[15 Disability Living Allowance]" c="15 Disability Living Allowance" cp="1">
          <x/>
        </s>
        <s v="[AIC Outcome].[AIC Part2].&amp;[Benefits &amp; tax credits]&amp;[17 Attendance Allowance]" c="17 Attendance Allowance" cp="1">
          <x/>
        </s>
        <s v="[AIC Outcome].[AIC Part2].&amp;[Benefits &amp; tax credits]&amp;[18 Carers Allowance]" c="18 Carers Allowance" cp="1">
          <x/>
        </s>
        <s v="[AIC Outcome].[AIC Part2].&amp;[Benefits &amp; tax credits]&amp;[19 Employment Support Allowance]" c="19 Employment Support Allowance" cp="1">
          <x/>
        </s>
        <s v="[AIC Outcome].[AIC Part2].&amp;[Benefits &amp; tax credits]&amp;[20 Universal credit]" c="20 Universal credit" cp="1">
          <x/>
        </s>
        <s v="[AIC Outcome].[AIC Part2].&amp;[Benefits &amp; tax credits]&amp;[21 Personal independence payment]" c="21 Personal independence payment" cp="1">
          <x/>
        </s>
        <s v="[AIC Outcome].[AIC Part2].&amp;[Benefits &amp; tax credits]&amp;[22 Localised social welfare]" c="22 Localised social welfare" cp="1">
          <x/>
        </s>
        <s v="[AIC Outcome].[AIC Part2].&amp;[Benefits &amp; tax credits]&amp;[23 Council tax reduction]" c="23 Council tax reduction" cp="1">
          <x/>
        </s>
        <s v="[AIC Outcome].[AIC Part2].&amp;[Benefits &amp; tax credits]&amp;[24 Benefit cap]" c="24 Benefit cap" cp="1">
          <x/>
        </s>
        <s v="[AIC Outcome].[AIC Part2].&amp;[Benefits &amp; tax credits]&amp;[26 Complaints]" c="26 Complaints" cp="1">
          <x/>
        </s>
        <s v="[AIC Outcome].[AIC Part2].&amp;[Benefits &amp; tax credits]&amp;[27 Passported benefits]" c="27 Passported benefits" cp="1">
          <x/>
        </s>
        <s v="[AIC Outcome].[AIC Part2].&amp;[Benefits &amp; tax credits]&amp;[99 Other benefits issues]" c="99 Other benefits issues" cp="1">
          <x/>
        </s>
        <s v="[AIC Outcome].[AIC Part2].&amp;[Benefits &amp; tax credits]&amp;[Not recorded/not applicable]" c="Not recorded/not applicable" cp="1">
          <x/>
        </s>
        <s v="[AIC Outcome].[AIC Part2].&amp;[Consumer goods &amp; services]&amp;[02 Private sales &amp; internet auctions]" c="02 Private sales &amp; internet auctions" cp="1">
          <x v="1"/>
        </s>
        <s v="[AIC Outcome].[AIC Part2].&amp;[Consumer goods &amp; services]&amp;[03 Building repairs &amp; improvements]" c="03 Building repairs &amp; improvements" cp="1">
          <x v="1"/>
        </s>
        <s v="[AIC Outcome].[AIC Part2].&amp;[Consumer goods &amp; services]&amp;[04 Double glazing &amp; associated products]" c="04 Double glazing &amp; associated products" cp="1">
          <x v="1"/>
        </s>
        <s v="[AIC Outcome].[AIC Part2].&amp;[Consumer goods &amp; services]&amp;[05 Furnishings &amp; floor coverings]" c="05 Furnishings &amp; floor coverings" cp="1">
          <x v="1"/>
        </s>
        <s v="[AIC Outcome].[AIC Part2].&amp;[Consumer goods &amp; services]&amp;[06 Electrical appliances &amp; repairs]" c="06 Electrical appliances &amp; repairs" cp="1">
          <x v="1"/>
        </s>
        <s v="[AIC Outcome].[AIC Part2].&amp;[Consumer goods &amp; services]&amp;[07 Computer hardware &amp; software]" c="07 Computer hardware &amp; software" cp="1">
          <x v="1"/>
        </s>
        <s v="[AIC Outcome].[AIC Part2].&amp;[Consumer goods &amp; services]&amp;[09 Personal Development Courses (incl IT)]" c="09 Personal Development Courses (incl IT)" cp="1">
          <x v="1"/>
        </s>
        <s v="[AIC Outcome].[AIC Part2].&amp;[Consumer goods &amp; services]&amp;[10 Disability aids &amp; adaptations]" c="10 Disability aids &amp; adaptations" cp="1">
          <x v="1"/>
        </s>
        <s v="[AIC Outcome].[AIC Part2].&amp;[Consumer goods &amp; services]&amp;[12 Second hand vehicles]" c="12 Second hand vehicles" cp="1">
          <x v="1"/>
        </s>
        <s v="[AIC Outcome].[AIC Part2].&amp;[Consumer goods &amp; services]&amp;[13 Vehicle repairs/servicing]" c="13 Vehicle repairs/servicing" cp="1">
          <x v="1"/>
        </s>
        <s v="[AIC Outcome].[AIC Part2].&amp;[Consumer goods &amp; services]&amp;[14 Food &amp; Drink]" c="14 Food &amp; Drink" cp="1">
          <x v="1"/>
        </s>
        <s v="[AIC Outcome].[AIC Part2].&amp;[Consumer goods &amp; services]&amp;[15 Health gym &amp; sports club memberships]" c="15 Health gym &amp; sports club memberships" cp="1">
          <x v="1"/>
        </s>
        <s v="[AIC Outcome].[AIC Part2].&amp;[Consumer goods &amp; services]&amp;[17 Fraud and scams]" c="17 Fraud and scams" cp="1">
          <x v="1"/>
        </s>
        <s v="[AIC Outcome].[AIC Part2].&amp;[Consumer goods &amp; services]&amp;[18 Energy company obligation (ECO)]" c="18 Energy company obligation (ECO)" cp="1">
          <x v="1"/>
        </s>
        <s v="[AIC Outcome].[AIC Part2].&amp;[Consumer goods &amp; services]&amp;[22 Energy efficiency measures (non-ECO)]" c="22 Energy efficiency measures (non-ECO)" cp="1">
          <x v="1"/>
        </s>
        <s v="[AIC Outcome].[AIC Part2].&amp;[Consumer goods &amp; services]&amp;[23 Heating systems installation and servicing]" c="23 Heating systems installation and servicing" cp="1">
          <x v="1"/>
        </s>
        <s v="[AIC Outcome].[AIC Part2].&amp;[Consumer goods &amp; services]&amp;[24 Culture and entertainment (theatre, events, festivals, concerts, cinema)]" c="24 Culture and entertainment (theatre, events, festivals, concerts, cinema)" cp="1">
          <x v="1"/>
        </s>
        <s v="[AIC Outcome].[AIC Part2].&amp;[Consumer goods &amp; services]&amp;[25 Digital goods and services (apps, e-books, downloads, streaming, cloud storage)]" c="25 Digital goods and services (apps, e-books, downloads, streaming, cloud storage)" cp="1">
          <x v="1"/>
        </s>
        <s v="[AIC Outcome].[AIC Part2].&amp;[Consumer goods &amp; services]&amp;[99 Other goods &amp; services]" c="99 Other goods &amp; services" cp="1">
          <x v="1"/>
        </s>
        <s v="[AIC Outcome].[AIC Part2].&amp;[Consumer goods &amp; services]&amp;[Not recorded/not applicable]" c="Not recorded/not applicable" cp="1">
          <x v="1"/>
        </s>
        <s v="[AIC Outcome].[AIC Part2].&amp;[Debt]&amp;[02 Mortgage &amp; secured loan arrears]" c="02 Mortgage &amp; secured loan arrears" cp="1">
          <x v="2"/>
        </s>
        <s v="[AIC Outcome].[AIC Part2].&amp;[Debt]&amp;[03 Hire purchase arrears]" c="03 Hire purchase arrears" cp="1">
          <x v="2"/>
        </s>
        <s v="[AIC Outcome].[AIC Part2].&amp;[Debt]&amp;[04 Fuel debts]" c="04 Fuel debts" cp="1">
          <x v="2"/>
        </s>
        <s v="[AIC Outcome].[AIC Part2].&amp;[Debt]&amp;[06 Rent arrears - LAs or ALMOs]" c="06 Rent arrears - LAs or ALMOs" cp="1">
          <x v="2"/>
        </s>
        <s v="[AIC Outcome].[AIC Part2].&amp;[Debt]&amp;[07 Rent arrears -  housing associations]" c="07 Rent arrears -  housing associations" cp="1">
          <x v="2"/>
        </s>
        <s v="[AIC Outcome].[AIC Part2].&amp;[Debt]&amp;[08 Rent arrears - private landlords]" c="08 Rent arrears - private landlords" cp="1">
          <x v="2"/>
        </s>
        <s v="[AIC Outcome].[AIC Part2].&amp;[Debt]&amp;[09 Council tax arrears]" c="09 Council tax arrears" cp="1">
          <x v="2"/>
        </s>
        <s v="[AIC Outcome].[AIC Part2].&amp;[Debt]&amp;[10 Mag. Cts. - fines &amp; comp.ord. arrears]" c="10 Mag. Cts. - fines &amp; comp.ord. arrears" cp="1">
          <x v="2"/>
        </s>
        <s v="[AIC Outcome].[AIC Part2].&amp;[Debt]&amp;[11 Maintenance &amp; child maintenance arrears]" c="11 Maintenance &amp; child maintenance arrears" cp="1">
          <x v="2"/>
        </s>
        <s v="[AIC Outcome].[AIC Part2].&amp;[Debt]&amp;[12 Bank &amp; building society overdrafts]" c="12 Bank &amp; building society overdrafts" cp="1">
          <x v="2"/>
        </s>
        <s v="[AIC Outcome].[AIC Part2].&amp;[Debt]&amp;[13 Credit, store &amp; charge card debts]" c="13 Credit, store &amp; charge card debts" cp="1">
          <x v="2"/>
        </s>
        <s v="[AIC Outcome].[AIC Part2].&amp;[Debt]&amp;[14 Unsecured personal loan debts]" c="14 Unsecured personal loan debts" cp="1">
          <x v="2"/>
        </s>
        <s v="[AIC Outcome].[AIC Part2].&amp;[Debt]&amp;[15 Catalogue &amp; mail order debts]" c="15 Catalogue &amp; mail order debts" cp="1">
          <x v="2"/>
        </s>
        <s v="[AIC Outcome].[AIC Part2].&amp;[Debt]&amp;[16 Water supply &amp; sewerage debts]" c="16 Water supply &amp; sewerage debts" cp="1">
          <x v="2"/>
        </s>
        <s v="[AIC Outcome].[AIC Part2].&amp;[Debt]&amp;[17 Unpaid parking penalty &amp; cong. chgs.]" c="17 Unpaid parking penalty &amp; cong. chgs." cp="1">
          <x v="2"/>
        </s>
        <s v="[AIC Outcome].[AIC Part2].&amp;[Debt]&amp;[18 Overpayments of WTC &amp; CTC]" c="18 Overpayments of WTC &amp; CTC" cp="1">
          <x v="2"/>
        </s>
        <s v="[AIC Outcome].[AIC Part2].&amp;[Debt]&amp;[19 Overpayments of IS/JSA/ESA]" c="19 Overpayments of IS/JSA/ESA" cp="1">
          <x v="2"/>
        </s>
        <s v="[AIC Outcome].[AIC Part2].&amp;[Debt]&amp;[20 Overpts. Housing &amp; Council Tax Bens.]" c="20 Overpts. Housing &amp; Council Tax Bens." cp="1">
          <x v="2"/>
        </s>
        <s v="[AIC Outcome].[AIC Part2].&amp;[Debt]&amp;[21 Social Fund debts]" c="21 Social Fund debts" cp="1">
          <x v="2"/>
        </s>
        <s v="[AIC Outcome].[AIC Part2].&amp;[Debt]&amp;[22 Payday loan debts]" c="22 Payday loan debts" cp="1">
          <x v="2"/>
        </s>
        <s v="[AIC Outcome].[AIC Part2].&amp;[Debt]&amp;[24 Debts to loan sharks/illegal lenders]" c="24 Debts to loan sharks/illegal lenders" cp="1">
          <x v="2"/>
        </s>
        <s v="[AIC Outcome].[AIC Part2].&amp;[Debt]&amp;[25 Arrears of income tax, VAT or NI contributions]" c="25 Arrears of income tax, VAT or NI contributions" cp="1">
          <x v="2"/>
        </s>
        <s v="[AIC Outcome].[AIC Part2].&amp;[Debt]&amp;[26 Overpayment of universal credit]" c="26 Overpayment of universal credit" cp="1">
          <x v="2"/>
        </s>
        <s v="[AIC Outcome].[AIC Part2].&amp;[Debt]&amp;[27 Overpayments of other benefits]" c="27 Overpayments of other benefits" cp="1">
          <x v="2"/>
        </s>
        <s v="[AIC Outcome].[AIC Part2].&amp;[Debt]&amp;[28 Guarantor loan debts]" c="28 Guarantor loan debts" cp="1">
          <x v="2"/>
        </s>
        <s v="[AIC Outcome].[AIC Part2].&amp;[Debt]&amp;[30 Mobile phone debt]" c="30 Mobile phone debt" cp="1">
          <x v="2"/>
        </s>
        <s v="[AIC Outcome].[AIC Part2].&amp;[Debt]&amp;[31 Other telecoms debt (landline, broadband, bundle, TV)]" c="31 Other telecoms debt (landline, broadband, bundle, TV)" cp="1">
          <x v="2"/>
        </s>
        <s v="[AIC Outcome].[AIC Part2].&amp;[Debt]&amp;[32 Debts to friends and family]" c="32 Debts to friends and family" cp="1">
          <x v="2"/>
        </s>
        <s v="[AIC Outcome].[AIC Part2].&amp;[Debt]&amp;[40 3rd party debt collection excl. bailiffs]" c="40 3rd party debt collection excl. bailiffs" cp="1">
          <x v="2"/>
        </s>
        <s v="[AIC Outcome].[AIC Part2].&amp;[Debt]&amp;[48 Individual Voluntary Arrangement]" c="48 Individual Voluntary Arrangement" cp="1">
          <x v="2"/>
        </s>
        <s v="[AIC Outcome].[AIC Part2].&amp;[Debt]&amp;[49 Debt Relief Order]" c="49 Debt Relief Order" cp="1">
          <x v="2"/>
        </s>
        <s v="[AIC Outcome].[AIC Part2].&amp;[Debt]&amp;[50 Bankruptcy]" c="50 Bankruptcy" cp="1">
          <x v="2"/>
        </s>
        <s v="[AIC Outcome].[AIC Part2].&amp;[Debt]&amp;[99 Other]" c="99 Other" cp="1">
          <x v="2"/>
        </s>
        <s v="[AIC Outcome].[AIC Part2].&amp;[Debt]&amp;[Not recorded/not applicable]" c="Not recorded/not applicable" cp="1">
          <x v="2"/>
        </s>
        <s v="[AIC Outcome].[AIC Part2].&amp;[Discrimination]&amp;[01 Discrimination: Age]" c="01 Discrimination: Age" cp="1">
          <x v="3"/>
        </s>
        <s v="[AIC Outcome].[AIC Part2].&amp;[Discrimination]&amp;[03 Discrimination: Disability excluding Mental Health]" c="03 Discrimination: Disability excluding Mental Health" cp="1">
          <x v="3"/>
        </s>
        <s v="[AIC Outcome].[AIC Part2].&amp;[Discrimination]&amp;[04 Discrimination: Disability Mental health]" c="04 Discrimination: Disability Mental health" cp="1">
          <x v="3"/>
        </s>
        <s v="[AIC Outcome].[AIC Part2].&amp;[Discrimination]&amp;[09 Discrimination: Pregnancy &amp; maternity]" c="09 Discrimination: Pregnancy &amp; maternity" cp="1">
          <x v="3"/>
        </s>
        <s v="[AIC Outcome].[AIC Part2].&amp;[Discrimination]&amp;[10 Discrimination: Race including nationality]" c="10 Discrimination: Race including nationality" cp="1">
          <x v="3"/>
        </s>
        <s v="[AIC Outcome].[AIC Part2].&amp;[Discrimination]&amp;[12 Discrimination: Sex/gender]" c="12 Discrimination: Sex/gender" cp="1">
          <x v="3"/>
        </s>
        <s v="[AIC Outcome].[AIC Part2].&amp;[Discrimination]&amp;[13 Discrimination: Sexual orientation]" c="13 Discrimination: Sexual orientation" cp="1">
          <x v="3"/>
        </s>
        <s v="[AIC Outcome].[AIC Part2].&amp;[Discrimination]&amp;[30 Domestic abuse: against woman by current/ex male partner]" c="30 Domestic abuse: against woman by current/ex male partner" cp="1">
          <x v="3"/>
        </s>
        <s v="[AIC Outcome].[AIC Part2].&amp;[Discrimination]&amp;[99 Domestic abuse: other]" c="99 Domestic abuse: other" cp="1">
          <x v="3"/>
        </s>
        <s v="[AIC Outcome].[AIC Part2].&amp;[Education]&amp;[02 Early years provision]" c="02 Early years provision" cp="1">
          <x v="4"/>
        </s>
        <s v="[AIC Outcome].[AIC Part2].&amp;[Education]&amp;[03 Schools, non-advanced education]" c="03 Schools, non-advanced education" cp="1">
          <x v="4"/>
        </s>
        <s v="[AIC Outcome].[AIC Part2].&amp;[Education]&amp;[04 Further Education/6th form colleges]" c="04 Further Education/6th form colleges" cp="1">
          <x v="4"/>
        </s>
        <s v="[AIC Outcome].[AIC Part2].&amp;[Education]&amp;[05 Higher Education]" c="05 Higher Education" cp="1">
          <x v="4"/>
        </s>
        <s v="[AIC Outcome].[AIC Part2].&amp;[Education]&amp;[06 Adult education]" c="06 Adult education" cp="1">
          <x v="4"/>
        </s>
        <s v="[AIC Outcome].[AIC Part2].&amp;[Education]&amp;[99 Other education issues]" c="99 Other education issues" cp="1">
          <x v="4"/>
        </s>
        <s v="[AIC Outcome].[AIC Part2].&amp;[Education]&amp;[Not recorded/not applicable]" c="Not recorded/not applicable" cp="1">
          <x v="4"/>
        </s>
        <s v="[AIC Outcome].[AIC Part2].&amp;[Employment]&amp;[03 Self Employment/Business]" c="03 Self Employment/Business" cp="1">
          <x v="5"/>
        </s>
        <s v="[AIC Outcome].[AIC Part2].&amp;[Employment]&amp;[04 Applying for jobs]" c="04 Applying for jobs" cp="1">
          <x v="5"/>
        </s>
        <s v="[AIC Outcome].[AIC Part2].&amp;[Employment]&amp;[05 Terms &amp; Conditions of Employment]" c="05 Terms &amp; Conditions of Employment" cp="1">
          <x v="5"/>
        </s>
        <s v="[AIC Outcome].[AIC Part2].&amp;[Employment]&amp;[07 Pay &amp; Entitlements]" c="07 Pay &amp; Entitlements" cp="1">
          <x v="5"/>
        </s>
        <s v="[AIC Outcome].[AIC Part2].&amp;[Employment]&amp;[08  Parental &amp; Carers rights]" c="08  Parental &amp; Carers rights" cp="1">
          <x v="5"/>
        </s>
        <s v="[AIC Outcome].[AIC Part2].&amp;[Employment]&amp;[09 Dispute resolution]" c="09 Dispute resolution" cp="1">
          <x v="5"/>
        </s>
        <s v="[AIC Outcome].[AIC Part2].&amp;[Employment]&amp;[10 Resignation]" c="10 Resignation" cp="1">
          <x v="5"/>
        </s>
        <s v="[AIC Outcome].[AIC Part2].&amp;[Employment]&amp;[11 Dismissal]" c="11 Dismissal" cp="1">
          <x v="5"/>
        </s>
        <s v="[AIC Outcome].[AIC Part2].&amp;[Employment]&amp;[12 Redundancy]" c="12 Redundancy" cp="1">
          <x v="5"/>
        </s>
        <s v="[AIC Outcome].[AIC Part2].&amp;[Employment]&amp;[13 Employment tribunals &amp; appeals]" c="13 Employment tribunals &amp; appeals" cp="1">
          <x v="5"/>
        </s>
        <s v="[AIC Outcome].[AIC Part2].&amp;[Employment]&amp;[14 Access to jobs]" c="14 Access to jobs" cp="1">
          <x v="5"/>
        </s>
        <s v="[AIC Outcome].[AIC Part2].&amp;[Employment]&amp;[99 Other]" c="99 Other" cp="1">
          <x v="5"/>
        </s>
        <s v="[AIC Outcome].[AIC Part2].&amp;[Employment]&amp;[Not recorded/not applicable]" c="Not recorded/not applicable" cp="1">
          <x v="5"/>
        </s>
        <s v="[AIC Outcome].[AIC Part2].&amp;[Financial services &amp; capability]&amp;[02 Bank/Building &amp; P/O Accounts]" c="02 Bank/Building &amp; P/O Accounts" cp="1">
          <x v="6"/>
        </s>
        <s v="[AIC Outcome].[AIC Part2].&amp;[Financial services &amp; capability]&amp;[03 Credit/store/charge cards]" c="03 Credit/store/charge cards" cp="1">
          <x v="6"/>
        </s>
        <s v="[AIC Outcome].[AIC Part2].&amp;[Financial services &amp; capability]&amp;[04 Mortgages &amp; secured loans]" c="04 Mortgages &amp; secured loans" cp="1">
          <x v="6"/>
        </s>
        <s v="[AIC Outcome].[AIC Part2].&amp;[Financial services &amp; capability]&amp;[05 Loans - unsecured]" c="05 Loans - unsecured" cp="1">
          <x v="6"/>
        </s>
        <s v="[AIC Outcome].[AIC Part2].&amp;[Financial services &amp; capability]&amp;[10 Payment protection insurance]" c="10 Payment protection insurance" cp="1">
          <x v="6"/>
        </s>
        <s v="[AIC Outcome].[AIC Part2].&amp;[Financial services &amp; capability]&amp;[11 Holiday/travel insurance]" c="11 Holiday/travel insurance" cp="1">
          <x v="6"/>
        </s>
        <s v="[AIC Outcome].[AIC Part2].&amp;[Financial services &amp; capability]&amp;[12 Vehicle insurance]" c="12 Vehicle insurance" cp="1">
          <x v="6"/>
        </s>
        <s v="[AIC Outcome].[AIC Part2].&amp;[Financial services &amp; capability]&amp;[13 Buildings &amp; house contents insurance]" c="13 Buildings &amp; house contents insurance" cp="1">
          <x v="6"/>
        </s>
        <s v="[AIC Outcome].[AIC Part2].&amp;[Financial services &amp; capability]&amp;[14 Life Insurance]" c="14 Life Insurance" cp="1">
          <x v="6"/>
        </s>
        <s v="[AIC Outcome].[AIC Part2].&amp;[Financial services &amp; capability]&amp;[17 Credit Reference Agencies]" c="17 Credit Reference Agencies" cp="1">
          <x v="6"/>
        </s>
        <s v="[AIC Outcome].[AIC Part2].&amp;[Financial services &amp; capability]&amp;[18 Personal Pensions]" c="18 Personal Pensions" cp="1">
          <x v="6"/>
        </s>
        <s v="[AIC Outcome].[AIC Part2].&amp;[Financial services &amp; capability]&amp;[19 Savings and investments]" c="19 Savings and investments" cp="1">
          <x v="6"/>
        </s>
        <s v="[AIC Outcome].[AIC Part2].&amp;[Financial services &amp; capability]&amp;[20 Financial capability]" c="20 Financial capability" cp="1">
          <x v="6"/>
        </s>
        <s v="[AIC Outcome].[AIC Part2].&amp;[Financial services &amp; capability]&amp;[22 Independent Financial Adviser]" c="22 Independent Financial Adviser" cp="1">
          <x v="6"/>
        </s>
        <s v="[AIC Outcome].[AIC Part2].&amp;[Financial services &amp; capability]&amp;[30 Pension Wise]" c="30 Pension Wise" cp="1">
          <x v="6"/>
        </s>
        <s v="[AIC Outcome].[AIC Part2].&amp;[Financial services &amp; capability]&amp;[99 Other credit, fin. &amp; insurance issues]" c="99 Other credit, fin. &amp; insurance issues" cp="1">
          <x v="6"/>
        </s>
        <s v="[AIC Outcome].[AIC Part2].&amp;[Financial services &amp; capability]&amp;[Not recorded/not applicable]" c="Not recorded/not applicable" cp="1">
          <x v="6"/>
        </s>
        <s v="[AIC Outcome].[AIC Part2].&amp;[Health &amp; community care]&amp;[03 Hospital Services (non-MH)]" c="03 Hospital Services (non-MH)" cp="1">
          <x v="7"/>
        </s>
        <s v="[AIC Outcome].[AIC Part2].&amp;[Health &amp; community care]&amp;[04 Hospital services - Mental Health]" c="04 Hospital services - Mental Health" cp="1">
          <x v="7"/>
        </s>
        <s v="[AIC Outcome].[AIC Part2].&amp;[Health &amp; community care]&amp;[05 General Medical Practice]" c="05 General Medical Practice" cp="1">
          <x v="7"/>
        </s>
        <s v="[AIC Outcome].[AIC Part2].&amp;[Health &amp; community care]&amp;[06 Residential Care]" c="06 Residential Care" cp="1">
          <x v="7"/>
        </s>
        <s v="[AIC Outcome].[AIC Part2].&amp;[Health &amp; community care]&amp;[07 Community Care (non-MH)]" c="07 Community Care (non-MH)" cp="1">
          <x v="7"/>
        </s>
        <s v="[AIC Outcome].[AIC Part2].&amp;[Health &amp; community care]&amp;[08 Community Care - Mental Health]" c="08 Community Care - Mental Health" cp="1">
          <x v="7"/>
        </s>
        <s v="[AIC Outcome].[AIC Part2].&amp;[Health &amp; community care]&amp;[09 Dentists]" c="09 Dentists" cp="1">
          <x v="7"/>
        </s>
        <s v="[AIC Outcome].[AIC Part2].&amp;[Health &amp; community care]&amp;[10 NHS costs/charges]" c="10 NHS costs/charges" cp="1">
          <x v="7"/>
        </s>
        <s v="[AIC Outcome].[AIC Part2].&amp;[Health &amp; community care]&amp;[80 Health Watch - General]" c="80 Health Watch - General" cp="1">
          <x v="7"/>
        </s>
        <s v="[AIC Outcome].[AIC Part2].&amp;[Health &amp; community care]&amp;[81 Health Watch - Hospital Service]" c="81 Health Watch - Hospital Service" cp="1">
          <x v="7"/>
        </s>
        <s v="[AIC Outcome].[AIC Part2].&amp;[Health &amp; community care]&amp;[82 Health Watch - Social Care Service]" c="82 Health Watch - Social Care Service" cp="1">
          <x v="7"/>
        </s>
        <s v="[AIC Outcome].[AIC Part2].&amp;[Health &amp; community care]&amp;[83 Health Watch - Other Service]" c="83 Health Watch - Other Service" cp="1">
          <x v="7"/>
        </s>
        <s v="[AIC Outcome].[AIC Part2].&amp;[Health &amp; community care]&amp;[84 Health Watch - Childrens Services]" c="84 Health Watch - Childrens Services" cp="1">
          <x v="7"/>
        </s>
        <s v="[AIC Outcome].[AIC Part2].&amp;[Health &amp; community care]&amp;[99 Other health &amp; community care issues]" c="99 Other health &amp; community care issues" cp="1">
          <x v="7"/>
        </s>
        <s v="[AIC Outcome].[AIC Part2].&amp;[Health &amp; community care]&amp;[Not recorded/not applicable]" c="Not recorded/not applicable" cp="1">
          <x v="7"/>
        </s>
        <s v="[AIC Outcome].[AIC Part2].&amp;[Housing]&amp;[02 Actual homelessness]" c="02 Actual homelessness" cp="1">
          <x v="8"/>
        </s>
        <s v="[AIC Outcome].[AIC Part2].&amp;[Housing]&amp;[03 Threatened homelessness]" c="03 Threatened homelessness" cp="1">
          <x v="8"/>
        </s>
        <s v="[AIC Outcome].[AIC Part2].&amp;[Housing]&amp;[04 LA homelessness service]" c="04 LA homelessness service" cp="1">
          <x v="8"/>
        </s>
        <s v="[AIC Outcome].[AIC Part2].&amp;[Housing]&amp;[05 Access to &amp; provision of accomm.]" c="05 Access to &amp; provision of accomm." cp="1">
          <x v="8"/>
        </s>
        <s v="[AIC Outcome].[AIC Part2].&amp;[Housing]&amp;[06 Local Authority housing]" c="06 Local Authority housing" cp="1">
          <x v="8"/>
        </s>
        <s v="[AIC Outcome].[AIC Part2].&amp;[Housing]&amp;[07 Housing association property]" c="07 Housing association property" cp="1">
          <x v="8"/>
        </s>
        <s v="[AIC Outcome].[AIC Part2].&amp;[Housing]&amp;[08 Private sector rented property]" c="08 Private sector rented property" cp="1">
          <x v="8"/>
        </s>
        <s v="[AIC Outcome].[AIC Part2].&amp;[Housing]&amp;[09 Owner occupier property]" c="09 Owner occupier property" cp="1">
          <x v="8"/>
        </s>
        <s v="[AIC Outcome].[AIC Part2].&amp;[Housing]&amp;[10 Environmental &amp; neighbour issues]" c="10 Environmental &amp; neighbour issues" cp="1">
          <x v="8"/>
        </s>
        <s v="[AIC Outcome].[AIC Part2].&amp;[Housing]&amp;[99 Other housing issues]" c="99 Other housing issues" cp="1">
          <x v="8"/>
        </s>
        <s v="[AIC Outcome].[AIC Part2].&amp;[Housing]&amp;[Not recorded/not applicable]" c="Not recorded/not applicable" cp="1">
          <x v="8"/>
        </s>
        <s v="[AIC Outcome].[AIC Part2].&amp;[Immigration &amp; asylum]&amp;[02 Asylum seekers]" c="02 Asylum seekers" cp="1">
          <x v="9"/>
        </s>
        <s v="[AIC Outcome].[AIC Part2].&amp;[Immigration &amp; asylum]&amp;[04 Family, dependents &amp; partners]" c="04 Family, dependents &amp; partners" cp="1">
          <x v="9"/>
        </s>
        <s v="[AIC Outcome].[AIC Part2].&amp;[Immigration &amp; asylum]&amp;[05 Visitors]" c="05 Visitors" cp="1">
          <x v="9"/>
        </s>
        <s v="[AIC Outcome].[AIC Part2].&amp;[Immigration &amp; asylum]&amp;[06 Workers]" c="06 Workers" cp="1">
          <x v="9"/>
        </s>
        <s v="[AIC Outcome].[AIC Part2].&amp;[Immigration &amp; asylum]&amp;[07 Students]" c="07 Students" cp="1">
          <x v="9"/>
        </s>
        <s v="[AIC Outcome].[AIC Part2].&amp;[Immigration &amp; asylum]&amp;[08 Nationality/citizenship]" c="08 Nationality/citizenship" cp="1">
          <x v="9"/>
        </s>
        <s v="[AIC Outcome].[AIC Part2].&amp;[Immigration &amp; asylum]&amp;[09 Failed asylum seekers]" c="09 Failed asylum seekers" cp="1">
          <x v="9"/>
        </s>
        <s v="[AIC Outcome].[AIC Part2].&amp;[Immigration &amp; asylum]&amp;[99 Other issues]" c="99 Other issues" cp="1">
          <x v="9"/>
        </s>
        <s v="[AIC Outcome].[AIC Part2].&amp;[Immigration &amp; asylum]&amp;[Not recorded/not applicable]" c="Not recorded/not applicable" cp="1">
          <x v="9"/>
        </s>
        <s v="[AIC Outcome].[AIC Part2].&amp;[Legal]&amp;[02 Magistrates Court proceedings]" c="02 Magistrates Court proceedings" cp="1">
          <x v="10"/>
        </s>
        <s v="[AIC Outcome].[AIC Part2].&amp;[Legal]&amp;[03 County &amp; High Court proceedings]" c="03 County &amp; High Court proceedings" cp="1">
          <x v="10"/>
        </s>
        <s v="[AIC Outcome].[AIC Part2].&amp;[Legal]&amp;[05 Legal aid]" c="05 Legal aid" cp="1">
          <x v="10"/>
        </s>
        <s v="[AIC Outcome].[AIC Part2].&amp;[Legal]&amp;[06 Solicitors/barristers]" c="06 Solicitors/barristers" cp="1">
          <x v="10"/>
        </s>
        <s v="[AIC Outcome].[AIC Part2].&amp;[Legal]&amp;[07 Police]" c="07 Police" cp="1">
          <x v="10"/>
        </s>
        <s v="[AIC Outcome].[AIC Part2].&amp;[Legal]&amp;[10 Capacity to act]" c="10 Capacity to act" cp="1">
          <x v="10"/>
        </s>
        <s v="[AIC Outcome].[AIC Part2].&amp;[Legal]&amp;[11 Personal-related court proceedings]" c="11 Personal-related court proceedings" cp="1">
          <x v="10"/>
        </s>
        <s v="[AIC Outcome].[AIC Part2].&amp;[Legal]&amp;[12 Criminal justice]" c="12 Criminal justice" cp="1">
          <x v="10"/>
        </s>
        <s v="[AIC Outcome].[AIC Part2].&amp;[Legal]&amp;[99 Other]" c="99 Other" cp="1">
          <x v="10"/>
        </s>
        <s v="[AIC Outcome].[AIC Part2].&amp;[Legal]&amp;[Not recorded/not applicable]" c="Not recorded/not applicable" cp="1">
          <x v="10"/>
        </s>
        <s v="[AIC Outcome].[AIC Part2].&amp;[Other]&amp;[07 Charitable support]" c="07 Charitable support" cp="1">
          <x v="11"/>
        </s>
        <s v="[AIC Outcome].[AIC Part2].&amp;[Other]&amp;[99 Other]" c="99 Other" cp="1">
          <x v="11"/>
        </s>
        <s v="[AIC Outcome].[AIC Part2].&amp;[Other]&amp;[Not recorded/not applicable]" c="Not recorded/not applicable" cp="1">
          <x v="11"/>
        </s>
        <s v="[AIC Outcome].[AIC Part2].&amp;[Relationships &amp; family]&amp;[02 Marriage, cohabitation, civil partnership]" c="02 Marriage, cohabitation, civil partnership" cp="1">
          <x v="12"/>
        </s>
        <s v="[AIC Outcome].[AIC Part2].&amp;[Relationships &amp; family]&amp;[05 Social Services &amp; support]" c="05 Social Services &amp; support" cp="1">
          <x v="12"/>
        </s>
        <s v="[AIC Outcome].[AIC Part2].&amp;[Relationships &amp; family]&amp;[06 Divorce, separation, dissolution]" c="06 Divorce, separation, dissolution" cp="1">
          <x v="12"/>
        </s>
        <s v="[AIC Outcome].[AIC Part2].&amp;[Relationships &amp; family]&amp;[07 Children]" c="07 Children" cp="1">
          <x v="12"/>
        </s>
        <s v="[AIC Outcome].[AIC Part2].&amp;[Relationships &amp; family]&amp;[08 Child maintenance: resident parent &amp; family]" c="08 Child maintenance: resident parent &amp; family" cp="1">
          <x v="12"/>
        </s>
        <s v="[AIC Outcome].[AIC Part2].&amp;[Relationships &amp; family]&amp;[09 Child maintenance: non-res. parent &amp; family]" c="09 Child maintenance: non-res. parent &amp; family" cp="1">
          <x v="12"/>
        </s>
        <s v="[AIC Outcome].[AIC Part2].&amp;[Relationships &amp; family]&amp;[10 Death &amp; Bereavement]" c="10 Death &amp; Bereavement" cp="1">
          <x v="12"/>
        </s>
        <s v="[AIC Outcome].[AIC Part2].&amp;[Relationships &amp; family]&amp;[11 Certificates &amp; proofs of identity]" c="11 Certificates &amp; proofs of identity" cp="1">
          <x v="12"/>
        </s>
        <s v="[AIC Outcome].[AIC Part2].&amp;[Relationships &amp; family]&amp;[99 Other]" c="99 Other" cp="1">
          <x v="12"/>
        </s>
        <s v="[AIC Outcome].[AIC Part2].&amp;[Relationships &amp; family]&amp;[Not recorded/not applicable]" c="Not recorded/not applicable" cp="1">
          <x v="12"/>
        </s>
        <s v="[AIC Outcome].[AIC Part2].&amp;[Tax]&amp;[02 Income Tax]" c="02 Income Tax" cp="1">
          <x v="13"/>
        </s>
        <s v="[AIC Outcome].[AIC Part2].&amp;[Tax]&amp;[03 Council Tax]" c="03 Council Tax" cp="1">
          <x v="13"/>
        </s>
        <s v="[AIC Outcome].[AIC Part2].&amp;[Tax]&amp;[99 Other Tax Issues]" c="99 Other Tax Issues" cp="1">
          <x v="13"/>
        </s>
        <s v="[AIC Outcome].[AIC Part2].&amp;[Tax]&amp;[Not recorded/not applicable]" c="Not recorded/not applicable" cp="1">
          <x v="13"/>
        </s>
        <s v="[AIC Outcome].[AIC Part2].&amp;[Travel &amp; transport]&amp;[02 Public transport]" c="02 Public transport" cp="1">
          <x v="14"/>
        </s>
        <s v="[AIC Outcome].[AIC Part2].&amp;[Travel &amp; transport]&amp;[03 Driving]" c="03 Driving" cp="1">
          <x v="14"/>
        </s>
        <s v="[AIC Outcome].[AIC Part2].&amp;[Travel &amp; transport]&amp;[06 Package holidays]" c="06 Package holidays" cp="1">
          <x v="14"/>
        </s>
        <s v="[AIC Outcome].[AIC Part2].&amp;[Travel &amp; transport]&amp;[09 Parking on private land]" c="09 Parking on private land" cp="1">
          <x v="14"/>
        </s>
        <s v="[AIC Outcome].[AIC Part2].&amp;[Travel &amp; transport]&amp;[10 Parking charges on public land/on-street parking]" c="10 Parking charges on public land/on-street parking" cp="1">
          <x v="14"/>
        </s>
        <s v="[AIC Outcome].[AIC Part2].&amp;[Travel &amp; transport]&amp;[99 Other travel, transport &amp; holiday]" c="99 Other travel, transport &amp; holiday" cp="1">
          <x v="14"/>
        </s>
        <s v="[AIC Outcome].[AIC Part2].&amp;[Travel &amp; transport]&amp;[Not recorded/not applicable]" c="Not recorded/not applicable" cp="1">
          <x v="14"/>
        </s>
        <s v="[AIC Outcome].[AIC Part2].&amp;[Utilities &amp; communications]&amp;[02 Fuel (gas, electricity, oil, coal etc.)]" c="02 Fuel (gas, electricity, oil, coal etc.)" cp="1">
          <x v="15"/>
        </s>
        <s v="[AIC Outcome].[AIC Part2].&amp;[Utilities &amp; communications]&amp;[03 Water &amp; sewerage]" c="03 Water &amp; sewerage" cp="1">
          <x v="15"/>
        </s>
        <s v="[AIC Outcome].[AIC Part2].&amp;[Utilities &amp; communications]&amp;[04 Telephone landline]" c="04 Telephone landline" cp="1">
          <x v="15"/>
        </s>
        <s v="[AIC Outcome].[AIC Part2].&amp;[Utilities &amp; communications]&amp;[05 Mobile phones]" c="05 Mobile phones" cp="1">
          <x v="15"/>
        </s>
        <s v="[AIC Outcome].[AIC Part2].&amp;[Utilities &amp; communications]&amp;[06 TV including cable, digital &amp; satellite]" c="06 TV including cable, digital &amp; satellite" cp="1">
          <x v="15"/>
        </s>
        <s v="[AIC Outcome].[AIC Part2].&amp;[Utilities &amp; communications]&amp;[07 Internet &amp; broadband]" c="07 Internet &amp; broadband" cp="1">
          <x v="15"/>
        </s>
        <s v="[AIC Outcome].[AIC Part2].&amp;[Utilities &amp; communications]&amp;[08 Unwanted communications]" c="08 Unwanted communications" cp="1">
          <x v="15"/>
        </s>
        <s v="[AIC Outcome].[AIC Part2].&amp;[Utilities &amp; communications]&amp;[99 Other communications &amp; utility issues]" c="99 Other communications &amp; utility issues" cp="1">
          <x v="15"/>
        </s>
        <s v="[AIC Outcome].[AIC Part2].&amp;[Utilities &amp; communications]&amp;[Not recorded/not applicable]" c="Not recorded/not applicable" cp="1">
          <x v="15"/>
        </s>
      </sharedItems>
      <mpMap v="13"/>
    </cacheField>
    <cacheField name="[AIC Outcome].[AIC Part2].[AIC Part2].[AIC Part1]" caption="AIC Part1" propertyName="AIC Part1" numFmtId="0" hierarchy="3" level="1" memberPropertyField="1">
      <sharedItems count="16">
        <s v="Benefits &amp; tax credits"/>
        <s v="Consumer goods &amp; services"/>
        <s v="Debt"/>
        <s v="Discrimination"/>
        <s v="Education"/>
        <s v="Employment"/>
        <s v="Financial services &amp; capability"/>
        <s v="Health &amp; community care"/>
        <s v="Housing"/>
        <s v="Immigration &amp; asylum"/>
        <s v="Legal"/>
        <s v="Other"/>
        <s v="Relationships &amp; family"/>
        <s v="Tax"/>
        <s v="Travel &amp; transport"/>
        <s v="Utilities &amp; communications"/>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 name="Dummy0" numFmtId="0" hierarchy="114" level="32767">
      <extLst>
        <ext xmlns:x14="http://schemas.microsoft.com/office/spreadsheetml/2009/9/main" uri="{63CAB8AC-B538-458d-9737-405883B0398D}">
          <x14:cacheField ignore="1"/>
        </ext>
      </extLst>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8"/>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2" unbalanced="0">
      <fieldsUsage count="2">
        <fieldUsage x="-1"/>
        <fieldUsage x="11"/>
      </fieldsUsage>
    </cacheHierarchy>
    <cacheHierarchy uniqueName="[AIC Outcome].[AIC Part2]" caption="AIC Part2" attribute="1" defaultMemberUniqueName="[AIC Outcome].[AIC Part2].[All]" allUniqueName="[AIC Outcome].[AIC Part2].[All]" dimensionUniqueName="[AIC Outcome]" displayFolder="" count="2" unbalanced="0">
      <fieldsUsage count="2">
        <fieldUsage x="-1"/>
        <fieldUsage x="12"/>
      </fieldsUsage>
    </cacheHierarchy>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4"/>
        <fieldUsage x="15"/>
        <fieldUsage x="16"/>
        <fieldUsage x="17"/>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2"/>
        <fieldUsage x="3"/>
        <fieldUsage x="4"/>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9"/>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oneField="1">
      <fieldsUsage count="1">
        <fieldUsage x="0"/>
      </fieldsUsage>
    </cacheHierarchy>
    <cacheHierarchy uniqueName="[Measures].[Unique Client Count]" caption="Unique Client Count" measure="1" displayFolder="" measureGroup="Client" count="0" oneField="1">
      <fieldsUsage count="1">
        <fieldUsage x="1"/>
      </fieldsUsage>
    </cacheHierarchy>
    <cacheHierarchy uniqueName="Dummy0" caption="Advice Event Type" measure="1" count="0">
      <extLst>
        <ext xmlns:x14="http://schemas.microsoft.com/office/spreadsheetml/2009/9/main" uri="{8CF416AD-EC4C-4aba-99F5-12A058AE0983}">
          <x14:cacheHierarchy ignore="1"/>
        </ext>
      </extLst>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OnLoad="1" refreshedBy="John Willoughby" refreshedDate="42835.685457870371" backgroundQuery="1" createdVersion="4" refreshedVersion="4" minRefreshableVersion="3" recordCount="0" supportSubquery="1" supportAdvancedDrill="1">
  <cacheSource type="external" connectionId="1"/>
  <cacheFields count="24">
    <cacheField name="[Measures].[Number of Advice Events]" caption="Number of Advice Events" numFmtId="0" hierarchy="112" level="32767"/>
    <cacheField name="[Measures].[Unique Client Count]" caption="Unique Client Count" numFmtId="0" hierarchy="113" level="32767"/>
    <cacheField name="[Advice Event Type].[Advice Event Type].[Advice Event Type]" caption="Advice Event Type" numFmtId="0" level="1">
      <sharedItems containsSemiMixedTypes="0" containsString="0"/>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AIC Outcome].[AIC Part1].[AIC Part1]" caption="AIC Part1" numFmtId="0" hierarchy="2" level="1">
      <sharedItems count="16">
        <s v="[AIC Outcome].[AIC Part1].&amp;[Benefits &amp; tax credits]" c="Benefits &amp; tax credits"/>
        <s v="[AIC Outcome].[AIC Part1].&amp;[Consumer goods &amp; services]" c="Consumer goods &amp; services"/>
        <s v="[AIC Outcome].[AIC Part1].&amp;[Debt]" c="Debt"/>
        <s v="[AIC Outcome].[AIC Part1].&amp;[Discrimination]" c="Discrimination"/>
        <s v="[AIC Outcome].[AIC Part1].&amp;[Education]" c="Education"/>
        <s v="[AIC Outcome].[AIC Part1].&amp;[Employment]" c="Employment"/>
        <s v="[AIC Outcome].[AIC Part1].&amp;[Financial services &amp; capability]" c="Financial services &amp; capability"/>
        <s v="[AIC Outcome].[AIC Part1].&amp;[Health &amp; community care]" c="Health &amp; community care"/>
        <s v="[AIC Outcome].[AIC Part1].&amp;[Housing]" c="Housing"/>
        <s v="[AIC Outcome].[AIC Part1].&amp;[Immigration &amp; asylum]" c="Immigration &amp; asylum"/>
        <s v="[AIC Outcome].[AIC Part1].&amp;[Legal]" c="Legal"/>
        <s v="[AIC Outcome].[AIC Part1].&amp;[Other]" c="Other"/>
        <s v="[AIC Outcome].[AIC Part1].&amp;[Relationships &amp; family]" c="Relationships &amp; family"/>
        <s v="[AIC Outcome].[AIC Part1].&amp;[Tax]" c="Tax"/>
        <s v="[AIC Outcome].[AIC Part1].&amp;[Travel &amp; transport]" c="Travel &amp; transport"/>
        <s v="[AIC Outcome].[AIC Part1].&amp;[Utilities &amp; communications]" c="Utilities &amp; communications"/>
      </sharedItems>
    </cacheField>
    <cacheField name="[AIC Outcome].[AIC Part2].[AIC Part2]" caption="AIC Part2" numFmtId="0" hierarchy="3" level="1" mappingCount="1">
      <sharedItems count="201">
        <s v="[AIC Outcome].[AIC Part2].&amp;[Benefits &amp; tax credits]&amp;[02 Income Support]" c="02 Income Support" cp="1">
          <x/>
        </s>
        <s v="[AIC Outcome].[AIC Part2].&amp;[Benefits &amp; tax credits]&amp;[03 Pension Credit]" c="03 Pension Credit" cp="1">
          <x/>
        </s>
        <s v="[AIC Outcome].[AIC Part2].&amp;[Benefits &amp; tax credits]&amp;[05 Social Fund Loans-Budgeting]" c="05 Social Fund Loans-Budgeting" cp="1">
          <x/>
        </s>
        <s v="[AIC Outcome].[AIC Part2].&amp;[Benefits &amp; tax credits]&amp;[07 Housing Benefit]" c="07 Housing Benefit" cp="1">
          <x/>
        </s>
        <s v="[AIC Outcome].[AIC Part2].&amp;[Benefits &amp; tax credits]&amp;[08 Child Benefit]" c="08 Child Benefit" cp="1">
          <x/>
        </s>
        <s v="[AIC Outcome].[AIC Part2].&amp;[Benefits &amp; tax credits]&amp;[10 Working &amp; Child Tax Credits]" c="10 Working &amp; Child Tax Credits" cp="1">
          <x/>
        </s>
        <s v="[AIC Outcome].[AIC Part2].&amp;[Benefits &amp; tax credits]&amp;[11 Jobseekers Allowance]" c="11 Jobseekers Allowance" cp="1">
          <x/>
        </s>
        <s v="[AIC Outcome].[AIC Part2].&amp;[Benefits &amp; tax credits]&amp;[12 National Insurance]" c="12 National Insurance" cp="1">
          <x/>
        </s>
        <s v="[AIC Outcome].[AIC Part2].&amp;[Benefits &amp; tax credits]&amp;[13 State Retirement Pension]" c="13 State Retirement Pension" cp="1">
          <x/>
        </s>
        <s v="[AIC Outcome].[AIC Part2].&amp;[Benefits &amp; tax credits]&amp;[14 Incapacity Benefit]" c="14 Incapacity Benefit" cp="1">
          <x/>
        </s>
        <s v="[AIC Outcome].[AIC Part2].&amp;[Benefits &amp; tax credits]&amp;[15 Disability Living Allowance]" c="15 Disability Living Allowance" cp="1">
          <x/>
        </s>
        <s v="[AIC Outcome].[AIC Part2].&amp;[Benefits &amp; tax credits]&amp;[17 Attendance Allowance]" c="17 Attendance Allowance" cp="1">
          <x/>
        </s>
        <s v="[AIC Outcome].[AIC Part2].&amp;[Benefits &amp; tax credits]&amp;[18 Carers Allowance]" c="18 Carers Allowance" cp="1">
          <x/>
        </s>
        <s v="[AIC Outcome].[AIC Part2].&amp;[Benefits &amp; tax credits]&amp;[19 Employment Support Allowance]" c="19 Employment Support Allowance" cp="1">
          <x/>
        </s>
        <s v="[AIC Outcome].[AIC Part2].&amp;[Benefits &amp; tax credits]&amp;[20 Universal credit]" c="20 Universal credit" cp="1">
          <x/>
        </s>
        <s v="[AIC Outcome].[AIC Part2].&amp;[Benefits &amp; tax credits]&amp;[21 Personal independence payment]" c="21 Personal independence payment" cp="1">
          <x/>
        </s>
        <s v="[AIC Outcome].[AIC Part2].&amp;[Benefits &amp; tax credits]&amp;[22 Localised social welfare]" c="22 Localised social welfare" cp="1">
          <x/>
        </s>
        <s v="[AIC Outcome].[AIC Part2].&amp;[Benefits &amp; tax credits]&amp;[23 Council tax reduction]" c="23 Council tax reduction" cp="1">
          <x/>
        </s>
        <s v="[AIC Outcome].[AIC Part2].&amp;[Benefits &amp; tax credits]&amp;[24 Benefit cap]" c="24 Benefit cap" cp="1">
          <x/>
        </s>
        <s v="[AIC Outcome].[AIC Part2].&amp;[Benefits &amp; tax credits]&amp;[26 Complaints]" c="26 Complaints" cp="1">
          <x/>
        </s>
        <s v="[AIC Outcome].[AIC Part2].&amp;[Benefits &amp; tax credits]&amp;[27 Passported benefits]" c="27 Passported benefits" cp="1">
          <x/>
        </s>
        <s v="[AIC Outcome].[AIC Part2].&amp;[Benefits &amp; tax credits]&amp;[99 Other benefits issues]" c="99 Other benefits issues" cp="1">
          <x/>
        </s>
        <s v="[AIC Outcome].[AIC Part2].&amp;[Benefits &amp; tax credits]&amp;[Not recorded/not applicable]" c="Not recorded/not applicable" cp="1">
          <x/>
        </s>
        <s v="[AIC Outcome].[AIC Part2].&amp;[Consumer goods &amp; services]&amp;[02 Private sales &amp; internet auctions]" c="02 Private sales &amp; internet auctions" cp="1">
          <x v="1"/>
        </s>
        <s v="[AIC Outcome].[AIC Part2].&amp;[Consumer goods &amp; services]&amp;[03 Building repairs &amp; improvements]" c="03 Building repairs &amp; improvements" cp="1">
          <x v="1"/>
        </s>
        <s v="[AIC Outcome].[AIC Part2].&amp;[Consumer goods &amp; services]&amp;[04 Double glazing &amp; associated products]" c="04 Double glazing &amp; associated products" cp="1">
          <x v="1"/>
        </s>
        <s v="[AIC Outcome].[AIC Part2].&amp;[Consumer goods &amp; services]&amp;[05 Furnishings &amp; floor coverings]" c="05 Furnishings &amp; floor coverings" cp="1">
          <x v="1"/>
        </s>
        <s v="[AIC Outcome].[AIC Part2].&amp;[Consumer goods &amp; services]&amp;[06 Electrical appliances &amp; repairs]" c="06 Electrical appliances &amp; repairs" cp="1">
          <x v="1"/>
        </s>
        <s v="[AIC Outcome].[AIC Part2].&amp;[Consumer goods &amp; services]&amp;[07 Computer hardware &amp; software]" c="07 Computer hardware &amp; software" cp="1">
          <x v="1"/>
        </s>
        <s v="[AIC Outcome].[AIC Part2].&amp;[Consumer goods &amp; services]&amp;[09 Personal Development Courses (incl IT)]" c="09 Personal Development Courses (incl IT)" cp="1">
          <x v="1"/>
        </s>
        <s v="[AIC Outcome].[AIC Part2].&amp;[Consumer goods &amp; services]&amp;[10 Disability aids &amp; adaptations]" c="10 Disability aids &amp; adaptations" cp="1">
          <x v="1"/>
        </s>
        <s v="[AIC Outcome].[AIC Part2].&amp;[Consumer goods &amp; services]&amp;[12 Second hand vehicles]" c="12 Second hand vehicles" cp="1">
          <x v="1"/>
        </s>
        <s v="[AIC Outcome].[AIC Part2].&amp;[Consumer goods &amp; services]&amp;[13 Vehicle repairs/servicing]" c="13 Vehicle repairs/servicing" cp="1">
          <x v="1"/>
        </s>
        <s v="[AIC Outcome].[AIC Part2].&amp;[Consumer goods &amp; services]&amp;[14 Food &amp; Drink]" c="14 Food &amp; Drink" cp="1">
          <x v="1"/>
        </s>
        <s v="[AIC Outcome].[AIC Part2].&amp;[Consumer goods &amp; services]&amp;[15 Health gym &amp; sports club memberships]" c="15 Health gym &amp; sports club memberships" cp="1">
          <x v="1"/>
        </s>
        <s v="[AIC Outcome].[AIC Part2].&amp;[Consumer goods &amp; services]&amp;[17 Fraud and scams]" c="17 Fraud and scams" cp="1">
          <x v="1"/>
        </s>
        <s v="[AIC Outcome].[AIC Part2].&amp;[Consumer goods &amp; services]&amp;[18 Energy company obligation (ECO)]" c="18 Energy company obligation (ECO)" cp="1">
          <x v="1"/>
        </s>
        <s v="[AIC Outcome].[AIC Part2].&amp;[Consumer goods &amp; services]&amp;[22 Energy efficiency measures (non-ECO)]" c="22 Energy efficiency measures (non-ECO)" cp="1">
          <x v="1"/>
        </s>
        <s v="[AIC Outcome].[AIC Part2].&amp;[Consumer goods &amp; services]&amp;[23 Heating systems installation and servicing]" c="23 Heating systems installation and servicing" cp="1">
          <x v="1"/>
        </s>
        <s v="[AIC Outcome].[AIC Part2].&amp;[Consumer goods &amp; services]&amp;[24 Culture and entertainment (theatre, events, festivals, concerts, cinema)]" c="24 Culture and entertainment (theatre, events, festivals, concerts, cinema)" cp="1">
          <x v="1"/>
        </s>
        <s v="[AIC Outcome].[AIC Part2].&amp;[Consumer goods &amp; services]&amp;[25 Digital goods and services (apps, e-books, downloads, streaming, cloud storage)]" c="25 Digital goods and services (apps, e-books, downloads, streaming, cloud storage)" cp="1">
          <x v="1"/>
        </s>
        <s v="[AIC Outcome].[AIC Part2].&amp;[Consumer goods &amp; services]&amp;[99 Other goods &amp; services]" c="99 Other goods &amp; services" cp="1">
          <x v="1"/>
        </s>
        <s v="[AIC Outcome].[AIC Part2].&amp;[Consumer goods &amp; services]&amp;[Not recorded/not applicable]" c="Not recorded/not applicable" cp="1">
          <x v="1"/>
        </s>
        <s v="[AIC Outcome].[AIC Part2].&amp;[Debt]&amp;[02 Mortgage &amp; secured loan arrears]" c="02 Mortgage &amp; secured loan arrears" cp="1">
          <x v="2"/>
        </s>
        <s v="[AIC Outcome].[AIC Part2].&amp;[Debt]&amp;[03 Hire purchase arrears]" c="03 Hire purchase arrears" cp="1">
          <x v="2"/>
        </s>
        <s v="[AIC Outcome].[AIC Part2].&amp;[Debt]&amp;[04 Fuel debts]" c="04 Fuel debts" cp="1">
          <x v="2"/>
        </s>
        <s v="[AIC Outcome].[AIC Part2].&amp;[Debt]&amp;[06 Rent arrears - LAs or ALMOs]" c="06 Rent arrears - LAs or ALMOs" cp="1">
          <x v="2"/>
        </s>
        <s v="[AIC Outcome].[AIC Part2].&amp;[Debt]&amp;[07 Rent arrears -  housing associations]" c="07 Rent arrears -  housing associations" cp="1">
          <x v="2"/>
        </s>
        <s v="[AIC Outcome].[AIC Part2].&amp;[Debt]&amp;[08 Rent arrears - private landlords]" c="08 Rent arrears - private landlords" cp="1">
          <x v="2"/>
        </s>
        <s v="[AIC Outcome].[AIC Part2].&amp;[Debt]&amp;[09 Council tax arrears]" c="09 Council tax arrears" cp="1">
          <x v="2"/>
        </s>
        <s v="[AIC Outcome].[AIC Part2].&amp;[Debt]&amp;[10 Mag. Cts. - fines &amp; comp.ord. arrears]" c="10 Mag. Cts. - fines &amp; comp.ord. arrears" cp="1">
          <x v="2"/>
        </s>
        <s v="[AIC Outcome].[AIC Part2].&amp;[Debt]&amp;[11 Maintenance &amp; child maintenance arrears]" c="11 Maintenance &amp; child maintenance arrears" cp="1">
          <x v="2"/>
        </s>
        <s v="[AIC Outcome].[AIC Part2].&amp;[Debt]&amp;[12 Bank &amp; building society overdrafts]" c="12 Bank &amp; building society overdrafts" cp="1">
          <x v="2"/>
        </s>
        <s v="[AIC Outcome].[AIC Part2].&amp;[Debt]&amp;[13 Credit, store &amp; charge card debts]" c="13 Credit, store &amp; charge card debts" cp="1">
          <x v="2"/>
        </s>
        <s v="[AIC Outcome].[AIC Part2].&amp;[Debt]&amp;[14 Unsecured personal loan debts]" c="14 Unsecured personal loan debts" cp="1">
          <x v="2"/>
        </s>
        <s v="[AIC Outcome].[AIC Part2].&amp;[Debt]&amp;[15 Catalogue &amp; mail order debts]" c="15 Catalogue &amp; mail order debts" cp="1">
          <x v="2"/>
        </s>
        <s v="[AIC Outcome].[AIC Part2].&amp;[Debt]&amp;[16 Water supply &amp; sewerage debts]" c="16 Water supply &amp; sewerage debts" cp="1">
          <x v="2"/>
        </s>
        <s v="[AIC Outcome].[AIC Part2].&amp;[Debt]&amp;[17 Unpaid parking penalty &amp; cong. chgs.]" c="17 Unpaid parking penalty &amp; cong. chgs." cp="1">
          <x v="2"/>
        </s>
        <s v="[AIC Outcome].[AIC Part2].&amp;[Debt]&amp;[18 Overpayments of WTC &amp; CTC]" c="18 Overpayments of WTC &amp; CTC" cp="1">
          <x v="2"/>
        </s>
        <s v="[AIC Outcome].[AIC Part2].&amp;[Debt]&amp;[19 Overpayments of IS/JSA/ESA]" c="19 Overpayments of IS/JSA/ESA" cp="1">
          <x v="2"/>
        </s>
        <s v="[AIC Outcome].[AIC Part2].&amp;[Debt]&amp;[20 Overpts. Housing &amp; Council Tax Bens.]" c="20 Overpts. Housing &amp; Council Tax Bens." cp="1">
          <x v="2"/>
        </s>
        <s v="[AIC Outcome].[AIC Part2].&amp;[Debt]&amp;[21 Social Fund debts]" c="21 Social Fund debts" cp="1">
          <x v="2"/>
        </s>
        <s v="[AIC Outcome].[AIC Part2].&amp;[Debt]&amp;[22 Payday loan debts]" c="22 Payday loan debts" cp="1">
          <x v="2"/>
        </s>
        <s v="[AIC Outcome].[AIC Part2].&amp;[Debt]&amp;[24 Debts to loan sharks/illegal lenders]" c="24 Debts to loan sharks/illegal lenders" cp="1">
          <x v="2"/>
        </s>
        <s v="[AIC Outcome].[AIC Part2].&amp;[Debt]&amp;[25 Arrears of income tax, VAT or NI contributions]" c="25 Arrears of income tax, VAT or NI contributions" cp="1">
          <x v="2"/>
        </s>
        <s v="[AIC Outcome].[AIC Part2].&amp;[Debt]&amp;[26 Overpayment of universal credit]" c="26 Overpayment of universal credit" cp="1">
          <x v="2"/>
        </s>
        <s v="[AIC Outcome].[AIC Part2].&amp;[Debt]&amp;[27 Overpayments of other benefits]" c="27 Overpayments of other benefits" cp="1">
          <x v="2"/>
        </s>
        <s v="[AIC Outcome].[AIC Part2].&amp;[Debt]&amp;[28 Guarantor loan debts]" c="28 Guarantor loan debts" cp="1">
          <x v="2"/>
        </s>
        <s v="[AIC Outcome].[AIC Part2].&amp;[Debt]&amp;[30 Mobile phone debt]" c="30 Mobile phone debt" cp="1">
          <x v="2"/>
        </s>
        <s v="[AIC Outcome].[AIC Part2].&amp;[Debt]&amp;[31 Other telecoms debt (landline, broadband, bundle, TV)]" c="31 Other telecoms debt (landline, broadband, bundle, TV)" cp="1">
          <x v="2"/>
        </s>
        <s v="[AIC Outcome].[AIC Part2].&amp;[Debt]&amp;[32 Debts to friends and family]" c="32 Debts to friends and family" cp="1">
          <x v="2"/>
        </s>
        <s v="[AIC Outcome].[AIC Part2].&amp;[Debt]&amp;[40 3rd party debt collection excl. bailiffs]" c="40 3rd party debt collection excl. bailiffs" cp="1">
          <x v="2"/>
        </s>
        <s v="[AIC Outcome].[AIC Part2].&amp;[Debt]&amp;[48 Individual Voluntary Arrangement]" c="48 Individual Voluntary Arrangement" cp="1">
          <x v="2"/>
        </s>
        <s v="[AIC Outcome].[AIC Part2].&amp;[Debt]&amp;[49 Debt Relief Order]" c="49 Debt Relief Order" cp="1">
          <x v="2"/>
        </s>
        <s v="[AIC Outcome].[AIC Part2].&amp;[Debt]&amp;[50 Bankruptcy]" c="50 Bankruptcy" cp="1">
          <x v="2"/>
        </s>
        <s v="[AIC Outcome].[AIC Part2].&amp;[Debt]&amp;[99 Other]" c="99 Other" cp="1">
          <x v="2"/>
        </s>
        <s v="[AIC Outcome].[AIC Part2].&amp;[Debt]&amp;[Not recorded/not applicable]" c="Not recorded/not applicable" cp="1">
          <x v="2"/>
        </s>
        <s v="[AIC Outcome].[AIC Part2].&amp;[Discrimination]&amp;[01 Discrimination: Age]" c="01 Discrimination: Age" cp="1">
          <x v="3"/>
        </s>
        <s v="[AIC Outcome].[AIC Part2].&amp;[Discrimination]&amp;[03 Discrimination: Disability excluding Mental Health]" c="03 Discrimination: Disability excluding Mental Health" cp="1">
          <x v="3"/>
        </s>
        <s v="[AIC Outcome].[AIC Part2].&amp;[Discrimination]&amp;[04 Discrimination: Disability Mental health]" c="04 Discrimination: Disability Mental health" cp="1">
          <x v="3"/>
        </s>
        <s v="[AIC Outcome].[AIC Part2].&amp;[Discrimination]&amp;[09 Discrimination: Pregnancy &amp; maternity]" c="09 Discrimination: Pregnancy &amp; maternity" cp="1">
          <x v="3"/>
        </s>
        <s v="[AIC Outcome].[AIC Part2].&amp;[Discrimination]&amp;[10 Discrimination: Race including nationality]" c="10 Discrimination: Race including nationality" cp="1">
          <x v="3"/>
        </s>
        <s v="[AIC Outcome].[AIC Part2].&amp;[Discrimination]&amp;[12 Discrimination: Sex/gender]" c="12 Discrimination: Sex/gender" cp="1">
          <x v="3"/>
        </s>
        <s v="[AIC Outcome].[AIC Part2].&amp;[Discrimination]&amp;[13 Discrimination: Sexual orientation]" c="13 Discrimination: Sexual orientation" cp="1">
          <x v="3"/>
        </s>
        <s v="[AIC Outcome].[AIC Part2].&amp;[Discrimination]&amp;[30 Domestic abuse: against woman by current/ex male partner]" c="30 Domestic abuse: against woman by current/ex male partner" cp="1">
          <x v="3"/>
        </s>
        <s v="[AIC Outcome].[AIC Part2].&amp;[Discrimination]&amp;[99 Domestic abuse: other]" c="99 Domestic abuse: other" cp="1">
          <x v="3"/>
        </s>
        <s v="[AIC Outcome].[AIC Part2].&amp;[Education]&amp;[02 Early years provision]" c="02 Early years provision" cp="1">
          <x v="4"/>
        </s>
        <s v="[AIC Outcome].[AIC Part2].&amp;[Education]&amp;[03 Schools, non-advanced education]" c="03 Schools, non-advanced education" cp="1">
          <x v="4"/>
        </s>
        <s v="[AIC Outcome].[AIC Part2].&amp;[Education]&amp;[04 Further Education/6th form colleges]" c="04 Further Education/6th form colleges" cp="1">
          <x v="4"/>
        </s>
        <s v="[AIC Outcome].[AIC Part2].&amp;[Education]&amp;[05 Higher Education]" c="05 Higher Education" cp="1">
          <x v="4"/>
        </s>
        <s v="[AIC Outcome].[AIC Part2].&amp;[Education]&amp;[06 Adult education]" c="06 Adult education" cp="1">
          <x v="4"/>
        </s>
        <s v="[AIC Outcome].[AIC Part2].&amp;[Education]&amp;[99 Other education issues]" c="99 Other education issues" cp="1">
          <x v="4"/>
        </s>
        <s v="[AIC Outcome].[AIC Part2].&amp;[Education]&amp;[Not recorded/not applicable]" c="Not recorded/not applicable" cp="1">
          <x v="4"/>
        </s>
        <s v="[AIC Outcome].[AIC Part2].&amp;[Employment]&amp;[03 Self Employment/Business]" c="03 Self Employment/Business" cp="1">
          <x v="5"/>
        </s>
        <s v="[AIC Outcome].[AIC Part2].&amp;[Employment]&amp;[04 Applying for jobs]" c="04 Applying for jobs" cp="1">
          <x v="5"/>
        </s>
        <s v="[AIC Outcome].[AIC Part2].&amp;[Employment]&amp;[05 Terms &amp; Conditions of Employment]" c="05 Terms &amp; Conditions of Employment" cp="1">
          <x v="5"/>
        </s>
        <s v="[AIC Outcome].[AIC Part2].&amp;[Employment]&amp;[07 Pay &amp; Entitlements]" c="07 Pay &amp; Entitlements" cp="1">
          <x v="5"/>
        </s>
        <s v="[AIC Outcome].[AIC Part2].&amp;[Employment]&amp;[08  Parental &amp; Carers rights]" c="08  Parental &amp; Carers rights" cp="1">
          <x v="5"/>
        </s>
        <s v="[AIC Outcome].[AIC Part2].&amp;[Employment]&amp;[09 Dispute resolution]" c="09 Dispute resolution" cp="1">
          <x v="5"/>
        </s>
        <s v="[AIC Outcome].[AIC Part2].&amp;[Employment]&amp;[10 Resignation]" c="10 Resignation" cp="1">
          <x v="5"/>
        </s>
        <s v="[AIC Outcome].[AIC Part2].&amp;[Employment]&amp;[11 Dismissal]" c="11 Dismissal" cp="1">
          <x v="5"/>
        </s>
        <s v="[AIC Outcome].[AIC Part2].&amp;[Employment]&amp;[12 Redundancy]" c="12 Redundancy" cp="1">
          <x v="5"/>
        </s>
        <s v="[AIC Outcome].[AIC Part2].&amp;[Employment]&amp;[13 Employment tribunals &amp; appeals]" c="13 Employment tribunals &amp; appeals" cp="1">
          <x v="5"/>
        </s>
        <s v="[AIC Outcome].[AIC Part2].&amp;[Employment]&amp;[14 Access to jobs]" c="14 Access to jobs" cp="1">
          <x v="5"/>
        </s>
        <s v="[AIC Outcome].[AIC Part2].&amp;[Employment]&amp;[99 Other]" c="99 Other" cp="1">
          <x v="5"/>
        </s>
        <s v="[AIC Outcome].[AIC Part2].&amp;[Employment]&amp;[Not recorded/not applicable]" c="Not recorded/not applicable" cp="1">
          <x v="5"/>
        </s>
        <s v="[AIC Outcome].[AIC Part2].&amp;[Financial services &amp; capability]&amp;[02 Bank/Building &amp; P/O Accounts]" c="02 Bank/Building &amp; P/O Accounts" cp="1">
          <x v="6"/>
        </s>
        <s v="[AIC Outcome].[AIC Part2].&amp;[Financial services &amp; capability]&amp;[03 Credit/store/charge cards]" c="03 Credit/store/charge cards" cp="1">
          <x v="6"/>
        </s>
        <s v="[AIC Outcome].[AIC Part2].&amp;[Financial services &amp; capability]&amp;[04 Mortgages &amp; secured loans]" c="04 Mortgages &amp; secured loans" cp="1">
          <x v="6"/>
        </s>
        <s v="[AIC Outcome].[AIC Part2].&amp;[Financial services &amp; capability]&amp;[05 Loans - unsecured]" c="05 Loans - unsecured" cp="1">
          <x v="6"/>
        </s>
        <s v="[AIC Outcome].[AIC Part2].&amp;[Financial services &amp; capability]&amp;[10 Payment protection insurance]" c="10 Payment protection insurance" cp="1">
          <x v="6"/>
        </s>
        <s v="[AIC Outcome].[AIC Part2].&amp;[Financial services &amp; capability]&amp;[11 Holiday/travel insurance]" c="11 Holiday/travel insurance" cp="1">
          <x v="6"/>
        </s>
        <s v="[AIC Outcome].[AIC Part2].&amp;[Financial services &amp; capability]&amp;[12 Vehicle insurance]" c="12 Vehicle insurance" cp="1">
          <x v="6"/>
        </s>
        <s v="[AIC Outcome].[AIC Part2].&amp;[Financial services &amp; capability]&amp;[13 Buildings &amp; house contents insurance]" c="13 Buildings &amp; house contents insurance" cp="1">
          <x v="6"/>
        </s>
        <s v="[AIC Outcome].[AIC Part2].&amp;[Financial services &amp; capability]&amp;[14 Life Insurance]" c="14 Life Insurance" cp="1">
          <x v="6"/>
        </s>
        <s v="[AIC Outcome].[AIC Part2].&amp;[Financial services &amp; capability]&amp;[17 Credit Reference Agencies]" c="17 Credit Reference Agencies" cp="1">
          <x v="6"/>
        </s>
        <s v="[AIC Outcome].[AIC Part2].&amp;[Financial services &amp; capability]&amp;[18 Personal Pensions]" c="18 Personal Pensions" cp="1">
          <x v="6"/>
        </s>
        <s v="[AIC Outcome].[AIC Part2].&amp;[Financial services &amp; capability]&amp;[19 Savings and investments]" c="19 Savings and investments" cp="1">
          <x v="6"/>
        </s>
        <s v="[AIC Outcome].[AIC Part2].&amp;[Financial services &amp; capability]&amp;[20 Financial capability]" c="20 Financial capability" cp="1">
          <x v="6"/>
        </s>
        <s v="[AIC Outcome].[AIC Part2].&amp;[Financial services &amp; capability]&amp;[22 Independent Financial Adviser]" c="22 Independent Financial Adviser" cp="1">
          <x v="6"/>
        </s>
        <s v="[AIC Outcome].[AIC Part2].&amp;[Financial services &amp; capability]&amp;[30 Pension Wise]" c="30 Pension Wise" cp="1">
          <x v="6"/>
        </s>
        <s v="[AIC Outcome].[AIC Part2].&amp;[Financial services &amp; capability]&amp;[99 Other credit, fin. &amp; insurance issues]" c="99 Other credit, fin. &amp; insurance issues" cp="1">
          <x v="6"/>
        </s>
        <s v="[AIC Outcome].[AIC Part2].&amp;[Financial services &amp; capability]&amp;[Not recorded/not applicable]" c="Not recorded/not applicable" cp="1">
          <x v="6"/>
        </s>
        <s v="[AIC Outcome].[AIC Part2].&amp;[Health &amp; community care]&amp;[03 Hospital Services (non-MH)]" c="03 Hospital Services (non-MH)" cp="1">
          <x v="7"/>
        </s>
        <s v="[AIC Outcome].[AIC Part2].&amp;[Health &amp; community care]&amp;[04 Hospital services - Mental Health]" c="04 Hospital services - Mental Health" cp="1">
          <x v="7"/>
        </s>
        <s v="[AIC Outcome].[AIC Part2].&amp;[Health &amp; community care]&amp;[05 General Medical Practice]" c="05 General Medical Practice" cp="1">
          <x v="7"/>
        </s>
        <s v="[AIC Outcome].[AIC Part2].&amp;[Health &amp; community care]&amp;[06 Residential Care]" c="06 Residential Care" cp="1">
          <x v="7"/>
        </s>
        <s v="[AIC Outcome].[AIC Part2].&amp;[Health &amp; community care]&amp;[07 Community Care (non-MH)]" c="07 Community Care (non-MH)" cp="1">
          <x v="7"/>
        </s>
        <s v="[AIC Outcome].[AIC Part2].&amp;[Health &amp; community care]&amp;[08 Community Care - Mental Health]" c="08 Community Care - Mental Health" cp="1">
          <x v="7"/>
        </s>
        <s v="[AIC Outcome].[AIC Part2].&amp;[Health &amp; community care]&amp;[09 Dentists]" c="09 Dentists" cp="1">
          <x v="7"/>
        </s>
        <s v="[AIC Outcome].[AIC Part2].&amp;[Health &amp; community care]&amp;[10 NHS costs/charges]" c="10 NHS costs/charges" cp="1">
          <x v="7"/>
        </s>
        <s v="[AIC Outcome].[AIC Part2].&amp;[Health &amp; community care]&amp;[80 Health Watch - General]" c="80 Health Watch - General" cp="1">
          <x v="7"/>
        </s>
        <s v="[AIC Outcome].[AIC Part2].&amp;[Health &amp; community care]&amp;[81 Health Watch - Hospital Service]" c="81 Health Watch - Hospital Service" cp="1">
          <x v="7"/>
        </s>
        <s v="[AIC Outcome].[AIC Part2].&amp;[Health &amp; community care]&amp;[82 Health Watch - Social Care Service]" c="82 Health Watch - Social Care Service" cp="1">
          <x v="7"/>
        </s>
        <s v="[AIC Outcome].[AIC Part2].&amp;[Health &amp; community care]&amp;[83 Health Watch - Other Service]" c="83 Health Watch - Other Service" cp="1">
          <x v="7"/>
        </s>
        <s v="[AIC Outcome].[AIC Part2].&amp;[Health &amp; community care]&amp;[84 Health Watch - Childrens Services]" c="84 Health Watch - Childrens Services" cp="1">
          <x v="7"/>
        </s>
        <s v="[AIC Outcome].[AIC Part2].&amp;[Health &amp; community care]&amp;[99 Other health &amp; community care issues]" c="99 Other health &amp; community care issues" cp="1">
          <x v="7"/>
        </s>
        <s v="[AIC Outcome].[AIC Part2].&amp;[Health &amp; community care]&amp;[Not recorded/not applicable]" c="Not recorded/not applicable" cp="1">
          <x v="7"/>
        </s>
        <s v="[AIC Outcome].[AIC Part2].&amp;[Housing]&amp;[02 Actual homelessness]" c="02 Actual homelessness" cp="1">
          <x v="8"/>
        </s>
        <s v="[AIC Outcome].[AIC Part2].&amp;[Housing]&amp;[03 Threatened homelessness]" c="03 Threatened homelessness" cp="1">
          <x v="8"/>
        </s>
        <s v="[AIC Outcome].[AIC Part2].&amp;[Housing]&amp;[04 LA homelessness service]" c="04 LA homelessness service" cp="1">
          <x v="8"/>
        </s>
        <s v="[AIC Outcome].[AIC Part2].&amp;[Housing]&amp;[05 Access to &amp; provision of accomm.]" c="05 Access to &amp; provision of accomm." cp="1">
          <x v="8"/>
        </s>
        <s v="[AIC Outcome].[AIC Part2].&amp;[Housing]&amp;[06 Local Authority housing]" c="06 Local Authority housing" cp="1">
          <x v="8"/>
        </s>
        <s v="[AIC Outcome].[AIC Part2].&amp;[Housing]&amp;[07 Housing association property]" c="07 Housing association property" cp="1">
          <x v="8"/>
        </s>
        <s v="[AIC Outcome].[AIC Part2].&amp;[Housing]&amp;[08 Private sector rented property]" c="08 Private sector rented property" cp="1">
          <x v="8"/>
        </s>
        <s v="[AIC Outcome].[AIC Part2].&amp;[Housing]&amp;[09 Owner occupier property]" c="09 Owner occupier property" cp="1">
          <x v="8"/>
        </s>
        <s v="[AIC Outcome].[AIC Part2].&amp;[Housing]&amp;[10 Environmental &amp; neighbour issues]" c="10 Environmental &amp; neighbour issues" cp="1">
          <x v="8"/>
        </s>
        <s v="[AIC Outcome].[AIC Part2].&amp;[Housing]&amp;[99 Other housing issues]" c="99 Other housing issues" cp="1">
          <x v="8"/>
        </s>
        <s v="[AIC Outcome].[AIC Part2].&amp;[Housing]&amp;[Not recorded/not applicable]" c="Not recorded/not applicable" cp="1">
          <x v="8"/>
        </s>
        <s v="[AIC Outcome].[AIC Part2].&amp;[Immigration &amp; asylum]&amp;[02 Asylum seekers]" c="02 Asylum seekers" cp="1">
          <x v="9"/>
        </s>
        <s v="[AIC Outcome].[AIC Part2].&amp;[Immigration &amp; asylum]&amp;[04 Family, dependents &amp; partners]" c="04 Family, dependents &amp; partners" cp="1">
          <x v="9"/>
        </s>
        <s v="[AIC Outcome].[AIC Part2].&amp;[Immigration &amp; asylum]&amp;[05 Visitors]" c="05 Visitors" cp="1">
          <x v="9"/>
        </s>
        <s v="[AIC Outcome].[AIC Part2].&amp;[Immigration &amp; asylum]&amp;[06 Workers]" c="06 Workers" cp="1">
          <x v="9"/>
        </s>
        <s v="[AIC Outcome].[AIC Part2].&amp;[Immigration &amp; asylum]&amp;[07 Students]" c="07 Students" cp="1">
          <x v="9"/>
        </s>
        <s v="[AIC Outcome].[AIC Part2].&amp;[Immigration &amp; asylum]&amp;[08 Nationality/citizenship]" c="08 Nationality/citizenship" cp="1">
          <x v="9"/>
        </s>
        <s v="[AIC Outcome].[AIC Part2].&amp;[Immigration &amp; asylum]&amp;[09 Failed asylum seekers]" c="09 Failed asylum seekers" cp="1">
          <x v="9"/>
        </s>
        <s v="[AIC Outcome].[AIC Part2].&amp;[Immigration &amp; asylum]&amp;[99 Other issues]" c="99 Other issues" cp="1">
          <x v="9"/>
        </s>
        <s v="[AIC Outcome].[AIC Part2].&amp;[Immigration &amp; asylum]&amp;[Not recorded/not applicable]" c="Not recorded/not applicable" cp="1">
          <x v="9"/>
        </s>
        <s v="[AIC Outcome].[AIC Part2].&amp;[Legal]&amp;[02 Magistrates Court proceedings]" c="02 Magistrates Court proceedings" cp="1">
          <x v="10"/>
        </s>
        <s v="[AIC Outcome].[AIC Part2].&amp;[Legal]&amp;[03 County &amp; High Court proceedings]" c="03 County &amp; High Court proceedings" cp="1">
          <x v="10"/>
        </s>
        <s v="[AIC Outcome].[AIC Part2].&amp;[Legal]&amp;[05 Legal aid]" c="05 Legal aid" cp="1">
          <x v="10"/>
        </s>
        <s v="[AIC Outcome].[AIC Part2].&amp;[Legal]&amp;[06 Solicitors/barristers]" c="06 Solicitors/barristers" cp="1">
          <x v="10"/>
        </s>
        <s v="[AIC Outcome].[AIC Part2].&amp;[Legal]&amp;[07 Police]" c="07 Police" cp="1">
          <x v="10"/>
        </s>
        <s v="[AIC Outcome].[AIC Part2].&amp;[Legal]&amp;[10 Capacity to act]" c="10 Capacity to act" cp="1">
          <x v="10"/>
        </s>
        <s v="[AIC Outcome].[AIC Part2].&amp;[Legal]&amp;[11 Personal-related court proceedings]" c="11 Personal-related court proceedings" cp="1">
          <x v="10"/>
        </s>
        <s v="[AIC Outcome].[AIC Part2].&amp;[Legal]&amp;[12 Criminal justice]" c="12 Criminal justice" cp="1">
          <x v="10"/>
        </s>
        <s v="[AIC Outcome].[AIC Part2].&amp;[Legal]&amp;[99 Other]" c="99 Other" cp="1">
          <x v="10"/>
        </s>
        <s v="[AIC Outcome].[AIC Part2].&amp;[Legal]&amp;[Not recorded/not applicable]" c="Not recorded/not applicable" cp="1">
          <x v="10"/>
        </s>
        <s v="[AIC Outcome].[AIC Part2].&amp;[Other]&amp;[07 Charitable support]" c="07 Charitable support" cp="1">
          <x v="11"/>
        </s>
        <s v="[AIC Outcome].[AIC Part2].&amp;[Other]&amp;[99 Other]" c="99 Other" cp="1">
          <x v="11"/>
        </s>
        <s v="[AIC Outcome].[AIC Part2].&amp;[Other]&amp;[Not recorded/not applicable]" c="Not recorded/not applicable" cp="1">
          <x v="11"/>
        </s>
        <s v="[AIC Outcome].[AIC Part2].&amp;[Relationships &amp; family]&amp;[02 Marriage, cohabitation, civil partnership]" c="02 Marriage, cohabitation, civil partnership" cp="1">
          <x v="12"/>
        </s>
        <s v="[AIC Outcome].[AIC Part2].&amp;[Relationships &amp; family]&amp;[05 Social Services &amp; support]" c="05 Social Services &amp; support" cp="1">
          <x v="12"/>
        </s>
        <s v="[AIC Outcome].[AIC Part2].&amp;[Relationships &amp; family]&amp;[06 Divorce, separation, dissolution]" c="06 Divorce, separation, dissolution" cp="1">
          <x v="12"/>
        </s>
        <s v="[AIC Outcome].[AIC Part2].&amp;[Relationships &amp; family]&amp;[07 Children]" c="07 Children" cp="1">
          <x v="12"/>
        </s>
        <s v="[AIC Outcome].[AIC Part2].&amp;[Relationships &amp; family]&amp;[08 Child maintenance: resident parent &amp; family]" c="08 Child maintenance: resident parent &amp; family" cp="1">
          <x v="12"/>
        </s>
        <s v="[AIC Outcome].[AIC Part2].&amp;[Relationships &amp; family]&amp;[09 Child maintenance: non-res. parent &amp; family]" c="09 Child maintenance: non-res. parent &amp; family" cp="1">
          <x v="12"/>
        </s>
        <s v="[AIC Outcome].[AIC Part2].&amp;[Relationships &amp; family]&amp;[10 Death &amp; Bereavement]" c="10 Death &amp; Bereavement" cp="1">
          <x v="12"/>
        </s>
        <s v="[AIC Outcome].[AIC Part2].&amp;[Relationships &amp; family]&amp;[11 Certificates &amp; proofs of identity]" c="11 Certificates &amp; proofs of identity" cp="1">
          <x v="12"/>
        </s>
        <s v="[AIC Outcome].[AIC Part2].&amp;[Relationships &amp; family]&amp;[99 Other]" c="99 Other" cp="1">
          <x v="12"/>
        </s>
        <s v="[AIC Outcome].[AIC Part2].&amp;[Relationships &amp; family]&amp;[Not recorded/not applicable]" c="Not recorded/not applicable" cp="1">
          <x v="12"/>
        </s>
        <s v="[AIC Outcome].[AIC Part2].&amp;[Tax]&amp;[02 Income Tax]" c="02 Income Tax" cp="1">
          <x v="13"/>
        </s>
        <s v="[AIC Outcome].[AIC Part2].&amp;[Tax]&amp;[03 Council Tax]" c="03 Council Tax" cp="1">
          <x v="13"/>
        </s>
        <s v="[AIC Outcome].[AIC Part2].&amp;[Tax]&amp;[99 Other Tax Issues]" c="99 Other Tax Issues" cp="1">
          <x v="13"/>
        </s>
        <s v="[AIC Outcome].[AIC Part2].&amp;[Tax]&amp;[Not recorded/not applicable]" c="Not recorded/not applicable" cp="1">
          <x v="13"/>
        </s>
        <s v="[AIC Outcome].[AIC Part2].&amp;[Travel &amp; transport]&amp;[02 Public transport]" c="02 Public transport" cp="1">
          <x v="14"/>
        </s>
        <s v="[AIC Outcome].[AIC Part2].&amp;[Travel &amp; transport]&amp;[03 Driving]" c="03 Driving" cp="1">
          <x v="14"/>
        </s>
        <s v="[AIC Outcome].[AIC Part2].&amp;[Travel &amp; transport]&amp;[06 Package holidays]" c="06 Package holidays" cp="1">
          <x v="14"/>
        </s>
        <s v="[AIC Outcome].[AIC Part2].&amp;[Travel &amp; transport]&amp;[09 Parking on private land]" c="09 Parking on private land" cp="1">
          <x v="14"/>
        </s>
        <s v="[AIC Outcome].[AIC Part2].&amp;[Travel &amp; transport]&amp;[10 Parking charges on public land/on-street parking]" c="10 Parking charges on public land/on-street parking" cp="1">
          <x v="14"/>
        </s>
        <s v="[AIC Outcome].[AIC Part2].&amp;[Travel &amp; transport]&amp;[99 Other travel, transport &amp; holiday]" c="99 Other travel, transport &amp; holiday" cp="1">
          <x v="14"/>
        </s>
        <s v="[AIC Outcome].[AIC Part2].&amp;[Travel &amp; transport]&amp;[Not recorded/not applicable]" c="Not recorded/not applicable" cp="1">
          <x v="14"/>
        </s>
        <s v="[AIC Outcome].[AIC Part2].&amp;[Utilities &amp; communications]&amp;[02 Fuel (gas, electricity, oil, coal etc.)]" c="02 Fuel (gas, electricity, oil, coal etc.)" cp="1">
          <x v="15"/>
        </s>
        <s v="[AIC Outcome].[AIC Part2].&amp;[Utilities &amp; communications]&amp;[03 Water &amp; sewerage]" c="03 Water &amp; sewerage" cp="1">
          <x v="15"/>
        </s>
        <s v="[AIC Outcome].[AIC Part2].&amp;[Utilities &amp; communications]&amp;[04 Telephone landline]" c="04 Telephone landline" cp="1">
          <x v="15"/>
        </s>
        <s v="[AIC Outcome].[AIC Part2].&amp;[Utilities &amp; communications]&amp;[05 Mobile phones]" c="05 Mobile phones" cp="1">
          <x v="15"/>
        </s>
        <s v="[AIC Outcome].[AIC Part2].&amp;[Utilities &amp; communications]&amp;[06 TV including cable, digital &amp; satellite]" c="06 TV including cable, digital &amp; satellite" cp="1">
          <x v="15"/>
        </s>
        <s v="[AIC Outcome].[AIC Part2].&amp;[Utilities &amp; communications]&amp;[07 Internet &amp; broadband]" c="07 Internet &amp; broadband" cp="1">
          <x v="15"/>
        </s>
        <s v="[AIC Outcome].[AIC Part2].&amp;[Utilities &amp; communications]&amp;[08 Unwanted communications]" c="08 Unwanted communications" cp="1">
          <x v="15"/>
        </s>
        <s v="[AIC Outcome].[AIC Part2].&amp;[Utilities &amp; communications]&amp;[99 Other communications &amp; utility issues]" c="99 Other communications &amp; utility issues" cp="1">
          <x v="15"/>
        </s>
        <s v="[AIC Outcome].[AIC Part2].&amp;[Utilities &amp; communications]&amp;[Not recorded/not applicable]" c="Not recorded/not applicable" cp="1">
          <x v="15"/>
        </s>
      </sharedItems>
      <mpMap v="13"/>
    </cacheField>
    <cacheField name="[AIC Outcome].[AIC Part2].[AIC Part2].[AIC Part1]" caption="AIC Part1" propertyName="AIC Part1" numFmtId="0" hierarchy="3" level="1" memberPropertyField="1">
      <sharedItems count="16">
        <s v="Benefits &amp; tax credits"/>
        <s v="Consumer goods &amp; services"/>
        <s v="Debt"/>
        <s v="Discrimination"/>
        <s v="Education"/>
        <s v="Employment"/>
        <s v="Financial services &amp; capability"/>
        <s v="Health &amp; community care"/>
        <s v="Housing"/>
        <s v="Immigration &amp; asylum"/>
        <s v="Legal"/>
        <s v="Other"/>
        <s v="Relationships &amp; family"/>
        <s v="Tax"/>
        <s v="Travel &amp; transport"/>
        <s v="Utilities &amp; communications"/>
      </sharedItems>
    </cacheField>
    <cacheField name="[AIC Outcome].[AIC Part3].[AIC Part3]" caption="AIC Part3" numFmtId="0" hierarchy="4" level="1" mappingCount="1">
      <sharedItems count="1058">
        <s v="[AIC Outcome].[AIC Part3].&amp;[Benefits &amp; tax credits]&amp;[02 Income Support]&amp;[A Eligibility, entitlement, calc.]" c="A Eligibility, entitlement, calc." cp="1">
          <x/>
        </s>
        <s v="[AIC Outcome].[AIC Part3].&amp;[Benefits &amp; tax credits]&amp;[02 Income Support]&amp;[B Poor administration]" c="B Poor administration" cp="1">
          <x/>
        </s>
        <s v="[AIC Outcome].[AIC Part3].&amp;[Benefits &amp; tax credits]&amp;[02 Income Support]&amp;[D Changes of circumstances]" c="D Changes of circumstances" cp="1">
          <x/>
        </s>
        <s v="[AIC Outcome].[AIC Part3].&amp;[Benefits &amp; tax credits]&amp;[02 Income Support]&amp;[F Backdating]" c="F Backdating" cp="1">
          <x/>
        </s>
        <s v="[AIC Outcome].[AIC Part3].&amp;[Benefits &amp; tax credits]&amp;[02 Income Support]&amp;[G Housing costs (home owners)]" c="G Housing costs (home owners)" cp="1">
          <x/>
        </s>
        <s v="[AIC Outcome].[AIC Part3].&amp;[Benefits &amp; tax credits]&amp;[02 Income Support]&amp;[L Alleged fraud, error and disputes (not appeals)]" c="L Alleged fraud, error and disputes (not appeals)" cp="1">
          <x/>
        </s>
        <s v="[AIC Outcome].[AIC Part3].&amp;[Benefits &amp; tax credits]&amp;[02 Income Support]&amp;[Not recorded/not applicable]" c="Not recorded/not applicable" cp="1">
          <x/>
        </s>
        <s v="[AIC Outcome].[AIC Part3].&amp;[Benefits &amp; tax credits]&amp;[02 Income Support]&amp;[X Premium]" c="X Premium" cp="1">
          <x/>
        </s>
        <s v="[AIC Outcome].[AIC Part3].&amp;[Benefits &amp; tax credits]&amp;[02 Income Support]&amp;[Y Making and managing a claim]" c="Y Making and managing a claim" cp="1">
          <x/>
        </s>
        <s v="[AIC Outcome].[AIC Part3].&amp;[Benefits &amp; tax credits]&amp;[02 Income Support]&amp;[Z Other]" c="Z Other" cp="1">
          <x/>
        </s>
        <s v="[AIC Outcome].[AIC Part3].&amp;[Benefits &amp; tax credits]&amp;[03 Pension Credit]&amp;[A Eligibility, entitlement, calculation]" c="A Eligibility, entitlement, calculation" cp="1">
          <x v="1"/>
        </s>
        <s v="[AIC Outcome].[AIC Part3].&amp;[Benefits &amp; tax credits]&amp;[03 Pension Credit]&amp;[B Poor administration]" c="B Poor administration" cp="1">
          <x v="1"/>
        </s>
        <s v="[AIC Outcome].[AIC Part3].&amp;[Benefits &amp; tax credits]&amp;[03 Pension Credit]&amp;[D Changes of circumstances]" c="D Changes of circumstances" cp="1">
          <x v="1"/>
        </s>
        <s v="[AIC Outcome].[AIC Part3].&amp;[Benefits &amp; tax credits]&amp;[03 Pension Credit]&amp;[DB Challenging a decision (not appeals)]" c="DB Challenging a decision (not appeals)" cp="1">
          <x v="1"/>
        </s>
        <s v="[AIC Outcome].[AIC Part3].&amp;[Benefits &amp; tax credits]&amp;[03 Pension Credit]&amp;[F Backdating]" c="F Backdating" cp="1">
          <x v="1"/>
        </s>
        <s v="[AIC Outcome].[AIC Part3].&amp;[Benefits &amp; tax credits]&amp;[03 Pension Credit]&amp;[G Housing costs (home owners)]" c="G Housing costs (home owners)" cp="1">
          <x v="1"/>
        </s>
        <s v="[AIC Outcome].[AIC Part3].&amp;[Benefits &amp; tax credits]&amp;[03 Pension Credit]&amp;[L Alleged fraud, error and disputes (not appeals)]" c="L Alleged fraud, error and disputes (not appeals)" cp="1">
          <x v="1"/>
        </s>
        <s v="[AIC Outcome].[AIC Part3].&amp;[Benefits &amp; tax credits]&amp;[03 Pension Credit]&amp;[Not recorded/not applicable]" c="Not recorded/not applicable" cp="1">
          <x v="1"/>
        </s>
        <s v="[AIC Outcome].[AIC Part3].&amp;[Benefits &amp; tax credits]&amp;[03 Pension Credit]&amp;[S Co-habitation]" c="S Co-habitation" cp="1">
          <x v="1"/>
        </s>
        <s v="[AIC Outcome].[AIC Part3].&amp;[Benefits &amp; tax credits]&amp;[03 Pension Credit]&amp;[X Premium]" c="X Premium" cp="1">
          <x v="1"/>
        </s>
        <s v="[AIC Outcome].[AIC Part3].&amp;[Benefits &amp; tax credits]&amp;[03 Pension Credit]&amp;[Y Making and managing a claim]" c="Y Making and managing a claim" cp="1">
          <x v="1"/>
        </s>
        <s v="[AIC Outcome].[AIC Part3].&amp;[Benefits &amp; tax credits]&amp;[03 Pension Credit]&amp;[Z Other]" c="Z Other" cp="1">
          <x v="1"/>
        </s>
        <s v="[AIC Outcome].[AIC Part3].&amp;[Benefits &amp; tax credits]&amp;[05 Social Fund Loans-Budgeting]&amp;[A Eligibility, entitlement, calc.]" c="A Eligibility, entitlement, calc." cp="1">
          <x v="2"/>
        </s>
        <s v="[AIC Outcome].[AIC Part3].&amp;[Benefits &amp; tax credits]&amp;[05 Social Fund Loans-Budgeting]&amp;[B Poor administration]" c="B Poor administration" cp="1">
          <x v="2"/>
        </s>
        <s v="[AIC Outcome].[AIC Part3].&amp;[Benefits &amp; tax credits]&amp;[05 Social Fund Loans-Budgeting]&amp;[P Payment and repayment]" c="P Payment and repayment" cp="1">
          <x v="2"/>
        </s>
        <s v="[AIC Outcome].[AIC Part3].&amp;[Benefits &amp; tax credits]&amp;[05 Social Fund Loans-Budgeting]&amp;[Y Claiming process]" c="Y Claiming process" cp="1">
          <x v="2"/>
        </s>
        <s v="[AIC Outcome].[AIC Part3].&amp;[Benefits &amp; tax credits]&amp;[07 Housing Benefit]&amp;[A Eligibility, entitlement, calculation]" c="A Eligibility, entitlement, calculation" cp="1">
          <x v="3"/>
        </s>
        <s v="[AIC Outcome].[AIC Part3].&amp;[Benefits &amp; tax credits]&amp;[07 Housing Benefit]&amp;[B Poor administration]" c="B Poor administration" cp="1">
          <x v="3"/>
        </s>
        <s v="[AIC Outcome].[AIC Part3].&amp;[Benefits &amp; tax credits]&amp;[07 Housing Benefit]&amp;[D Changes of circumstances]" c="D Changes of circumstances" cp="1">
          <x v="3"/>
        </s>
        <s v="[AIC Outcome].[AIC Part3].&amp;[Benefits &amp; tax credits]&amp;[07 Housing Benefit]&amp;[DB Challenging a decision (not appeals)]" c="DB Challenging a decision (not appeals)" cp="1">
          <x v="3"/>
        </s>
        <s v="[AIC Outcome].[AIC Part3].&amp;[Benefits &amp; tax credits]&amp;[07 Housing Benefit]&amp;[E Appeals]" c="E Appeals" cp="1">
          <x v="3"/>
        </s>
        <s v="[AIC Outcome].[AIC Part3].&amp;[Benefits &amp; tax credits]&amp;[07 Housing Benefit]&amp;[F Backdating]" c="F Backdating" cp="1">
          <x v="3"/>
        </s>
        <s v="[AIC Outcome].[AIC Part3].&amp;[Benefits &amp; tax credits]&amp;[07 Housing Benefit]&amp;[G Discretionary payments]" c="G Discretionary payments" cp="1">
          <x v="3"/>
        </s>
        <s v="[AIC Outcome].[AIC Part3].&amp;[Benefits &amp; tax credits]&amp;[07 Housing Benefit]&amp;[L Alleged fraud, error and disputes (not appeals)]" c="L Alleged fraud, error and disputes (not appeals)" cp="1">
          <x v="3"/>
        </s>
        <s v="[AIC Outcome].[AIC Part3].&amp;[Benefits &amp; tax credits]&amp;[07 Housing Benefit]&amp;[M social rented sector restrictions (under-occupation)]" c="M social rented sector restrictions (under-occupation)" cp="1">
          <x v="3"/>
        </s>
        <s v="[AIC Outcome].[AIC Part3].&amp;[Benefits &amp; tax credits]&amp;[07 Housing Benefit]&amp;[Not recorded/not applicable]" c="Not recorded/not applicable" cp="1">
          <x v="3"/>
        </s>
        <s v="[AIC Outcome].[AIC Part3].&amp;[Benefits &amp; tax credits]&amp;[07 Housing Benefit]&amp;[PC LHA rent restrictions]" c="PC LHA rent restrictions" cp="1">
          <x v="3"/>
        </s>
        <s v="[AIC Outcome].[AIC Part3].&amp;[Benefits &amp; tax credits]&amp;[07 Housing Benefit]&amp;[S Co-habitation]" c="S Co-habitation" cp="1">
          <x v="3"/>
        </s>
        <s v="[AIC Outcome].[AIC Part3].&amp;[Benefits &amp; tax credits]&amp;[07 Housing Benefit]&amp;[T Non-dependent deductions]" c="T Non-dependent deductions" cp="1">
          <x v="3"/>
        </s>
        <s v="[AIC Outcome].[AIC Part3].&amp;[Benefits &amp; tax credits]&amp;[07 Housing Benefit]&amp;[X Premium]" c="X Premium" cp="1">
          <x v="3"/>
        </s>
        <s v="[AIC Outcome].[AIC Part3].&amp;[Benefits &amp; tax credits]&amp;[07 Housing Benefit]&amp;[Y Making and managing a claim]" c="Y Making and managing a claim" cp="1">
          <x v="3"/>
        </s>
        <s v="[AIC Outcome].[AIC Part3].&amp;[Benefits &amp; tax credits]&amp;[07 Housing Benefit]&amp;[Z Other]" c="Z Other" cp="1">
          <x v="3"/>
        </s>
        <s v="[AIC Outcome].[AIC Part3].&amp;[Benefits &amp; tax credits]&amp;[08 Child Benefit]&amp;[A Eligibility, entitlement, calc.]" c="A Eligibility, entitlement, calc." cp="1">
          <x v="4"/>
        </s>
        <s v="[AIC Outcome].[AIC Part3].&amp;[Benefits &amp; tax credits]&amp;[08 Child Benefit]&amp;[B Poor administration]" c="B Poor administration" cp="1">
          <x v="4"/>
        </s>
        <s v="[AIC Outcome].[AIC Part3].&amp;[Benefits &amp; tax credits]&amp;[08 Child Benefit]&amp;[F Backdating]" c="F Backdating" cp="1">
          <x v="4"/>
        </s>
        <s v="[AIC Outcome].[AIC Part3].&amp;[Benefits &amp; tax credits]&amp;[08 Child Benefit]&amp;[L Alleged fraud, error and disputes (not appeals)]" c="L Alleged fraud, error and disputes (not appeals)" cp="1">
          <x v="4"/>
        </s>
        <s v="[AIC Outcome].[AIC Part3].&amp;[Benefits &amp; tax credits]&amp;[08 Child Benefit]&amp;[Not recorded/not applicable]" c="Not recorded/not applicable" cp="1">
          <x v="4"/>
        </s>
        <s v="[AIC Outcome].[AIC Part3].&amp;[Benefits &amp; tax credits]&amp;[08 Child Benefit]&amp;[Y Making and managing a claim]" c="Y Making and managing a claim" cp="1">
          <x v="4"/>
        </s>
        <s v="[AIC Outcome].[AIC Part3].&amp;[Benefits &amp; tax credits]&amp;[08 Child Benefit]&amp;[Z Other]" c="Z Other" cp="1">
          <x v="4"/>
        </s>
        <s v="[AIC Outcome].[AIC Part3].&amp;[Benefits &amp; tax credits]&amp;[10 Working &amp; Child Tax Credits]&amp;[A Eligib, entitl &amp; calc - both CTC and WTC or CTC only]" c="A Eligib, entitl &amp; calc - both CTC and WTC or CTC only" cp="1">
          <x v="5"/>
        </s>
        <s v="[AIC Outcome].[AIC Part3].&amp;[Benefits &amp; tax credits]&amp;[10 Working &amp; Child Tax Credits]&amp;[AA Eligib., entitl., calc. - WTC only]" c="AA Eligib., entitl., calc. - WTC only" cp="1">
          <x v="5"/>
        </s>
        <s v="[AIC Outcome].[AIC Part3].&amp;[Benefits &amp; tax credits]&amp;[10 Working &amp; Child Tax Credits]&amp;[AC Eligib,entitl,calc. Childcare element - WTC]" c="AC Eligib,entitl,calc. Childcare element - WTC" cp="1">
          <x v="5"/>
        </s>
        <s v="[AIC Outcome].[AIC Part3].&amp;[Benefits &amp; tax credits]&amp;[10 Working &amp; Child Tax Credits]&amp;[AD Eligib,entitl,calc. Disab. el. - CTC or WTC]" c="AD Eligib,entitl,calc. Disab. el. - CTC or WTC" cp="1">
          <x v="5"/>
        </s>
        <s v="[AIC Outcome].[AIC Part3].&amp;[Benefits &amp; tax credits]&amp;[10 Working &amp; Child Tax Credits]&amp;[B Poor administration]" c="B Poor administration" cp="1">
          <x v="5"/>
        </s>
        <s v="[AIC Outcome].[AIC Part3].&amp;[Benefits &amp; tax credits]&amp;[10 Working &amp; Child Tax Credits]&amp;[E Appeals]" c="E Appeals" cp="1">
          <x v="5"/>
        </s>
        <s v="[AIC Outcome].[AIC Part3].&amp;[Benefits &amp; tax credits]&amp;[10 Working &amp; Child Tax Credits]&amp;[F Backdating]" c="F Backdating" cp="1">
          <x v="5"/>
        </s>
        <s v="[AIC Outcome].[AIC Part3].&amp;[Benefits &amp; tax credits]&amp;[10 Working &amp; Child Tax Credits]&amp;[H Renewals and finalisation]" c="H Renewals and finalisation" cp="1">
          <x v="5"/>
        </s>
        <s v="[AIC Outcome].[AIC Part3].&amp;[Benefits &amp; tax credits]&amp;[10 Working &amp; Child Tax Credits]&amp;[K Change of circumstances]" c="K Change of circumstances" cp="1">
          <x v="5"/>
        </s>
        <s v="[AIC Outcome].[AIC Part3].&amp;[Benefits &amp; tax credits]&amp;[10 Working &amp; Child Tax Credits]&amp;[L Alleged fraud, error and disputes (not appeals)]" c="L Alleged fraud, error and disputes (not appeals)" cp="1">
          <x v="5"/>
        </s>
        <s v="[AIC Outcome].[AIC Part3].&amp;[Benefits &amp; tax credits]&amp;[10 Working &amp; Child Tax Credits]&amp;[Not recorded/not applicable]" c="Not recorded/not applicable" cp="1">
          <x v="5"/>
        </s>
        <s v="[AIC Outcome].[AIC Part3].&amp;[Benefits &amp; tax credits]&amp;[10 Working &amp; Child Tax Credits]&amp;[S Co-habitation]" c="S Co-habitation" cp="1">
          <x v="5"/>
        </s>
        <s v="[AIC Outcome].[AIC Part3].&amp;[Benefits &amp; tax credits]&amp;[10 Working &amp; Child Tax Credits]&amp;[X Premium]" c="X Premium" cp="1">
          <x v="5"/>
        </s>
        <s v="[AIC Outcome].[AIC Part3].&amp;[Benefits &amp; tax credits]&amp;[10 Working &amp; Child Tax Credits]&amp;[Y Making and managing a claim]" c="Y Making and managing a claim" cp="1">
          <x v="5"/>
        </s>
        <s v="[AIC Outcome].[AIC Part3].&amp;[Benefits &amp; tax credits]&amp;[10 Working &amp; Child Tax Credits]&amp;[Z Other]" c="Z Other" cp="1">
          <x v="5"/>
        </s>
        <s v="[AIC Outcome].[AIC Part3].&amp;[Benefits &amp; tax credits]&amp;[11 Jobseekers Allowance]&amp;[A Eligibility, entitlement, calculation]" c="A Eligibility, entitlement, calculation" cp="1">
          <x v="6"/>
        </s>
        <s v="[AIC Outcome].[AIC Part3].&amp;[Benefits &amp; tax credits]&amp;[11 Jobseekers Allowance]&amp;[B Poor administration]" c="B Poor administration" cp="1">
          <x v="6"/>
        </s>
        <s v="[AIC Outcome].[AIC Part3].&amp;[Benefits &amp; tax credits]&amp;[11 Jobseekers Allowance]&amp;[D Change of circumstances]" c="D Change of circumstances" cp="1">
          <x v="6"/>
        </s>
        <s v="[AIC Outcome].[AIC Part3].&amp;[Benefits &amp; tax credits]&amp;[11 Jobseekers Allowance]&amp;[DA Civil penalties]" c="DA Civil penalties" cp="1">
          <x v="6"/>
        </s>
        <s v="[AIC Outcome].[AIC Part3].&amp;[Benefits &amp; tax credits]&amp;[11 Jobseekers Allowance]&amp;[DB Challenging a decision (not appeals)]" c="DB Challenging a decision (not appeals)" cp="1">
          <x v="6"/>
        </s>
        <s v="[AIC Outcome].[AIC Part3].&amp;[Benefits &amp; tax credits]&amp;[11 Jobseekers Allowance]&amp;[E Appeals]" c="E Appeals" cp="1">
          <x v="6"/>
        </s>
        <s v="[AIC Outcome].[AIC Part3].&amp;[Benefits &amp; tax credits]&amp;[11 Jobseekers Allowance]&amp;[F Backdating]" c="F Backdating" cp="1">
          <x v="6"/>
        </s>
        <s v="[AIC Outcome].[AIC Part3].&amp;[Benefits &amp; tax credits]&amp;[11 Jobseekers Allowance]&amp;[G Sanctions and hardship loans/payments]" c="G Sanctions and hardship loans/payments" cp="1">
          <x v="6"/>
        </s>
        <s v="[AIC Outcome].[AIC Part3].&amp;[Benefits &amp; tax credits]&amp;[11 Jobseekers Allowance]&amp;[GA Hardship loans/payments]" c="GA Hardship loans/payments" cp="1">
          <x v="6"/>
        </s>
        <s v="[AIC Outcome].[AIC Part3].&amp;[Benefits &amp; tax credits]&amp;[11 Jobseekers Allowance]&amp;[H Housing costs (home owners)]" c="H Housing costs (home owners)" cp="1">
          <x v="6"/>
        </s>
        <s v="[AIC Outcome].[AIC Part3].&amp;[Benefits &amp; tax credits]&amp;[11 Jobseekers Allowance]&amp;[L Alleged fraud, error and disputes (not appeals)]" c="L Alleged fraud, error and disputes (not appeals)" cp="1">
          <x v="6"/>
        </s>
        <s v="[AIC Outcome].[AIC Part3].&amp;[Benefits &amp; tax credits]&amp;[11 Jobseekers Allowance]&amp;[M Work focussed interviews]" c="M Work focussed interviews" cp="1">
          <x v="6"/>
        </s>
        <s v="[AIC Outcome].[AIC Part3].&amp;[Benefits &amp; tax credits]&amp;[11 Jobseekers Allowance]&amp;[Not recorded/not applicable]" c="Not recorded/not applicable" cp="1">
          <x v="6"/>
        </s>
        <s v="[AIC Outcome].[AIC Part3].&amp;[Benefits &amp; tax credits]&amp;[11 Jobseekers Allowance]&amp;[Y Making and managing a claim]" c="Y Making and managing a claim" cp="1">
          <x v="6"/>
        </s>
        <s v="[AIC Outcome].[AIC Part3].&amp;[Benefits &amp; tax credits]&amp;[11 Jobseekers Allowance]&amp;[Z Other]" c="Z Other" cp="1">
          <x v="6"/>
        </s>
        <s v="[AIC Outcome].[AIC Part3].&amp;[Benefits &amp; tax credits]&amp;[12 National Insurance]&amp;[A Obtaining an NI number]" c="A Obtaining an NI number" cp="1">
          <x v="7"/>
        </s>
        <s v="[AIC Outcome].[AIC Part3].&amp;[Benefits &amp; tax credits]&amp;[12 National Insurance]&amp;[D Contributions]" c="D Contributions" cp="1">
          <x v="7"/>
        </s>
        <s v="[AIC Outcome].[AIC Part3].&amp;[Benefits &amp; tax credits]&amp;[12 National Insurance]&amp;[E Credits]" c="E Credits" cp="1">
          <x v="7"/>
        </s>
        <s v="[AIC Outcome].[AIC Part3].&amp;[Benefits &amp; tax credits]&amp;[13 State Retirement Pension]&amp;[A Eligibility, entitlement, calculation]" c="A Eligibility, entitlement, calculation" cp="1">
          <x v="8"/>
        </s>
        <s v="[AIC Outcome].[AIC Part3].&amp;[Benefits &amp; tax credits]&amp;[13 State Retirement Pension]&amp;[E Appeals]" c="E Appeals" cp="1">
          <x v="8"/>
        </s>
        <s v="[AIC Outcome].[AIC Part3].&amp;[Benefits &amp; tax credits]&amp;[13 State Retirement Pension]&amp;[F Backdating]" c="F Backdating" cp="1">
          <x v="8"/>
        </s>
        <s v="[AIC Outcome].[AIC Part3].&amp;[Benefits &amp; tax credits]&amp;[13 State Retirement Pension]&amp;[Y Making and managing a claim]" c="Y Making and managing a claim" cp="1">
          <x v="8"/>
        </s>
        <s v="[AIC Outcome].[AIC Part3].&amp;[Benefits &amp; tax credits]&amp;[13 State Retirement Pension]&amp;[Z Other]" c="Z Other" cp="1">
          <x v="8"/>
        </s>
        <s v="[AIC Outcome].[AIC Part3].&amp;[Benefits &amp; tax credits]&amp;[14 Incapacity Benefit]&amp;[A Eligibility, entitlement, calculation]" c="A Eligibility, entitlement, calculation" cp="1">
          <x v="9"/>
        </s>
        <s v="[AIC Outcome].[AIC Part3].&amp;[Benefits &amp; tax credits]&amp;[14 Incapacity Benefit]&amp;[DB Challenging a decision (not appeals)]" c="DB Challenging a decision (not appeals)" cp="1">
          <x v="9"/>
        </s>
        <s v="[AIC Outcome].[AIC Part3].&amp;[Benefits &amp; tax credits]&amp;[15 Disability Living Allowance]&amp;[A Eligibility - care adult]" c="A Eligibility - care adult" cp="1">
          <x v="10"/>
        </s>
        <s v="[AIC Outcome].[AIC Part3].&amp;[Benefits &amp; tax credits]&amp;[15 Disability Living Allowance]&amp;[AA Eligibility - care child]" c="AA Eligibility - care child" cp="1">
          <x v="10"/>
        </s>
        <s v="[AIC Outcome].[AIC Part3].&amp;[Benefits &amp; tax credits]&amp;[15 Disability Living Allowance]&amp;[AC Eligibility - mobility child]" c="AC Eligibility - mobility child" cp="1">
          <x v="10"/>
        </s>
        <s v="[AIC Outcome].[AIC Part3].&amp;[Benefits &amp; tax credits]&amp;[15 Disability Living Allowance]&amp;[B Poor administration]" c="B Poor administration" cp="1">
          <x v="10"/>
        </s>
        <s v="[AIC Outcome].[AIC Part3].&amp;[Benefits &amp; tax credits]&amp;[15 Disability Living Allowance]&amp;[D Change of circumstances]" c="D Change of circumstances" cp="1">
          <x v="10"/>
        </s>
        <s v="[AIC Outcome].[AIC Part3].&amp;[Benefits &amp; tax credits]&amp;[15 Disability Living Allowance]&amp;[DB Challenging a decision (not appeals)]" c="DB Challenging a decision (not appeals)" cp="1">
          <x v="10"/>
        </s>
        <s v="[AIC Outcome].[AIC Part3].&amp;[Benefits &amp; tax credits]&amp;[15 Disability Living Allowance]&amp;[E Appeals]" c="E Appeals" cp="1">
          <x v="10"/>
        </s>
        <s v="[AIC Outcome].[AIC Part3].&amp;[Benefits &amp; tax credits]&amp;[15 Disability Living Allowance]&amp;[H Renewals &amp; reviews]" c="H Renewals &amp; reviews" cp="1">
          <x v="10"/>
        </s>
        <s v="[AIC Outcome].[AIC Part3].&amp;[Benefits &amp; tax credits]&amp;[15 Disability Living Allowance]&amp;[Not recorded/not applicable]" c="Not recorded/not applicable" cp="1">
          <x v="10"/>
        </s>
        <s v="[AIC Outcome].[AIC Part3].&amp;[Benefits &amp; tax credits]&amp;[15 Disability Living Allowance]&amp;[Y Making and managing a claim]" c="Y Making and managing a claim" cp="1">
          <x v="10"/>
        </s>
        <s v="[AIC Outcome].[AIC Part3].&amp;[Benefits &amp; tax credits]&amp;[15 Disability Living Allowance]&amp;[Z Other]" c="Z Other" cp="1">
          <x v="10"/>
        </s>
        <s v="[AIC Outcome].[AIC Part3].&amp;[Benefits &amp; tax credits]&amp;[17 Attendance Allowance]&amp;[A Eligibility]" c="A Eligibility" cp="1">
          <x v="11"/>
        </s>
        <s v="[AIC Outcome].[AIC Part3].&amp;[Benefits &amp; tax credits]&amp;[17 Attendance Allowance]&amp;[DB Challenging a decision (not appeals)]" c="DB Challenging a decision (not appeals)" cp="1">
          <x v="11"/>
        </s>
        <s v="[AIC Outcome].[AIC Part3].&amp;[Benefits &amp; tax credits]&amp;[17 Attendance Allowance]&amp;[H Renewals &amp; reviews]" c="H Renewals &amp; reviews" cp="1">
          <x v="11"/>
        </s>
        <s v="[AIC Outcome].[AIC Part3].&amp;[Benefits &amp; tax credits]&amp;[17 Attendance Allowance]&amp;[Not recorded/not applicable]" c="Not recorded/not applicable" cp="1">
          <x v="11"/>
        </s>
        <s v="[AIC Outcome].[AIC Part3].&amp;[Benefits &amp; tax credits]&amp;[17 Attendance Allowance]&amp;[Y Making and managing a claim]" c="Y Making and managing a claim" cp="1">
          <x v="11"/>
        </s>
        <s v="[AIC Outcome].[AIC Part3].&amp;[Benefits &amp; tax credits]&amp;[17 Attendance Allowance]&amp;[Z Other]" c="Z Other" cp="1">
          <x v="11"/>
        </s>
        <s v="[AIC Outcome].[AIC Part3].&amp;[Benefits &amp; tax credits]&amp;[18 Carers Allowance]&amp;[A Eligibility, entitlement, calculation]" c="A Eligibility, entitlement, calculation" cp="1">
          <x v="12"/>
        </s>
        <s v="[AIC Outcome].[AIC Part3].&amp;[Benefits &amp; tax credits]&amp;[18 Carers Allowance]&amp;[D Changes of circumstances]" c="D Changes of circumstances" cp="1">
          <x v="12"/>
        </s>
        <s v="[AIC Outcome].[AIC Part3].&amp;[Benefits &amp; tax credits]&amp;[18 Carers Allowance]&amp;[DA Civil penalties]" c="DA Civil penalties" cp="1">
          <x v="12"/>
        </s>
        <s v="[AIC Outcome].[AIC Part3].&amp;[Benefits &amp; tax credits]&amp;[18 Carers Allowance]&amp;[Not recorded/not applicable]" c="Not recorded/not applicable" cp="1">
          <x v="12"/>
        </s>
        <s v="[AIC Outcome].[AIC Part3].&amp;[Benefits &amp; tax credits]&amp;[18 Carers Allowance]&amp;[Y Making and managing a claim]" c="Y Making and managing a claim" cp="1">
          <x v="12"/>
        </s>
        <s v="[AIC Outcome].[AIC Part3].&amp;[Benefits &amp; tax credits]&amp;[18 Carers Allowance]&amp;[Z Other]" c="Z Other" cp="1">
          <x v="12"/>
        </s>
        <s v="[AIC Outcome].[AIC Part3].&amp;[Benefits &amp; tax credits]&amp;[19 Employment Support Allowance]&amp;[A Eligibility, entitlement, calculation]" c="A Eligibility, entitlement, calculation" cp="1">
          <x v="13"/>
        </s>
        <s v="[AIC Outcome].[AIC Part3].&amp;[Benefits &amp; tax credits]&amp;[19 Employment Support Allowance]&amp;[AA 12 month limit to contribution-based ESA]" c="AA 12 month limit to contribution-based ESA" cp="1">
          <x v="13"/>
        </s>
        <s v="[AIC Outcome].[AIC Part3].&amp;[Benefits &amp; tax credits]&amp;[19 Employment Support Allowance]&amp;[B Poor administration]" c="B Poor administration" cp="1">
          <x v="13"/>
        </s>
        <s v="[AIC Outcome].[AIC Part3].&amp;[Benefits &amp; tax credits]&amp;[19 Employment Support Allowance]&amp;[D Change of circumstances]" c="D Change of circumstances" cp="1">
          <x v="13"/>
        </s>
        <s v="[AIC Outcome].[AIC Part3].&amp;[Benefits &amp; tax credits]&amp;[19 Employment Support Allowance]&amp;[DA Civil penalties]" c="DA Civil penalties" cp="1">
          <x v="13"/>
        </s>
        <s v="[AIC Outcome].[AIC Part3].&amp;[Benefits &amp; tax credits]&amp;[19 Employment Support Allowance]&amp;[DB Challenging a decision (not appeals)]" c="DB Challenging a decision (not appeals)" cp="1">
          <x v="13"/>
        </s>
        <s v="[AIC Outcome].[AIC Part3].&amp;[Benefits &amp; tax credits]&amp;[19 Employment Support Allowance]&amp;[DC No money whilst waiting for reconsideration]" c="DC No money whilst waiting for reconsideration" cp="1">
          <x v="13"/>
        </s>
        <s v="[AIC Outcome].[AIC Part3].&amp;[Benefits &amp; tax credits]&amp;[19 Employment Support Allowance]&amp;[E Appeals]" c="E Appeals" cp="1">
          <x v="13"/>
        </s>
        <s v="[AIC Outcome].[AIC Part3].&amp;[Benefits &amp; tax credits]&amp;[19 Employment Support Allowance]&amp;[F Backdating]" c="F Backdating" cp="1">
          <x v="13"/>
        </s>
        <s v="[AIC Outcome].[AIC Part3].&amp;[Benefits &amp; tax credits]&amp;[19 Employment Support Allowance]&amp;[G Housing costs]" c="G Housing costs" cp="1">
          <x v="13"/>
        </s>
        <s v="[AIC Outcome].[AIC Part3].&amp;[Benefits &amp; tax credits]&amp;[19 Employment Support Allowance]&amp;[GG Complaints]" c="GG Complaints" cp="1">
          <x v="13"/>
        </s>
        <s v="[AIC Outcome].[AIC Part3].&amp;[Benefits &amp; tax credits]&amp;[19 Employment Support Allowance]&amp;[H Transition from incapacity benefit]" c="H Transition from incapacity benefit" cp="1">
          <x v="13"/>
        </s>
        <s v="[AIC Outcome].[AIC Part3].&amp;[Benefits &amp; tax credits]&amp;[19 Employment Support Allowance]&amp;[L Alleged fraud, error and disputes (not appeals)]" c="L Alleged fraud, error and disputes (not appeals)" cp="1">
          <x v="13"/>
        </s>
        <s v="[AIC Outcome].[AIC Part3].&amp;[Benefits &amp; tax credits]&amp;[19 Employment Support Allowance]&amp;[M Work-focusd interviews]" c="M Work-focusd interviews" cp="1">
          <x v="13"/>
        </s>
        <s v="[AIC Outcome].[AIC Part3].&amp;[Benefits &amp; tax credits]&amp;[19 Employment Support Allowance]&amp;[MA The Work Programme]" c="MA The Work Programme" cp="1">
          <x v="13"/>
        </s>
        <s v="[AIC Outcome].[AIC Part3].&amp;[Benefits &amp; tax credits]&amp;[19 Employment Support Allowance]&amp;[Not recorded/not applicable]" c="Not recorded/not applicable" cp="1">
          <x v="13"/>
        </s>
        <s v="[AIC Outcome].[AIC Part3].&amp;[Benefits &amp; tax credits]&amp;[19 Employment Support Allowance]&amp;[P Additional evidence (medical or other)]" c="P Additional evidence (medical or other)" cp="1">
          <x v="13"/>
        </s>
        <s v="[AIC Outcome].[AIC Part3].&amp;[Benefits &amp; tax credits]&amp;[19 Employment Support Allowance]&amp;[Q Work capability assessment: face to face]" c="Q Work capability assessment: face to face" cp="1">
          <x v="13"/>
        </s>
        <s v="[AIC Outcome].[AIC Part3].&amp;[Benefits &amp; tax credits]&amp;[19 Employment Support Allowance]&amp;[R Work capability assessment: paper based]" c="R Work capability assessment: paper based" cp="1">
          <x v="13"/>
        </s>
        <s v="[AIC Outcome].[AIC Part3].&amp;[Benefits &amp; tax credits]&amp;[19 Employment Support Allowance]&amp;[T Direct deductions]" c="T Direct deductions" cp="1">
          <x v="13"/>
        </s>
        <s v="[AIC Outcome].[AIC Part3].&amp;[Benefits &amp; tax credits]&amp;[19 Employment Support Allowance]&amp;[U Incorrect group allocation]" c="U Incorrect group allocation" cp="1">
          <x v="13"/>
        </s>
        <s v="[AIC Outcome].[AIC Part3].&amp;[Benefits &amp; tax credits]&amp;[19 Employment Support Allowance]&amp;[V Permitted work]" c="V Permitted work" cp="1">
          <x v="13"/>
        </s>
        <s v="[AIC Outcome].[AIC Part3].&amp;[Benefits &amp; tax credits]&amp;[19 Employment Support Allowance]&amp;[X Premium]" c="X Premium" cp="1">
          <x v="13"/>
        </s>
        <s v="[AIC Outcome].[AIC Part3].&amp;[Benefits &amp; tax credits]&amp;[19 Employment Support Allowance]&amp;[Y Making and managing a claim]" c="Y Making and managing a claim" cp="1">
          <x v="13"/>
        </s>
        <s v="[AIC Outcome].[AIC Part3].&amp;[Benefits &amp; tax credits]&amp;[19 Employment Support Allowance]&amp;[Z Other]" c="Z Other" cp="1">
          <x v="13"/>
        </s>
        <s v="[AIC Outcome].[AIC Part3].&amp;[Benefits &amp; tax credits]&amp;[20 Universal credit]&amp;[A Eligibility, entitlement, calc.]" c="A Eligibility, entitlement, calc." cp="1">
          <x v="14"/>
        </s>
        <s v="[AIC Outcome].[AIC Part3].&amp;[Benefits &amp; tax credits]&amp;[20 Universal credit]&amp;[AB Eligibility for child care costs]" c="AB Eligibility for child care costs" cp="1">
          <x v="14"/>
        </s>
        <s v="[AIC Outcome].[AIC Part3].&amp;[Benefits &amp; tax credits]&amp;[20 Universal credit]&amp;[AC Eligibility to disability elements]" c="AC Eligibility to disability elements" cp="1">
          <x v="14"/>
        </s>
        <s v="[AIC Outcome].[AIC Part3].&amp;[Benefits &amp; tax credits]&amp;[20 Universal credit]&amp;[B Poor administration]" c="B Poor administration" cp="1">
          <x v="14"/>
        </s>
        <s v="[AIC Outcome].[AIC Part3].&amp;[Benefits &amp; tax credits]&amp;[20 Universal credit]&amp;[D Changes of circumstances]" c="D Changes of circumstances" cp="1">
          <x v="14"/>
        </s>
        <s v="[AIC Outcome].[AIC Part3].&amp;[Benefits &amp; tax credits]&amp;[20 Universal credit]&amp;[DB Challenging a decision (not appeals)]" c="DB Challenging a decision (not appeals)" cp="1">
          <x v="14"/>
        </s>
        <s v="[AIC Outcome].[AIC Part3].&amp;[Benefits &amp; tax credits]&amp;[20 Universal credit]&amp;[HA Rental - discretionary housing payments]" c="HA Rental - discretionary housing payments" cp="1">
          <x v="14"/>
        </s>
        <s v="[AIC Outcome].[AIC Part3].&amp;[Benefits &amp; tax credits]&amp;[20 Universal credit]&amp;[HC Rental element - social rented sector restrictions (under occupation)]" c="HC Rental element - social rented sector restrictions (under occupation)" cp="1">
          <x v="14"/>
        </s>
        <s v="[AIC Outcome].[AIC Part3].&amp;[Benefits &amp; tax credits]&amp;[20 Universal credit]&amp;[HD Rental element - LHA restrictions]" c="HD Rental element - LHA restrictions" cp="1">
          <x v="14"/>
        </s>
        <s v="[AIC Outcome].[AIC Part3].&amp;[Benefits &amp; tax credits]&amp;[20 Universal credit]&amp;[HE Rental element - non-dependent deductions]" c="HE Rental element - non-dependent deductions" cp="1">
          <x v="14"/>
        </s>
        <s v="[AIC Outcome].[AIC Part3].&amp;[Benefits &amp; tax credits]&amp;[20 Universal credit]&amp;[K Sanctions and hardship loans/payments]" c="K Sanctions and hardship loans/payments" cp="1">
          <x v="14"/>
        </s>
        <s v="[AIC Outcome].[AIC Part3].&amp;[Benefits &amp; tax credits]&amp;[20 Universal credit]&amp;[Not recorded/not applicable]" c="Not recorded/not applicable" cp="1">
          <x v="14"/>
        </s>
        <s v="[AIC Outcome].[AIC Part3].&amp;[Benefits &amp; tax credits]&amp;[20 Universal credit]&amp;[P APA - frequency]" c="P APA - frequency" cp="1">
          <x v="14"/>
        </s>
        <s v="[AIC Outcome].[AIC Part3].&amp;[Benefits &amp; tax credits]&amp;[20 Universal credit]&amp;[Y Making and managing a claim]" c="Y Making and managing a claim" cp="1">
          <x v="14"/>
        </s>
        <s v="[AIC Outcome].[AIC Part3].&amp;[Benefits &amp; tax credits]&amp;[20 Universal credit]&amp;[Z Other]" c="Z Other" cp="1">
          <x v="14"/>
        </s>
        <s v="[AIC Outcome].[AIC Part3].&amp;[Benefits &amp; tax credits]&amp;[21 Personal independence payment]&amp;[A Eligibility - daily living]" c="A Eligibility - daily living" cp="1">
          <x v="15"/>
        </s>
        <s v="[AIC Outcome].[AIC Part3].&amp;[Benefits &amp; tax credits]&amp;[21 Personal independence payment]&amp;[AA Eligibility - mobility component]" c="AA Eligibility - mobility component" cp="1">
          <x v="15"/>
        </s>
        <s v="[AIC Outcome].[AIC Part3].&amp;[Benefits &amp; tax credits]&amp;[21 Personal independence payment]&amp;[AB Eligibility - DLA reassessment]" c="AB Eligibility - DLA reassessment" cp="1">
          <x v="15"/>
        </s>
        <s v="[AIC Outcome].[AIC Part3].&amp;[Benefits &amp; tax credits]&amp;[21 Personal independence payment]&amp;[B Poor administration]" c="B Poor administration" cp="1">
          <x v="15"/>
        </s>
        <s v="[AIC Outcome].[AIC Part3].&amp;[Benefits &amp; tax credits]&amp;[21 Personal independence payment]&amp;[D Change of circumstances]" c="D Change of circumstances" cp="1">
          <x v="15"/>
        </s>
        <s v="[AIC Outcome].[AIC Part3].&amp;[Benefits &amp; tax credits]&amp;[21 Personal independence payment]&amp;[DB Challenging a decision (not appeals)]" c="DB Challenging a decision (not appeals)" cp="1">
          <x v="15"/>
        </s>
        <s v="[AIC Outcome].[AIC Part3].&amp;[Benefits &amp; tax credits]&amp;[21 Personal independence payment]&amp;[E Appeals]" c="E Appeals" cp="1">
          <x v="15"/>
        </s>
        <s v="[AIC Outcome].[AIC Part3].&amp;[Benefits &amp; tax credits]&amp;[21 Personal independence payment]&amp;[F Backdating]" c="F Backdating" cp="1">
          <x v="15"/>
        </s>
        <s v="[AIC Outcome].[AIC Part3].&amp;[Benefits &amp; tax credits]&amp;[21 Personal independence payment]&amp;[H Renewals &amp; reviews]" c="H Renewals &amp; reviews" cp="1">
          <x v="15"/>
        </s>
        <s v="[AIC Outcome].[AIC Part3].&amp;[Benefits &amp; tax credits]&amp;[21 Personal independence payment]&amp;[M Motability]" c="M Motability" cp="1">
          <x v="15"/>
        </s>
        <s v="[AIC Outcome].[AIC Part3].&amp;[Benefits &amp; tax credits]&amp;[21 Personal independence payment]&amp;[Not recorded/not applicable]" c="Not recorded/not applicable" cp="1">
          <x v="15"/>
        </s>
        <s v="[AIC Outcome].[AIC Part3].&amp;[Benefits &amp; tax credits]&amp;[21 Personal independence payment]&amp;[Q Additional evidence (medical or other)]" c="Q Additional evidence (medical or other)" cp="1">
          <x v="15"/>
        </s>
        <s v="[AIC Outcome].[AIC Part3].&amp;[Benefits &amp; tax credits]&amp;[21 Personal independence payment]&amp;[U Face to face assessment]" c="U Face to face assessment" cp="1">
          <x v="15"/>
        </s>
        <s v="[AIC Outcome].[AIC Part3].&amp;[Benefits &amp; tax credits]&amp;[21 Personal independence payment]&amp;[Y Making and managing a claim]" c="Y Making and managing a claim" cp="1">
          <x v="15"/>
        </s>
        <s v="[AIC Outcome].[AIC Part3].&amp;[Benefits &amp; tax credits]&amp;[21 Personal independence payment]&amp;[Z Other]" c="Z Other" cp="1">
          <x v="15"/>
        </s>
        <s v="[AIC Outcome].[AIC Part3].&amp;[Benefits &amp; tax credits]&amp;[22 Localised social welfare]&amp;[A Eligibility - crisis]" c="A Eligibility - crisis" cp="1">
          <x v="16"/>
        </s>
        <s v="[AIC Outcome].[AIC Part3].&amp;[Benefits &amp; tax credits]&amp;[22 Localised social welfare]&amp;[AA Eligibility - help with furniture]" c="AA Eligibility - help with furniture" cp="1">
          <x v="16"/>
        </s>
        <s v="[AIC Outcome].[AIC Part3].&amp;[Benefits &amp; tax credits]&amp;[22 Localised social welfare]&amp;[E Appeals and reviews]" c="E Appeals and reviews" cp="1">
          <x v="16"/>
        </s>
        <s v="[AIC Outcome].[AIC Part3].&amp;[Benefits &amp; tax credits]&amp;[22 Localised social welfare]&amp;[Y Making and managing a claim]" c="Y Making and managing a claim" cp="1">
          <x v="16"/>
        </s>
        <s v="[AIC Outcome].[AIC Part3].&amp;[Benefits &amp; tax credits]&amp;[23 Council tax reduction]&amp;[A Entitlement working age]" c="A Entitlement working age" cp="1">
          <x v="17"/>
        </s>
        <s v="[AIC Outcome].[AIC Part3].&amp;[Benefits &amp; tax credits]&amp;[23 Council tax reduction]&amp;[AA Entitlement pension age]" c="AA Entitlement pension age" cp="1">
          <x v="17"/>
        </s>
        <s v="[AIC Outcome].[AIC Part3].&amp;[Benefits &amp; tax credits]&amp;[23 Council tax reduction]&amp;[D Change of circumstances]" c="D Change of circumstances" cp="1">
          <x v="17"/>
        </s>
        <s v="[AIC Outcome].[AIC Part3].&amp;[Benefits &amp; tax credits]&amp;[23 Council tax reduction]&amp;[E Challenging a decision]" c="E Challenging a decision" cp="1">
          <x v="17"/>
        </s>
        <s v="[AIC Outcome].[AIC Part3].&amp;[Benefits &amp; tax credits]&amp;[23 Council tax reduction]&amp;[L Alleged fraud, error and disputes (not appeals)]" c="L Alleged fraud, error and disputes (not appeals)" cp="1">
          <x v="17"/>
        </s>
        <s v="[AIC Outcome].[AIC Part3].&amp;[Benefits &amp; tax credits]&amp;[23 Council tax reduction]&amp;[Not recorded/not applicable]" c="Not recorded/not applicable" cp="1">
          <x v="17"/>
        </s>
        <s v="[AIC Outcome].[AIC Part3].&amp;[Benefits &amp; tax credits]&amp;[23 Council tax reduction]&amp;[X Premium]" c="X Premium" cp="1">
          <x v="17"/>
        </s>
        <s v="[AIC Outcome].[AIC Part3].&amp;[Benefits &amp; tax credits]&amp;[23 Council tax reduction]&amp;[Y Claiming process]" c="Y Claiming process" cp="1">
          <x v="17"/>
        </s>
        <s v="[AIC Outcome].[AIC Part3].&amp;[Benefits &amp; tax credits]&amp;[23 Council tax reduction]&amp;[Z Other]" c="Z Other" cp="1">
          <x v="17"/>
        </s>
        <s v="[AIC Outcome].[AIC Part3].&amp;[Benefits &amp; tax credits]&amp;[24 Benefit cap]&amp;[A Calculation - eligibility]" c="A Calculation - eligibility" cp="1">
          <x v="18"/>
        </s>
        <s v="[AIC Outcome].[AIC Part3].&amp;[Benefits &amp; tax credits]&amp;[24 Benefit cap]&amp;[Not recorded/not applicable]" c="Not recorded/not applicable" cp="1">
          <x v="18"/>
        </s>
        <s v="[AIC Outcome].[AIC Part3].&amp;[Benefits &amp; tax credits]&amp;[26 Complaints]&amp;[DW DWP]" c="DW DWP" cp="1">
          <x v="19"/>
        </s>
        <s v="[AIC Outcome].[AIC Part3].&amp;[Benefits &amp; tax credits]&amp;[27 Passported benefits]&amp;[FA Free prescriptions]" c="FA Free prescriptions" cp="1">
          <x v="20"/>
        </s>
        <s v="[AIC Outcome].[AIC Part3].&amp;[Benefits &amp; tax credits]&amp;[27 Passported benefits]&amp;[FB Free dental care]" c="FB Free dental care" cp="1">
          <x v="20"/>
        </s>
        <s v="[AIC Outcome].[AIC Part3].&amp;[Benefits &amp; tax credits]&amp;[27 Passported benefits]&amp;[FC Free optical care]" c="FC Free optical care" cp="1">
          <x v="20"/>
        </s>
        <s v="[AIC Outcome].[AIC Part3].&amp;[Benefits &amp; tax credits]&amp;[27 Passported benefits]&amp;[FD Free school meals]" c="FD Free school meals" cp="1">
          <x v="20"/>
        </s>
        <s v="[AIC Outcome].[AIC Part3].&amp;[Benefits &amp; tax credits]&amp;[27 Passported benefits]&amp;[Z Other]" c="Z Other" cp="1">
          <x v="20"/>
        </s>
        <s v="[AIC Outcome].[AIC Part3].&amp;[Benefits &amp; tax credits]&amp;[99 Other benefits issues]&amp;[A General benefit entitlement]" c="A General benefit entitlement" cp="1">
          <x v="21"/>
        </s>
        <s v="[AIC Outcome].[AIC Part3].&amp;[Benefits &amp; tax credits]&amp;[99 Other benefits issues]&amp;[B Maternity Allowance]" c="B Maternity Allowance" cp="1">
          <x v="21"/>
        </s>
        <s v="[AIC Outcome].[AIC Part3].&amp;[Benefits &amp; tax credits]&amp;[99 Other benefits issues]&amp;[C Bereavement benefits]" c="C Bereavement benefits" cp="1">
          <x v="21"/>
        </s>
        <s v="[AIC Outcome].[AIC Part3].&amp;[Benefits &amp; tax credits]&amp;[99 Other benefits issues]&amp;[D Habitual residence and right to reside]" c="D Habitual residence and right to reside" cp="1">
          <x v="21"/>
        </s>
        <s v="[AIC Outcome].[AIC Part3].&amp;[Benefits &amp; tax credits]&amp;[99 Other benefits issues]&amp;[E Industrial injuries benefit]" c="E Industrial injuries benefit" cp="1">
          <x v="21"/>
        </s>
        <s v="[AIC Outcome].[AIC Part3].&amp;[Benefits &amp; tax credits]&amp;[99 Other benefits issues]&amp;[H War Pensions]" c="H War Pensions" cp="1">
          <x v="21"/>
        </s>
        <s v="[AIC Outcome].[AIC Part3].&amp;[Benefits &amp; tax credits]&amp;[99 Other benefits issues]&amp;[J Social Fund funeral payments]" c="J Social Fund funeral payments" cp="1">
          <x v="21"/>
        </s>
        <s v="[AIC Outcome].[AIC Part3].&amp;[Benefits &amp; tax credits]&amp;[99 Other benefits issues]&amp;[K Sure Start maternity grants]" c="K Sure Start maternity grants" cp="1">
          <x v="21"/>
        </s>
        <s v="[AIC Outcome].[AIC Part3].&amp;[Benefits &amp; tax credits]&amp;[99 Other benefits issues]&amp;[L Appointees]" c="L Appointees" cp="1">
          <x v="21"/>
        </s>
        <s v="[AIC Outcome].[AIC Part3].&amp;[Benefits &amp; tax credits]&amp;[99 Other benefits issues]&amp;[M Short term benefit advance]" c="M Short term benefit advance" cp="1">
          <x v="21"/>
        </s>
        <s v="[AIC Outcome].[AIC Part3].&amp;[Benefits &amp; tax credits]&amp;[99 Other benefits issues]&amp;[N EU migrants access to benefits]" c="N EU migrants access to benefits" cp="1">
          <x v="21"/>
        </s>
        <s v="[AIC Outcome].[AIC Part3].&amp;[Benefits &amp; tax credits]&amp;[99 Other benefits issues]&amp;[Not recorded/not applicable]" c="Not recorded/not applicable" cp="1">
          <x v="21"/>
        </s>
        <s v="[AIC Outcome].[AIC Part3].&amp;[Benefits &amp; tax credits]&amp;[99 Other benefits issues]&amp;[Q Non EU-migrants access to benefits]" c="Q Non EU-migrants access to benefits" cp="1">
          <x v="21"/>
        </s>
        <s v="[AIC Outcome].[AIC Part3].&amp;[Benefits &amp; tax credits]&amp;[99 Other benefits issues]&amp;[R Guardian's Allowance]" c="R Guardian's Allowance" cp="1">
          <x v="21"/>
        </s>
        <s v="[AIC Outcome].[AIC Part3].&amp;[Benefits &amp; tax credits]&amp;[99 Other benefits issues]&amp;[U Fee charging benefits advice]" c="U Fee charging benefits advice" cp="1">
          <x v="21"/>
        </s>
        <s v="[AIC Outcome].[AIC Part3].&amp;[Benefits &amp; tax credits]&amp;[99 Other benefits issues]&amp;[Z Other]" c="Z Other" cp="1">
          <x v="21"/>
        </s>
        <s v="[AIC Outcome].[AIC Part3].&amp;[Benefits &amp; tax credits]&amp;[Not recorded/not applicable]&amp;[Not recorded/not applicable]" c="Not recorded/not applicable" cp="1">
          <x v="22"/>
        </s>
        <s v="[AIC Outcome].[AIC Part3].&amp;[Consumer goods &amp; services]&amp;[02 Private sales &amp; internet auctions]&amp;[C Payment]" c="C Payment" cp="1">
          <x v="23"/>
        </s>
        <s v="[AIC Outcome].[AIC Part3].&amp;[Consumer goods &amp; services]&amp;[02 Private sales &amp; internet auctions]&amp;[E Delay/non-supply]" c="E Delay/non-supply" cp="1">
          <x v="23"/>
        </s>
        <s v="[AIC Outcome].[AIC Part3].&amp;[Consumer goods &amp; services]&amp;[02 Private sales &amp; internet auctions]&amp;[F Faulty, dangerous &amp; unsafe goods]" c="F Faulty, dangerous &amp; unsafe goods" cp="1">
          <x v="23"/>
        </s>
        <s v="[AIC Outcome].[AIC Part3].&amp;[Consumer goods &amp; services]&amp;[02 Private sales &amp; internet auctions]&amp;[Not recorded/not applicable]" c="Not recorded/not applicable" cp="1">
          <x v="23"/>
        </s>
        <s v="[AIC Outcome].[AIC Part3].&amp;[Consumer goods &amp; services]&amp;[02 Private sales &amp; internet auctions]&amp;[R Complaints &amp; redress]" c="R Complaints &amp; redress" cp="1">
          <x v="23"/>
        </s>
        <s v="[AIC Outcome].[AIC Part3].&amp;[Consumer goods &amp; services]&amp;[03 Building repairs &amp; improvements]&amp;[B Unfair practices by trader, including selling]" c="B Unfair practices by trader, including selling" cp="1">
          <x v="24"/>
        </s>
        <s v="[AIC Outcome].[AIC Part3].&amp;[Consumer goods &amp; services]&amp;[03 Building repairs &amp; improvements]&amp;[C Costs and deposits]" c="C Costs and deposits" cp="1">
          <x v="24"/>
        </s>
        <s v="[AIC Outcome].[AIC Part3].&amp;[Consumer goods &amp; services]&amp;[03 Building repairs &amp; improvements]&amp;[D Cancellation &amp; withdrawal]" c="D Cancellation &amp; withdrawal" cp="1">
          <x v="24"/>
        </s>
        <s v="[AIC Outcome].[AIC Part3].&amp;[Consumer goods &amp; services]&amp;[03 Building repairs &amp; improvements]&amp;[E Delay/non-supply]" c="E Delay/non-supply" cp="1">
          <x v="24"/>
        </s>
        <s v="[AIC Outcome].[AIC Part3].&amp;[Consumer goods &amp; services]&amp;[03 Building repairs &amp; improvements]&amp;[F Faulty, dangerous &amp; unsafe services]" c="F Faulty, dangerous &amp; unsafe services" cp="1">
          <x v="24"/>
        </s>
        <s v="[AIC Outcome].[AIC Part3].&amp;[Consumer goods &amp; services]&amp;[03 Building repairs &amp; improvements]&amp;[K Guarantees &amp; warranties]" c="K Guarantees &amp; warranties" cp="1">
          <x v="24"/>
        </s>
        <s v="[AIC Outcome].[AIC Part3].&amp;[Consumer goods &amp; services]&amp;[03 Building repairs &amp; improvements]&amp;[Not recorded/not applicable]" c="Not recorded/not applicable" cp="1">
          <x v="24"/>
        </s>
        <s v="[AIC Outcome].[AIC Part3].&amp;[Consumer goods &amp; services]&amp;[03 Building repairs &amp; improvements]&amp;[R Complaints &amp; redress]" c="R Complaints &amp; redress" cp="1">
          <x v="24"/>
        </s>
        <s v="[AIC Outcome].[AIC Part3].&amp;[Consumer goods &amp; services]&amp;[03 Building repairs &amp; improvements]&amp;[Z Other]" c="Z Other" cp="1">
          <x v="24"/>
        </s>
        <s v="[AIC Outcome].[AIC Part3].&amp;[Consumer goods &amp; services]&amp;[04 Double glazing &amp; associated products]&amp;[D Cancellation &amp; withdrawal]" c="D Cancellation &amp; withdrawal" cp="1">
          <x v="25"/>
        </s>
        <s v="[AIC Outcome].[AIC Part3].&amp;[Consumer goods &amp; services]&amp;[04 Double glazing &amp; associated products]&amp;[F Faulty, dangerous &amp; unsafe goods]" c="F Faulty, dangerous &amp; unsafe goods" cp="1">
          <x v="25"/>
        </s>
        <s v="[AIC Outcome].[AIC Part3].&amp;[Consumer goods &amp; services]&amp;[04 Double glazing &amp; associated products]&amp;[R Complaints &amp; redress]" c="R Complaints &amp; redress" cp="1">
          <x v="25"/>
        </s>
        <s v="[AIC Outcome].[AIC Part3].&amp;[Consumer goods &amp; services]&amp;[05 Furnishings &amp; floor coverings]&amp;[B Unfair practices by trader, including selling]" c="B Unfair practices by trader, including selling" cp="1">
          <x v="26"/>
        </s>
        <s v="[AIC Outcome].[AIC Part3].&amp;[Consumer goods &amp; services]&amp;[05 Furnishings &amp; floor coverings]&amp;[C Costs and deposits]" c="C Costs and deposits" cp="1">
          <x v="26"/>
        </s>
        <s v="[AIC Outcome].[AIC Part3].&amp;[Consumer goods &amp; services]&amp;[05 Furnishings &amp; floor coverings]&amp;[D Cancellation &amp; withdrawal]" c="D Cancellation &amp; withdrawal" cp="1">
          <x v="26"/>
        </s>
        <s v="[AIC Outcome].[AIC Part3].&amp;[Consumer goods &amp; services]&amp;[05 Furnishings &amp; floor coverings]&amp;[E Delay/non-supply]" c="E Delay/non-supply" cp="1">
          <x v="26"/>
        </s>
        <s v="[AIC Outcome].[AIC Part3].&amp;[Consumer goods &amp; services]&amp;[05 Furnishings &amp; floor coverings]&amp;[F Faulty, dangerous &amp; unsafe goods]" c="F Faulty, dangerous &amp; unsafe goods" cp="1">
          <x v="26"/>
        </s>
        <s v="[AIC Outcome].[AIC Part3].&amp;[Consumer goods &amp; services]&amp;[05 Furnishings &amp; floor coverings]&amp;[K Guarantees &amp; warranties]" c="K Guarantees &amp; warranties" cp="1">
          <x v="26"/>
        </s>
        <s v="[AIC Outcome].[AIC Part3].&amp;[Consumer goods &amp; services]&amp;[05 Furnishings &amp; floor coverings]&amp;[Not recorded/not applicable]" c="Not recorded/not applicable" cp="1">
          <x v="26"/>
        </s>
        <s v="[AIC Outcome].[AIC Part3].&amp;[Consumer goods &amp; services]&amp;[05 Furnishings &amp; floor coverings]&amp;[R Complaints &amp; redress]" c="R Complaints &amp; redress" cp="1">
          <x v="26"/>
        </s>
        <s v="[AIC Outcome].[AIC Part3].&amp;[Consumer goods &amp; services]&amp;[06 Electrical appliances &amp; repairs]&amp;[B Unfair practices by trader, including selling]" c="B Unfair practices by trader, including selling" cp="1">
          <x v="27"/>
        </s>
        <s v="[AIC Outcome].[AIC Part3].&amp;[Consumer goods &amp; services]&amp;[06 Electrical appliances &amp; repairs]&amp;[E Delay/non-supply]" c="E Delay/non-supply" cp="1">
          <x v="27"/>
        </s>
        <s v="[AIC Outcome].[AIC Part3].&amp;[Consumer goods &amp; services]&amp;[06 Electrical appliances &amp; repairs]&amp;[F Faulty, dangerous &amp; unsafe goods]" c="F Faulty, dangerous &amp; unsafe goods" cp="1">
          <x v="27"/>
        </s>
        <s v="[AIC Outcome].[AIC Part3].&amp;[Consumer goods &amp; services]&amp;[06 Electrical appliances &amp; repairs]&amp;[H Contract terms &amp; conditions]" c="H Contract terms &amp; conditions" cp="1">
          <x v="27"/>
        </s>
        <s v="[AIC Outcome].[AIC Part3].&amp;[Consumer goods &amp; services]&amp;[06 Electrical appliances &amp; repairs]&amp;[Not recorded/not applicable]" c="Not recorded/not applicable" cp="1">
          <x v="27"/>
        </s>
        <s v="[AIC Outcome].[AIC Part3].&amp;[Consumer goods &amp; services]&amp;[06 Electrical appliances &amp; repairs]&amp;[R Complaints &amp; redress]" c="R Complaints &amp; redress" cp="1">
          <x v="27"/>
        </s>
        <s v="[AIC Outcome].[AIC Part3].&amp;[Consumer goods &amp; services]&amp;[06 Electrical appliances &amp; repairs]&amp;[Z Other]" c="Z Other" cp="1">
          <x v="27"/>
        </s>
        <s v="[AIC Outcome].[AIC Part3].&amp;[Consumer goods &amp; services]&amp;[07 Computer hardware &amp; software]&amp;[F Faulty, dangerous &amp; unsafe goods]" c="F Faulty, dangerous &amp; unsafe goods" cp="1">
          <x v="28"/>
        </s>
        <s v="[AIC Outcome].[AIC Part3].&amp;[Consumer goods &amp; services]&amp;[07 Computer hardware &amp; software]&amp;[K Guarantees &amp; warranties]" c="K Guarantees &amp; warranties" cp="1">
          <x v="28"/>
        </s>
        <s v="[AIC Outcome].[AIC Part3].&amp;[Consumer goods &amp; services]&amp;[07 Computer hardware &amp; software]&amp;[R Complaints &amp; redress]" c="R Complaints &amp; redress" cp="1">
          <x v="28"/>
        </s>
        <s v="[AIC Outcome].[AIC Part3].&amp;[Consumer goods &amp; services]&amp;[09 Personal Development Courses (incl IT)]&amp;[D Cancellation &amp; withdrawal]" c="D Cancellation &amp; withdrawal" cp="1">
          <x v="29"/>
        </s>
        <s v="[AIC Outcome].[AIC Part3].&amp;[Consumer goods &amp; services]&amp;[09 Personal Development Courses (incl IT)]&amp;[F Quality of courses]" c="F Quality of courses" cp="1">
          <x v="29"/>
        </s>
        <s v="[AIC Outcome].[AIC Part3].&amp;[Consumer goods &amp; services]&amp;[09 Personal Development Courses (incl IT)]&amp;[H Contract terms &amp; conditions]" c="H Contract terms &amp; conditions" cp="1">
          <x v="29"/>
        </s>
        <s v="[AIC Outcome].[AIC Part3].&amp;[Consumer goods &amp; services]&amp;[09 Personal Development Courses (incl IT)]&amp;[R Complaints &amp; redress]" c="R Complaints &amp; redress" cp="1">
          <x v="29"/>
        </s>
        <s v="[AIC Outcome].[AIC Part3].&amp;[Consumer goods &amp; services]&amp;[10 Disability aids &amp; adaptations]&amp;[D Cancellation &amp; withdrawal]" c="D Cancellation &amp; withdrawal" cp="1">
          <x v="30"/>
        </s>
        <s v="[AIC Outcome].[AIC Part3].&amp;[Consumer goods &amp; services]&amp;[10 Disability aids &amp; adaptations]&amp;[F Faulty, dangerous &amp; unsafe goods]" c="F Faulty, dangerous &amp; unsafe goods" cp="1">
          <x v="30"/>
        </s>
        <s v="[AIC Outcome].[AIC Part3].&amp;[Consumer goods &amp; services]&amp;[10 Disability aids &amp; adaptations]&amp;[Z Other]" c="Z Other" cp="1">
          <x v="30"/>
        </s>
        <s v="[AIC Outcome].[AIC Part3].&amp;[Consumer goods &amp; services]&amp;[12 Second hand vehicles]&amp;[B Unfair practices by trader, including selling]" c="B Unfair practices by trader, including selling" cp="1">
          <x v="31"/>
        </s>
        <s v="[AIC Outcome].[AIC Part3].&amp;[Consumer goods &amp; services]&amp;[12 Second hand vehicles]&amp;[F Faulty, dangerous &amp; unsafe vehicles]" c="F Faulty, dangerous &amp; unsafe vehicles" cp="1">
          <x v="31"/>
        </s>
        <s v="[AIC Outcome].[AIC Part3].&amp;[Consumer goods &amp; services]&amp;[12 Second hand vehicles]&amp;[L Logbook and MOT certificates]" c="L Logbook and MOT certificates" cp="1">
          <x v="31"/>
        </s>
        <s v="[AIC Outcome].[AIC Part3].&amp;[Consumer goods &amp; services]&amp;[12 Second hand vehicles]&amp;[Not recorded/not applicable]" c="Not recorded/not applicable" cp="1">
          <x v="31"/>
        </s>
        <s v="[AIC Outcome].[AIC Part3].&amp;[Consumer goods &amp; services]&amp;[12 Second hand vehicles]&amp;[R Complaints &amp; redress]" c="R Complaints &amp; redress" cp="1">
          <x v="31"/>
        </s>
        <s v="[AIC Outcome].[AIC Part3].&amp;[Consumer goods &amp; services]&amp;[13 Vehicle repairs/servicing]&amp;[E Delays in delivery of service]" c="E Delays in delivery of service" cp="1">
          <x v="32"/>
        </s>
        <s v="[AIC Outcome].[AIC Part3].&amp;[Consumer goods &amp; services]&amp;[13 Vehicle repairs/servicing]&amp;[H Contract terms &amp; conditions]" c="H Contract terms &amp; conditions" cp="1">
          <x v="32"/>
        </s>
        <s v="[AIC Outcome].[AIC Part3].&amp;[Consumer goods &amp; services]&amp;[13 Vehicle repairs/servicing]&amp;[Not recorded/not applicable]" c="Not recorded/not applicable" cp="1">
          <x v="32"/>
        </s>
        <s v="[AIC Outcome].[AIC Part3].&amp;[Consumer goods &amp; services]&amp;[13 Vehicle repairs/servicing]&amp;[R Complaints &amp; redress]" c="R Complaints &amp; redress" cp="1">
          <x v="32"/>
        </s>
        <s v="[AIC Outcome].[AIC Part3].&amp;[Consumer goods &amp; services]&amp;[14 Food &amp; Drink]&amp;[Not recorded/not applicable]" c="Not recorded/not applicable" cp="1">
          <x v="33"/>
        </s>
        <s v="[AIC Outcome].[AIC Part3].&amp;[Consumer goods &amp; services]&amp;[14 Food &amp; Drink]&amp;[Z Other]" c="Z Other" cp="1">
          <x v="33"/>
        </s>
        <s v="[AIC Outcome].[AIC Part3].&amp;[Consumer goods &amp; services]&amp;[15 Health gym &amp; sports club memberships]&amp;[H Contract terms &amp; conditions]" c="H Contract terms &amp; conditions" cp="1">
          <x v="34"/>
        </s>
        <s v="[AIC Outcome].[AIC Part3].&amp;[Consumer goods &amp; services]&amp;[15 Health gym &amp; sports club memberships]&amp;[R Complaints &amp; redress]" c="R Complaints &amp; redress" cp="1">
          <x v="34"/>
        </s>
        <s v="[AIC Outcome].[AIC Part3].&amp;[Consumer goods &amp; services]&amp;[17 Fraud and scams]&amp;[A Identity fraud]" c="A Identity fraud" cp="1">
          <x v="35"/>
        </s>
        <s v="[AIC Outcome].[AIC Part3].&amp;[Consumer goods &amp; services]&amp;[17 Fraud and scams]&amp;[B Phishing and other banking scams]" c="B Phishing and other banking scams" cp="1">
          <x v="35"/>
        </s>
        <s v="[AIC Outcome].[AIC Part3].&amp;[Consumer goods &amp; services]&amp;[17 Fraud and scams]&amp;[G Investment scams and pyramid schemes]" c="G Investment scams and pyramid schemes" cp="1">
          <x v="35"/>
        </s>
        <s v="[AIC Outcome].[AIC Part3].&amp;[Consumer goods &amp; services]&amp;[17 Fraud and scams]&amp;[H Internet scams (inc auctions)]" c="H Internet scams (inc auctions)" cp="1">
          <x v="35"/>
        </s>
        <s v="[AIC Outcome].[AIC Part3].&amp;[Consumer goods &amp; services]&amp;[17 Fraud and scams]&amp;[Not recorded/not applicable]" c="Not recorded/not applicable" cp="1">
          <x v="35"/>
        </s>
        <s v="[AIC Outcome].[AIC Part3].&amp;[Consumer goods &amp; services]&amp;[17 Fraud and scams]&amp;[Q Up-front fee scams]" c="Q Up-front fee scams" cp="1">
          <x v="35"/>
        </s>
        <s v="[AIC Outcome].[AIC Part3].&amp;[Consumer goods &amp; services]&amp;[17 Fraud and scams]&amp;[S Reporting to Trading Standards/Action Fraud]" c="S Reporting to Trading Standards/Action Fraud" cp="1">
          <x v="35"/>
        </s>
        <s v="[AIC Outcome].[AIC Part3].&amp;[Consumer goods &amp; services]&amp;[17 Fraud and scams]&amp;[Z Other]" c="Z Other" cp="1">
          <x v="35"/>
        </s>
        <s v="[AIC Outcome].[AIC Part3].&amp;[Consumer goods &amp; services]&amp;[18 Energy company obligation (ECO)]&amp;[C Finance]" c="C Finance" cp="1">
          <x v="36"/>
        </s>
        <s v="[AIC Outcome].[AIC Part3].&amp;[Consumer goods &amp; services]&amp;[18 Energy company obligation (ECO)]&amp;[D Complaints and redress]" c="D Complaints and redress" cp="1">
          <x v="36"/>
        </s>
        <s v="[AIC Outcome].[AIC Part3].&amp;[Consumer goods &amp; services]&amp;[18 Energy company obligation (ECO)]&amp;[E Marketing and sellilng]" c="E Marketing and sellilng" cp="1">
          <x v="36"/>
        </s>
        <s v="[AIC Outcome].[AIC Part3].&amp;[Consumer goods &amp; services]&amp;[22 Energy efficiency measures (non-ECO)]&amp;[E Assessments and costs]" c="E Assessments and costs" cp="1">
          <x v="37"/>
        </s>
        <s v="[AIC Outcome].[AIC Part3].&amp;[Consumer goods &amp; services]&amp;[22 Energy efficiency measures (non-ECO)]&amp;[GC - other energy efficiency measure - heating system]" c="GC - other energy efficiency measure - heating system" cp="1">
          <x v="37"/>
        </s>
        <s v="[AIC Outcome].[AIC Part3].&amp;[Consumer goods &amp; services]&amp;[22 Energy efficiency measures (non-ECO)]&amp;[R Complaints and redress]" c="R Complaints and redress" cp="1">
          <x v="37"/>
        </s>
        <s v="[AIC Outcome].[AIC Part3].&amp;[Consumer goods &amp; services]&amp;[22 Energy efficiency measures (non-ECO)]&amp;[Z Other]" c="Z Other" cp="1">
          <x v="37"/>
        </s>
        <s v="[AIC Outcome].[AIC Part3].&amp;[Consumer goods &amp; services]&amp;[23 Heating systems installation and servicing]&amp;[E Delay/non-supply]" c="E Delay/non-supply" cp="1">
          <x v="38"/>
        </s>
        <s v="[AIC Outcome].[AIC Part3].&amp;[Consumer goods &amp; services]&amp;[23 Heating systems installation and servicing]&amp;[F Faulty, dangerous &amp; unsafe goods/installation]" c="F Faulty, dangerous &amp; unsafe goods/installation" cp="1">
          <x v="38"/>
        </s>
        <s v="[AIC Outcome].[AIC Part3].&amp;[Consumer goods &amp; services]&amp;[23 Heating systems installation and servicing]&amp;[G problems with servicing contracts]" c="G problems with servicing contracts" cp="1">
          <x v="38"/>
        </s>
        <s v="[AIC Outcome].[AIC Part3].&amp;[Consumer goods &amp; services]&amp;[23 Heating systems installation and servicing]&amp;[R Complaints &amp; redress]" c="R Complaints &amp; redress" cp="1">
          <x v="38"/>
        </s>
        <s v="[AIC Outcome].[AIC Part3].&amp;[Consumer goods &amp; services]&amp;[23 Heating systems installation and servicing]&amp;[Z Other]" c="Z Other" cp="1">
          <x v="38"/>
        </s>
        <s v="[AIC Outcome].[AIC Part3].&amp;[Consumer goods &amp; services]&amp;[24 Culture and entertainment (theatre, events, festivals, concerts, cinema)]&amp;[C Costs and payment methods]" c="C Costs and payment methods" cp="1">
          <x v="39"/>
        </s>
        <s v="[AIC Outcome].[AIC Part3].&amp;[Consumer goods &amp; services]&amp;[24 Culture and entertainment (theatre, events, festivals, concerts, cinema)]&amp;[D Cancellation &amp; withdrawal]" c="D Cancellation &amp; withdrawal" cp="1">
          <x v="39"/>
        </s>
        <s v="[AIC Outcome].[AIC Part3].&amp;[Consumer goods &amp; services]&amp;[24 Culture and entertainment (theatre, events, festivals, concerts, cinema)]&amp;[R Complaints &amp; redress]" c="R Complaints &amp; redress" cp="1">
          <x v="39"/>
        </s>
        <s v="[AIC Outcome].[AIC Part3].&amp;[Consumer goods &amp; services]&amp;[25 Digital goods and services (apps, e-books, downloads, streaming, cloud storage)]&amp;[R Complaints &amp; redress]" c="R Complaints &amp; redress" cp="1">
          <x v="40"/>
        </s>
        <s v="[AIC Outcome].[AIC Part3].&amp;[Consumer goods &amp; services]&amp;[99 Other goods &amp; services]&amp;[A Vets &amp; Pets]" c="A Vets &amp; Pets" cp="1">
          <x v="41"/>
        </s>
        <s v="[AIC Outcome].[AIC Part3].&amp;[Consumer goods &amp; services]&amp;[99 Other goods &amp; services]&amp;[B Estate Agents / Letting Agents]" c="B Estate Agents / Letting Agents" cp="1">
          <x v="41"/>
        </s>
        <s v="[AIC Outcome].[AIC Part3].&amp;[Consumer goods &amp; services]&amp;[99 Other goods &amp; services]&amp;[F Other household goods &amp; services]" c="F Other household goods &amp; services" cp="1">
          <x v="41"/>
        </s>
        <s v="[AIC Outcome].[AIC Part3].&amp;[Consumer goods &amp; services]&amp;[99 Other goods &amp; services]&amp;[Not recorded/not applicable]" c="Not recorded/not applicable" cp="1">
          <x v="41"/>
        </s>
        <s v="[AIC Outcome].[AIC Part3].&amp;[Consumer goods &amp; services]&amp;[99 Other goods &amp; services]&amp;[P Priority services and discount/loyalty schemes]" c="P Priority services and discount/loyalty schemes" cp="1">
          <x v="41"/>
        </s>
        <s v="[AIC Outcome].[AIC Part3].&amp;[Consumer goods &amp; services]&amp;[99 Other goods &amp; services]&amp;[S Betting &amp; gambling]" c="S Betting &amp; gambling" cp="1">
          <x v="41"/>
        </s>
        <s v="[AIC Outcome].[AIC Part3].&amp;[Consumer goods &amp; services]&amp;[99 Other goods &amp; services]&amp;[Z Other]" c="Z Other" cp="1">
          <x v="41"/>
        </s>
        <s v="[AIC Outcome].[AIC Part3].&amp;[Consumer goods &amp; services]&amp;[Not recorded/not applicable]&amp;[Not recorded/not applicable]" c="Not recorded/not applicable" cp="1">
          <x v="22"/>
        </s>
        <s v="[AIC Outcome].[AIC Part3].&amp;[Debt]&amp;[02 Mortgage &amp; secured loan arrears]&amp;[A Liability for debt]" c="A Liability for debt" cp="1">
          <x v="42"/>
        </s>
        <s v="[AIC Outcome].[AIC Part3].&amp;[Debt]&amp;[02 Mortgage &amp; secured loan arrears]&amp;[B Dealing with debt repayments]" c="B Dealing with debt repayments" cp="1">
          <x v="42"/>
        </s>
        <s v="[AIC Outcome].[AIC Part3].&amp;[Debt]&amp;[02 Mortgage &amp; secured loan arrears]&amp;[D Possession claim for arrears]" c="D Possession claim for arrears" cp="1">
          <x v="42"/>
        </s>
        <s v="[AIC Outcome].[AIC Part3].&amp;[Debt]&amp;[02 Mortgage &amp; secured loan arrears]&amp;[E Eviction for arrears]" c="E Eviction for arrears" cp="1">
          <x v="42"/>
        </s>
        <s v="[AIC Outcome].[AIC Part3].&amp;[Debt]&amp;[02 Mortgage &amp; secured loan arrears]&amp;[F Shortfall after sale]" c="F Shortfall after sale" cp="1">
          <x v="42"/>
        </s>
        <s v="[AIC Outcome].[AIC Part3].&amp;[Debt]&amp;[02 Mortgage &amp; secured loan arrears]&amp;[J Complaints and redress]" c="J Complaints and redress" cp="1">
          <x v="42"/>
        </s>
        <s v="[AIC Outcome].[AIC Part3].&amp;[Debt]&amp;[02 Mortgage &amp; secured loan arrears]&amp;[Not recorded/not applicable]" c="Not recorded/not applicable" cp="1">
          <x v="42"/>
        </s>
        <s v="[AIC Outcome].[AIC Part3].&amp;[Debt]&amp;[03 Hire purchase arrears]&amp;[B Dealing with debt repayments]" c="B Dealing with debt repayments" cp="1">
          <x v="43"/>
        </s>
        <s v="[AIC Outcome].[AIC Part3].&amp;[Debt]&amp;[03 Hire purchase arrears]&amp;[E Repossession of goods]" c="E Repossession of goods" cp="1">
          <x v="43"/>
        </s>
        <s v="[AIC Outcome].[AIC Part3].&amp;[Debt]&amp;[03 Hire purchase arrears]&amp;[M Default charges]" c="M Default charges" cp="1">
          <x v="43"/>
        </s>
        <s v="[AIC Outcome].[AIC Part3].&amp;[Debt]&amp;[03 Hire purchase arrears]&amp;[Not recorded/not applicable]" c="Not recorded/not applicable" cp="1">
          <x v="43"/>
        </s>
        <s v="[AIC Outcome].[AIC Part3].&amp;[Debt]&amp;[03 Hire purchase arrears]&amp;[T Termination]" c="T Termination" cp="1">
          <x v="43"/>
        </s>
        <s v="[AIC Outcome].[AIC Part3].&amp;[Debt]&amp;[04 Fuel debts]&amp;[A Liability for debt]" c="A Liability for debt" cp="1">
          <x v="44"/>
        </s>
        <s v="[AIC Outcome].[AIC Part3].&amp;[Debt]&amp;[04 Fuel debts]&amp;[B Dealing with debt repayments]" c="B Dealing with debt repayments" cp="1">
          <x v="44"/>
        </s>
        <s v="[AIC Outcome].[AIC Part3].&amp;[Debt]&amp;[04 Fuel debts]&amp;[D Disconnection of supply]" c="D Disconnection of supply" cp="1">
          <x v="44"/>
        </s>
        <s v="[AIC Outcome].[AIC Part3].&amp;[Debt]&amp;[04 Fuel debts]&amp;[DA self disconnection - prepayment meter]" c="DA self disconnection - prepayment meter" cp="1">
          <x v="44"/>
        </s>
        <s v="[AIC Outcome].[AIC Part3].&amp;[Debt]&amp;[04 Fuel debts]&amp;[E Court claim &amp; enforcement]" c="E Court claim &amp; enforcement" cp="1">
          <x v="44"/>
        </s>
        <s v="[AIC Outcome].[AIC Part3].&amp;[Debt]&amp;[04 Fuel debts]&amp;[Not recorded/not applicable]" c="Not recorded/not applicable" cp="1">
          <x v="44"/>
        </s>
        <s v="[AIC Outcome].[AIC Part3].&amp;[Debt]&amp;[04 Fuel debts]&amp;[PA Pre-payment meter fitted to pay off arrears]" c="PA Pre-payment meter fitted to pay off arrears" cp="1">
          <x v="44"/>
        </s>
        <s v="[AIC Outcome].[AIC Part3].&amp;[Debt]&amp;[06 Rent arrears - LAs or ALMOs]&amp;[A Liability for debt]" c="A Liability for debt" cp="1">
          <x v="45"/>
        </s>
        <s v="[AIC Outcome].[AIC Part3].&amp;[Debt]&amp;[06 Rent arrears - LAs or ALMOs]&amp;[B Dealing with debt repayments]" c="B Dealing with debt repayments" cp="1">
          <x v="45"/>
        </s>
        <s v="[AIC Outcome].[AIC Part3].&amp;[Debt]&amp;[06 Rent arrears - LAs or ALMOs]&amp;[D Possession claim for arrears]" c="D Possession claim for arrears" cp="1">
          <x v="45"/>
        </s>
        <s v="[AIC Outcome].[AIC Part3].&amp;[Debt]&amp;[06 Rent arrears - LAs or ALMOs]&amp;[E Eviction for arrears]" c="E Eviction for arrears" cp="1">
          <x v="45"/>
        </s>
        <s v="[AIC Outcome].[AIC Part3].&amp;[Debt]&amp;[06 Rent arrears - LAs or ALMOs]&amp;[Not recorded/not applicable]" c="Not recorded/not applicable" cp="1">
          <x v="45"/>
        </s>
        <s v="[AIC Outcome].[AIC Part3].&amp;[Debt]&amp;[07 Rent arrears -  housing associations]&amp;[A Liability for debt]" c="A Liability for debt" cp="1">
          <x v="46"/>
        </s>
        <s v="[AIC Outcome].[AIC Part3].&amp;[Debt]&amp;[07 Rent arrears -  housing associations]&amp;[B Dealing with debt repayments]" c="B Dealing with debt repayments" cp="1">
          <x v="46"/>
        </s>
        <s v="[AIC Outcome].[AIC Part3].&amp;[Debt]&amp;[07 Rent arrears -  housing associations]&amp;[D Possession claim for arrears]" c="D Possession claim for arrears" cp="1">
          <x v="46"/>
        </s>
        <s v="[AIC Outcome].[AIC Part3].&amp;[Debt]&amp;[07 Rent arrears -  housing associations]&amp;[E Eviction for arrears]" c="E Eviction for arrears" cp="1">
          <x v="46"/>
        </s>
        <s v="[AIC Outcome].[AIC Part3].&amp;[Debt]&amp;[07 Rent arrears -  housing associations]&amp;[Not recorded/not applicable]" c="Not recorded/not applicable" cp="1">
          <x v="46"/>
        </s>
        <s v="[AIC Outcome].[AIC Part3].&amp;[Debt]&amp;[08 Rent arrears - private landlords]&amp;[A Liability for debt]" c="A Liability for debt" cp="1">
          <x v="47"/>
        </s>
        <s v="[AIC Outcome].[AIC Part3].&amp;[Debt]&amp;[08 Rent arrears - private landlords]&amp;[B Dealing with debt repayments]" c="B Dealing with debt repayments" cp="1">
          <x v="47"/>
        </s>
        <s v="[AIC Outcome].[AIC Part3].&amp;[Debt]&amp;[08 Rent arrears - private landlords]&amp;[D Possession claim for arrears]" c="D Possession claim for arrears" cp="1">
          <x v="47"/>
        </s>
        <s v="[AIC Outcome].[AIC Part3].&amp;[Debt]&amp;[08 Rent arrears - private landlords]&amp;[E Eviction for arrears]" c="E Eviction for arrears" cp="1">
          <x v="47"/>
        </s>
        <s v="[AIC Outcome].[AIC Part3].&amp;[Debt]&amp;[08 Rent arrears - private landlords]&amp;[Not recorded/not applicable]" c="Not recorded/not applicable" cp="1">
          <x v="47"/>
        </s>
        <s v="[AIC Outcome].[AIC Part3].&amp;[Debt]&amp;[09 Council tax arrears]&amp;[A Liability for debt]" c="A Liability for debt" cp="1">
          <x v="48"/>
        </s>
        <s v="[AIC Outcome].[AIC Part3].&amp;[Debt]&amp;[09 Council tax arrears]&amp;[B Dealing with debt repayments]" c="B Dealing with debt repayments" cp="1">
          <x v="48"/>
        </s>
        <s v="[AIC Outcome].[AIC Part3].&amp;[Debt]&amp;[09 Council tax arrears]&amp;[C Liability order summons/hearing]" c="C Liability order summons/hearing" cp="1">
          <x v="48"/>
        </s>
        <s v="[AIC Outcome].[AIC Part3].&amp;[Debt]&amp;[09 Council tax arrears]&amp;[EA Right of LA to enforce debt by bailiff/enforcement officer]" c="EA Right of LA to enforce debt by bailiff/enforcement officer" cp="1">
          <x v="48"/>
        </s>
        <s v="[AIC Outcome].[AIC Part3].&amp;[Debt]&amp;[09 Council tax arrears]&amp;[EB Bailiff enforcement - fees and charges]" c="EB Bailiff enforcement - fees and charges" cp="1">
          <x v="48"/>
        </s>
        <s v="[AIC Outcome].[AIC Part3].&amp;[Debt]&amp;[09 Council tax arrears]&amp;[ED Bailiff enforcement - vulnerable debtors]" c="ED Bailiff enforcement - vulnerable debtors" cp="1">
          <x v="48"/>
        </s>
        <s v="[AIC Outcome].[AIC Part3].&amp;[Debt]&amp;[09 Council tax arrears]&amp;[EE Bailiff enforcement - offers of payment]" c="EE Bailiff enforcement - offers of payment" cp="1">
          <x v="48"/>
        </s>
        <s v="[AIC Outcome].[AIC Part3].&amp;[Debt]&amp;[09 Council tax arrears]&amp;[EF Bailiff enforcement - complaints and redress]" c="EF Bailiff enforcement - complaints and redress" cp="1">
          <x v="48"/>
        </s>
        <s v="[AIC Outcome].[AIC Part3].&amp;[Debt]&amp;[09 Council tax arrears]&amp;[EG Bailiff enforcement - taking control of goods]" c="EG Bailiff enforcement - taking control of goods" cp="1">
          <x v="48"/>
        </s>
        <s v="[AIC Outcome].[AIC Part3].&amp;[Debt]&amp;[09 Council tax arrears]&amp;[EH Bailiff enforcement - rights of entry]" c="EH Bailiff enforcement - rights of entry" cp="1">
          <x v="48"/>
        </s>
        <s v="[AIC Outcome].[AIC Part3].&amp;[Debt]&amp;[09 Council tax arrears]&amp;[EZ Bailiff enforcement - other]" c="EZ Bailiff enforcement - other" cp="1">
          <x v="48"/>
        </s>
        <s v="[AIC Outcome].[AIC Part3].&amp;[Debt]&amp;[09 Council tax arrears]&amp;[FA Enforcement - deductions from earnings]" c="FA Enforcement - deductions from earnings" cp="1">
          <x v="48"/>
        </s>
        <s v="[AIC Outcome].[AIC Part3].&amp;[Debt]&amp;[09 Council tax arrears]&amp;[K Direct deductions from benefits]" c="K Direct deductions from benefits" cp="1">
          <x v="48"/>
        </s>
        <s v="[AIC Outcome].[AIC Part3].&amp;[Debt]&amp;[09 Council tax arrears]&amp;[Not recorded/not applicable]" c="Not recorded/not applicable" cp="1">
          <x v="48"/>
        </s>
        <s v="[AIC Outcome].[AIC Part3].&amp;[Debt]&amp;[10 Mag. Cts. - fines &amp; comp.ord. arrears]&amp;[A Liability for debt]" c="A Liability for debt" cp="1">
          <x v="49"/>
        </s>
        <s v="[AIC Outcome].[AIC Part3].&amp;[Debt]&amp;[10 Mag. Cts. - fines &amp; comp.ord. arrears]&amp;[B Dealing with debt repayments]" c="B Dealing with debt repayments" cp="1">
          <x v="49"/>
        </s>
        <s v="[AIC Outcome].[AIC Part3].&amp;[Debt]&amp;[10 Mag. Cts. - fines &amp; comp.ord. arrears]&amp;[EA Right of LA to enforce debt by bailiff/enforcement officer]" c="EA Right of LA to enforce debt by bailiff/enforcement officer" cp="1">
          <x v="49"/>
        </s>
        <s v="[AIC Outcome].[AIC Part3].&amp;[Debt]&amp;[10 Mag. Cts. - fines &amp; comp.ord. arrears]&amp;[ED Bailiff enforcement - vulnerable debtors]" c="ED Bailiff enforcement - vulnerable debtors" cp="1">
          <x v="49"/>
        </s>
        <s v="[AIC Outcome].[AIC Part3].&amp;[Debt]&amp;[10 Mag. Cts. - fines &amp; comp.ord. arrears]&amp;[EE Bailiff enforcement - offers of payment]" c="EE Bailiff enforcement - offers of payment" cp="1">
          <x v="49"/>
        </s>
        <s v="[AIC Outcome].[AIC Part3].&amp;[Debt]&amp;[10 Mag. Cts. - fines &amp; comp.ord. arrears]&amp;[EH Bailiff enforcement - rights of entry]" c="EH Bailiff enforcement - rights of entry" cp="1">
          <x v="49"/>
        </s>
        <s v="[AIC Outcome].[AIC Part3].&amp;[Debt]&amp;[10 Mag. Cts. - fines &amp; comp.ord. arrears]&amp;[EZ Bailiff enforcement - other]" c="EZ Bailiff enforcement - other" cp="1">
          <x v="49"/>
        </s>
        <s v="[AIC Outcome].[AIC Part3].&amp;[Debt]&amp;[10 Mag. Cts. - fines &amp; comp.ord. arrears]&amp;[F Other methods of enforcement]" c="F Other methods of enforcement" cp="1">
          <x v="49"/>
        </s>
        <s v="[AIC Outcome].[AIC Part3].&amp;[Debt]&amp;[10 Mag. Cts. - fines &amp; comp.ord. arrears]&amp;[K Direct deductions from benefit]" c="K Direct deductions from benefit" cp="1">
          <x v="49"/>
        </s>
        <s v="[AIC Outcome].[AIC Part3].&amp;[Debt]&amp;[10 Mag. Cts. - fines &amp; comp.ord. arrears]&amp;[Not recorded/not applicable]" c="Not recorded/not applicable" cp="1">
          <x v="49"/>
        </s>
        <s v="[AIC Outcome].[AIC Part3].&amp;[Debt]&amp;[11 Maintenance &amp; child maintenance arrears]&amp;[A Liability for debt]" c="A Liability for debt" cp="1">
          <x v="50"/>
        </s>
        <s v="[AIC Outcome].[AIC Part3].&amp;[Debt]&amp;[11 Maintenance &amp; child maintenance arrears]&amp;[B Dealing with debt repayments]" c="B Dealing with debt repayments" cp="1">
          <x v="50"/>
        </s>
        <s v="[AIC Outcome].[AIC Part3].&amp;[Debt]&amp;[11 Maintenance &amp; child maintenance arrears]&amp;[D Court claim/liability order summons]" c="D Court claim/liability order summons" cp="1">
          <x v="50"/>
        </s>
        <s v="[AIC Outcome].[AIC Part3].&amp;[Debt]&amp;[11 Maintenance &amp; child maintenance arrears]&amp;[EA Right of LA to enforce debt by bailiff/enforcement officer]" c="EA Right of LA to enforce debt by bailiff/enforcement officer" cp="1">
          <x v="50"/>
        </s>
        <s v="[AIC Outcome].[AIC Part3].&amp;[Debt]&amp;[11 Maintenance &amp; child maintenance arrears]&amp;[EB Bailiff enforcement - fees and charges]" c="EB Bailiff enforcement - fees and charges" cp="1">
          <x v="50"/>
        </s>
        <s v="[AIC Outcome].[AIC Part3].&amp;[Debt]&amp;[11 Maintenance &amp; child maintenance arrears]&amp;[EE Bailiff enforcement - offers of payment]" c="EE Bailiff enforcement - offers of payment" cp="1">
          <x v="50"/>
        </s>
        <s v="[AIC Outcome].[AIC Part3].&amp;[Debt]&amp;[11 Maintenance &amp; child maintenance arrears]&amp;[FB Other methods of enforcement]" c="FB Other methods of enforcement" cp="1">
          <x v="50"/>
        </s>
        <s v="[AIC Outcome].[AIC Part3].&amp;[Debt]&amp;[12 Bank &amp; building society overdrafts]&amp;[A Liability for debt]" c="A Liability for debt" cp="1">
          <x v="51"/>
        </s>
        <s v="[AIC Outcome].[AIC Part3].&amp;[Debt]&amp;[12 Bank &amp; building society overdrafts]&amp;[B Dealing with debt repayments]" c="B Dealing with debt repayments" cp="1">
          <x v="51"/>
        </s>
        <s v="[AIC Outcome].[AIC Part3].&amp;[Debt]&amp;[12 Bank &amp; building society overdrafts]&amp;[L First right of appropriation]" c="L First right of appropriation" cp="1">
          <x v="51"/>
        </s>
        <s v="[AIC Outcome].[AIC Part3].&amp;[Debt]&amp;[12 Bank &amp; building society overdrafts]&amp;[M Overdraft charges]" c="M Overdraft charges" cp="1">
          <x v="51"/>
        </s>
        <s v="[AIC Outcome].[AIC Part3].&amp;[Debt]&amp;[12 Bank &amp; building society overdrafts]&amp;[Not recorded/not applicable]" c="Not recorded/not applicable" cp="1">
          <x v="51"/>
        </s>
        <s v="[AIC Outcome].[AIC Part3].&amp;[Debt]&amp;[13 Credit, store &amp; charge card debts]&amp;[A Liability for debt]" c="A Liability for debt" cp="1">
          <x v="52"/>
        </s>
        <s v="[AIC Outcome].[AIC Part3].&amp;[Debt]&amp;[13 Credit, store &amp; charge card debts]&amp;[B Dealing with debt repayments]" c="B Dealing with debt repayments" cp="1">
          <x v="52"/>
        </s>
        <s v="[AIC Outcome].[AIC Part3].&amp;[Debt]&amp;[13 Credit, store &amp; charge card debts]&amp;[C Creditor debt collection practices, inc harassment]" c="C Creditor debt collection practices, inc harassment" cp="1">
          <x v="52"/>
        </s>
        <s v="[AIC Outcome].[AIC Part3].&amp;[Debt]&amp;[13 Credit, store &amp; charge card debts]&amp;[D Court claim for debt]" c="D Court claim for debt" cp="1">
          <x v="52"/>
        </s>
        <s v="[AIC Outcome].[AIC Part3].&amp;[Debt]&amp;[13 Credit, store &amp; charge card debts]&amp;[E Enforcement by bailiffs]" c="E Enforcement by bailiffs" cp="1">
          <x v="52"/>
        </s>
        <s v="[AIC Outcome].[AIC Part3].&amp;[Debt]&amp;[13 Credit, store &amp; charge card debts]&amp;[Not recorded/not applicable]" c="Not recorded/not applicable" cp="1">
          <x v="52"/>
        </s>
        <s v="[AIC Outcome].[AIC Part3].&amp;[Debt]&amp;[14 Unsecured personal loan debts]&amp;[A Liability for debt]" c="A Liability for debt" cp="1">
          <x v="53"/>
        </s>
        <s v="[AIC Outcome].[AIC Part3].&amp;[Debt]&amp;[14 Unsecured personal loan debts]&amp;[B Dealing with debt repayments]" c="B Dealing with debt repayments" cp="1">
          <x v="53"/>
        </s>
        <s v="[AIC Outcome].[AIC Part3].&amp;[Debt]&amp;[14 Unsecured personal loan debts]&amp;[D Court claim for debt]" c="D Court claim for debt" cp="1">
          <x v="53"/>
        </s>
        <s v="[AIC Outcome].[AIC Part3].&amp;[Debt]&amp;[14 Unsecured personal loan debts]&amp;[E Enforcement by bailiffs]" c="E Enforcement by bailiffs" cp="1">
          <x v="53"/>
        </s>
        <s v="[AIC Outcome].[AIC Part3].&amp;[Debt]&amp;[14 Unsecured personal loan debts]&amp;[FA Enforcement - charging order &amp; order for sale]" c="FA Enforcement - charging order &amp; order for sale" cp="1">
          <x v="53"/>
        </s>
        <s v="[AIC Outcome].[AIC Part3].&amp;[Debt]&amp;[14 Unsecured personal loan debts]&amp;[Not recorded/not applicable]" c="Not recorded/not applicable" cp="1">
          <x v="53"/>
        </s>
        <s v="[AIC Outcome].[AIC Part3].&amp;[Debt]&amp;[15 Catalogue &amp; mail order debts]&amp;[A Liability for debt]" c="A Liability for debt" cp="1">
          <x v="54"/>
        </s>
        <s v="[AIC Outcome].[AIC Part3].&amp;[Debt]&amp;[15 Catalogue &amp; mail order debts]&amp;[B Dealing with debt repayments]" c="B Dealing with debt repayments" cp="1">
          <x v="54"/>
        </s>
        <s v="[AIC Outcome].[AIC Part3].&amp;[Debt]&amp;[15 Catalogue &amp; mail order debts]&amp;[D Court claim for debt]" c="D Court claim for debt" cp="1">
          <x v="54"/>
        </s>
        <s v="[AIC Outcome].[AIC Part3].&amp;[Debt]&amp;[15 Catalogue &amp; mail order debts]&amp;[Not recorded/not applicable]" c="Not recorded/not applicable" cp="1">
          <x v="54"/>
        </s>
        <s v="[AIC Outcome].[AIC Part3].&amp;[Debt]&amp;[16 Water supply &amp; sewerage debts]&amp;[A Liability for debt]" c="A Liability for debt" cp="1">
          <x v="55"/>
        </s>
        <s v="[AIC Outcome].[AIC Part3].&amp;[Debt]&amp;[16 Water supply &amp; sewerage debts]&amp;[B Dealing with debt repayments]" c="B Dealing with debt repayments" cp="1">
          <x v="55"/>
        </s>
        <s v="[AIC Outcome].[AIC Part3].&amp;[Debt]&amp;[16 Water supply &amp; sewerage debts]&amp;[C Creditor debt collection practices, inc harassment]" c="C Creditor debt collection practices, inc harassment" cp="1">
          <x v="55"/>
        </s>
        <s v="[AIC Outcome].[AIC Part3].&amp;[Debt]&amp;[16 Water supply &amp; sewerage debts]&amp;[E Enforcement by bailiffs and high court enforcement officers]" c="E Enforcement by bailiffs and high court enforcement officers" cp="1">
          <x v="55"/>
        </s>
        <s v="[AIC Outcome].[AIC Part3].&amp;[Debt]&amp;[16 Water supply &amp; sewerage debts]&amp;[K Direct deductions from benefit]" c="K Direct deductions from benefit" cp="1">
          <x v="55"/>
        </s>
        <s v="[AIC Outcome].[AIC Part3].&amp;[Debt]&amp;[16 Water supply &amp; sewerage debts]&amp;[Not recorded/not applicable]" c="Not recorded/not applicable" cp="1">
          <x v="55"/>
        </s>
        <s v="[AIC Outcome].[AIC Part3].&amp;[Debt]&amp;[17 Unpaid parking penalty &amp; cong. chgs.]&amp;[A Liability for debt]" c="A Liability for debt" cp="1">
          <x v="56"/>
        </s>
        <s v="[AIC Outcome].[AIC Part3].&amp;[Debt]&amp;[17 Unpaid parking penalty &amp; cong. chgs.]&amp;[B Dealing with debt repayments]" c="B Dealing with debt repayments" cp="1">
          <x v="56"/>
        </s>
        <s v="[AIC Outcome].[AIC Part3].&amp;[Debt]&amp;[17 Unpaid parking penalty &amp; cong. chgs.]&amp;[EA Right of LA to enforce debt by bailiff/enforcement officer]" c="EA Right of LA to enforce debt by bailiff/enforcement officer" cp="1">
          <x v="56"/>
        </s>
        <s v="[AIC Outcome].[AIC Part3].&amp;[Debt]&amp;[17 Unpaid parking penalty &amp; cong. chgs.]&amp;[EB Bailiff enforcement - fees and charges]" c="EB Bailiff enforcement - fees and charges" cp="1">
          <x v="56"/>
        </s>
        <s v="[AIC Outcome].[AIC Part3].&amp;[Debt]&amp;[17 Unpaid parking penalty &amp; cong. chgs.]&amp;[ED Bailiff enforcement - vulnerable debtors]" c="ED Bailiff enforcement - vulnerable debtors" cp="1">
          <x v="56"/>
        </s>
        <s v="[AIC Outcome].[AIC Part3].&amp;[Debt]&amp;[17 Unpaid parking penalty &amp; cong. chgs.]&amp;[EE Bailiff enforcement - offers of payment]" c="EE Bailiff enforcement - offers of payment" cp="1">
          <x v="56"/>
        </s>
        <s v="[AIC Outcome].[AIC Part3].&amp;[Debt]&amp;[17 Unpaid parking penalty &amp; cong. chgs.]&amp;[EG Bailiff enforcement - taking control of goods]" c="EG Bailiff enforcement - taking control of goods" cp="1">
          <x v="56"/>
        </s>
        <s v="[AIC Outcome].[AIC Part3].&amp;[Debt]&amp;[17 Unpaid parking penalty &amp; cong. chgs.]&amp;[EH Bailiff enforcement - rights of entry]" c="EH Bailiff enforcement - rights of entry" cp="1">
          <x v="56"/>
        </s>
        <s v="[AIC Outcome].[AIC Part3].&amp;[Debt]&amp;[17 Unpaid parking penalty &amp; cong. chgs.]&amp;[EZ Bailiff enforcement - other]" c="EZ Bailiff enforcement - other" cp="1">
          <x v="56"/>
        </s>
        <s v="[AIC Outcome].[AIC Part3].&amp;[Debt]&amp;[18 Overpayments of WTC &amp; CTC]&amp;[A Recoverability of overpayment.]" c="A Recoverability of overpayment." cp="1">
          <x v="57"/>
        </s>
        <s v="[AIC Outcome].[AIC Part3].&amp;[Debt]&amp;[18 Overpayments of WTC &amp; CTC]&amp;[B Dealing with debt repayments]" c="B Dealing with debt repayments" cp="1">
          <x v="57"/>
        </s>
        <s v="[AIC Outcome].[AIC Part3].&amp;[Debt]&amp;[18 Overpayments of WTC &amp; CTC]&amp;[C Methods of recovery]" c="C Methods of recovery" cp="1">
          <x v="57"/>
        </s>
        <s v="[AIC Outcome].[AIC Part3].&amp;[Debt]&amp;[18 Overpayments of WTC &amp; CTC]&amp;[Not recorded/not applicable]" c="Not recorded/not applicable" cp="1">
          <x v="57"/>
        </s>
        <s v="[AIC Outcome].[AIC Part3].&amp;[Debt]&amp;[19 Overpayments of IS/JSA/ESA]&amp;[A Recoverability of overpayment.]" c="A Recoverability of overpayment." cp="1">
          <x v="58"/>
        </s>
        <s v="[AIC Outcome].[AIC Part3].&amp;[Debt]&amp;[19 Overpayments of IS/JSA/ESA]&amp;[B Dealing with debt repayments]" c="B Dealing with debt repayments" cp="1">
          <x v="58"/>
        </s>
        <s v="[AIC Outcome].[AIC Part3].&amp;[Debt]&amp;[19 Overpayments of IS/JSA/ESA]&amp;[C Methods of recovery]" c="C Methods of recovery" cp="1">
          <x v="58"/>
        </s>
        <s v="[AIC Outcome].[AIC Part3].&amp;[Debt]&amp;[19 Overpayments of IS/JSA/ESA]&amp;[Not recorded/not applicable]" c="Not recorded/not applicable" cp="1">
          <x v="58"/>
        </s>
        <s v="[AIC Outcome].[AIC Part3].&amp;[Debt]&amp;[20 Overpts. Housing &amp; Council Tax Bens.]&amp;[A Recoverability of overpayment.]" c="A Recoverability of overpayment." cp="1">
          <x v="59"/>
        </s>
        <s v="[AIC Outcome].[AIC Part3].&amp;[Debt]&amp;[20 Overpts. Housing &amp; Council Tax Bens.]&amp;[B Dealing with debt repayments]" c="B Dealing with debt repayments" cp="1">
          <x v="59"/>
        </s>
        <s v="[AIC Outcome].[AIC Part3].&amp;[Debt]&amp;[20 Overpts. Housing &amp; Council Tax Bens.]&amp;[C Methods of recovery]" c="C Methods of recovery" cp="1">
          <x v="59"/>
        </s>
        <s v="[AIC Outcome].[AIC Part3].&amp;[Debt]&amp;[20 Overpts. Housing &amp; Council Tax Bens.]&amp;[Not recorded/not applicable]" c="Not recorded/not applicable" cp="1">
          <x v="59"/>
        </s>
        <s v="[AIC Outcome].[AIC Part3].&amp;[Debt]&amp;[21 Social Fund debts]&amp;[A Liability for debt]" c="A Liability for debt" cp="1">
          <x v="60"/>
        </s>
        <s v="[AIC Outcome].[AIC Part3].&amp;[Debt]&amp;[21 Social Fund debts]&amp;[B Dealing with debt repayments]" c="B Dealing with debt repayments" cp="1">
          <x v="60"/>
        </s>
        <s v="[AIC Outcome].[AIC Part3].&amp;[Debt]&amp;[21 Social Fund debts]&amp;[C Methods of recovery]" c="C Methods of recovery" cp="1">
          <x v="60"/>
        </s>
        <s v="[AIC Outcome].[AIC Part3].&amp;[Debt]&amp;[21 Social Fund debts]&amp;[Not recorded/not applicable]" c="Not recorded/not applicable" cp="1">
          <x v="60"/>
        </s>
        <s v="[AIC Outcome].[AIC Part3].&amp;[Debt]&amp;[22 Payday loan debts]&amp;[A Liability for debt]" c="A Liability for debt" cp="1">
          <x v="61"/>
        </s>
        <s v="[AIC Outcome].[AIC Part3].&amp;[Debt]&amp;[22 Payday loan debts]&amp;[B Dealing with debt repayments]" c="B Dealing with debt repayments" cp="1">
          <x v="61"/>
        </s>
        <s v="[AIC Outcome].[AIC Part3].&amp;[Debt]&amp;[22 Payday loan debts]&amp;[Not recorded/not applicable]" c="Not recorded/not applicable" cp="1">
          <x v="61"/>
        </s>
        <s v="[AIC Outcome].[AIC Part3].&amp;[Debt]&amp;[24 Debts to loan sharks/illegal lenders]&amp;[A Liability for debt]" c="A Liability for debt" cp="1">
          <x v="62"/>
        </s>
        <s v="[AIC Outcome].[AIC Part3].&amp;[Debt]&amp;[25 Arrears of income tax, VAT or NI contributions]&amp;[A Liability for debt]" c="A Liability for debt" cp="1">
          <x v="63"/>
        </s>
        <s v="[AIC Outcome].[AIC Part3].&amp;[Debt]&amp;[25 Arrears of income tax, VAT or NI contributions]&amp;[B Dealing with debt repayments]" c="B Dealing with debt repayments" cp="1">
          <x v="63"/>
        </s>
        <s v="[AIC Outcome].[AIC Part3].&amp;[Debt]&amp;[25 Arrears of income tax, VAT or NI contributions]&amp;[E Enforcement by bailiffs/enforcement officer]" c="E Enforcement by bailiffs/enforcement officer" cp="1">
          <x v="63"/>
        </s>
        <s v="[AIC Outcome].[AIC Part3].&amp;[Debt]&amp;[25 Arrears of income tax, VAT or NI contributions]&amp;[M Penalties for late payment]" c="M Penalties for late payment" cp="1">
          <x v="63"/>
        </s>
        <s v="[AIC Outcome].[AIC Part3].&amp;[Debt]&amp;[25 Arrears of income tax, VAT or NI contributions]&amp;[Not recorded/not applicable]" c="Not recorded/not applicable" cp="1">
          <x v="63"/>
        </s>
        <s v="[AIC Outcome].[AIC Part3].&amp;[Debt]&amp;[26 Overpayment of universal credit]&amp;[B Dealing with debt repayments]" c="B Dealing with debt repayments" cp="1">
          <x v="64"/>
        </s>
        <s v="[AIC Outcome].[AIC Part3].&amp;[Debt]&amp;[27 Overpayments of other benefits]&amp;[A Recoverability of overpayment]" c="A Recoverability of overpayment" cp="1">
          <x v="65"/>
        </s>
        <s v="[AIC Outcome].[AIC Part3].&amp;[Debt]&amp;[27 Overpayments of other benefits]&amp;[B Dealing with debt repayments]" c="B Dealing with debt repayments" cp="1">
          <x v="65"/>
        </s>
        <s v="[AIC Outcome].[AIC Part3].&amp;[Debt]&amp;[27 Overpayments of other benefits]&amp;[Not recorded/not applicable]" c="Not recorded/not applicable" cp="1">
          <x v="65"/>
        </s>
        <s v="[AIC Outcome].[AIC Part3].&amp;[Debt]&amp;[28 Guarantor loan debts]&amp;[AB Liability for debt - guarantor]" c="AB Liability for debt - guarantor" cp="1">
          <x v="66"/>
        </s>
        <s v="[AIC Outcome].[AIC Part3].&amp;[Debt]&amp;[28 Guarantor loan debts]&amp;[BB Dealing with debt repayments - guarantor]" c="BB Dealing with debt repayments - guarantor" cp="1">
          <x v="66"/>
        </s>
        <s v="[AIC Outcome].[AIC Part3].&amp;[Debt]&amp;[30 Mobile phone debt]&amp;[A Liability for debt]" c="A Liability for debt" cp="1">
          <x v="67"/>
        </s>
        <s v="[AIC Outcome].[AIC Part3].&amp;[Debt]&amp;[30 Mobile phone debt]&amp;[B Dealing with debt repayments]" c="B Dealing with debt repayments" cp="1">
          <x v="67"/>
        </s>
        <s v="[AIC Outcome].[AIC Part3].&amp;[Debt]&amp;[30 Mobile phone debt]&amp;[E Court claim &amp; enforcement]" c="E Court claim &amp; enforcement" cp="1">
          <x v="67"/>
        </s>
        <s v="[AIC Outcome].[AIC Part3].&amp;[Debt]&amp;[30 Mobile phone debt]&amp;[J Complaints and redress]" c="J Complaints and redress" cp="1">
          <x v="67"/>
        </s>
        <s v="[AIC Outcome].[AIC Part3].&amp;[Debt]&amp;[30 Mobile phone debt]&amp;[Not recorded/not applicable]" c="Not recorded/not applicable" cp="1">
          <x v="67"/>
        </s>
        <s v="[AIC Outcome].[AIC Part3].&amp;[Debt]&amp;[31 Other telecoms debt (landline, broadband, bundle, TV)]&amp;[A Liability for debt]" c="A Liability for debt" cp="1">
          <x v="68"/>
        </s>
        <s v="[AIC Outcome].[AIC Part3].&amp;[Debt]&amp;[31 Other telecoms debt (landline, broadband, bundle, TV)]&amp;[B Dealing with debt repayments]" c="B Dealing with debt repayments" cp="1">
          <x v="68"/>
        </s>
        <s v="[AIC Outcome].[AIC Part3].&amp;[Debt]&amp;[31 Other telecoms debt (landline, broadband, bundle, TV)]&amp;[J Complaints and redress]" c="J Complaints and redress" cp="1">
          <x v="68"/>
        </s>
        <s v="[AIC Outcome].[AIC Part3].&amp;[Debt]&amp;[31 Other telecoms debt (landline, broadband, bundle, TV)]&amp;[Not recorded/not applicable]" c="Not recorded/not applicable" cp="1">
          <x v="68"/>
        </s>
        <s v="[AIC Outcome].[AIC Part3].&amp;[Debt]&amp;[32 Debts to friends and family]&amp;[B Dealing with debt repayments]" c="B Dealing with debt repayments" cp="1">
          <x v="69"/>
        </s>
        <s v="[AIC Outcome].[AIC Part3].&amp;[Debt]&amp;[32 Debts to friends and family]&amp;[Not recorded/not applicable]" c="Not recorded/not applicable" cp="1">
          <x v="69"/>
        </s>
        <s v="[AIC Outcome].[AIC Part3].&amp;[Debt]&amp;[40 3rd party debt collection excl. bailiffs]&amp;[A Liability for debt]" c="A Liability for debt" cp="1">
          <x v="70"/>
        </s>
        <s v="[AIC Outcome].[AIC Part3].&amp;[Debt]&amp;[40 3rd party debt collection excl. bailiffs]&amp;[B Dealing with debt repayments]" c="B Dealing with debt repayments" cp="1">
          <x v="70"/>
        </s>
        <s v="[AIC Outcome].[AIC Part3].&amp;[Debt]&amp;[40 3rd party debt collection excl. bailiffs]&amp;[D Court action for debt]" c="D Court action for debt" cp="1">
          <x v="70"/>
        </s>
        <s v="[AIC Outcome].[AIC Part3].&amp;[Debt]&amp;[40 3rd party debt collection excl. bailiffs]&amp;[J Complaints and redress]" c="J Complaints and redress" cp="1">
          <x v="70"/>
        </s>
        <s v="[AIC Outcome].[AIC Part3].&amp;[Debt]&amp;[40 3rd party debt collection excl. bailiffs]&amp;[Not recorded/not applicable]" c="Not recorded/not applicable" cp="1">
          <x v="70"/>
        </s>
        <s v="[AIC Outcome].[AIC Part3].&amp;[Debt]&amp;[48 Individual Voluntary Arrangement]&amp;[A Implications]" c="A Implications" cp="1">
          <x v="71"/>
        </s>
        <s v="[AIC Outcome].[AIC Part3].&amp;[Debt]&amp;[48 Individual Voluntary Arrangement]&amp;[B Process]" c="B Process" cp="1">
          <x v="71"/>
        </s>
        <s v="[AIC Outcome].[AIC Part3].&amp;[Debt]&amp;[48 Individual Voluntary Arrangement]&amp;[C Fees and charges]" c="C Fees and charges" cp="1">
          <x v="71"/>
        </s>
        <s v="[AIC Outcome].[AIC Part3].&amp;[Debt]&amp;[48 Individual Voluntary Arrangement]&amp;[D Role of Insolvency Practitioners]" c="D Role of Insolvency Practitioners" cp="1">
          <x v="71"/>
        </s>
        <s v="[AIC Outcome].[AIC Part3].&amp;[Debt]&amp;[48 Individual Voluntary Arrangement]&amp;[J Complaints and redress]" c="J Complaints and redress" cp="1">
          <x v="71"/>
        </s>
        <s v="[AIC Outcome].[AIC Part3].&amp;[Debt]&amp;[48 Individual Voluntary Arrangement]&amp;[Not recorded/not applicable]" c="Not recorded/not applicable" cp="1">
          <x v="71"/>
        </s>
        <s v="[AIC Outcome].[AIC Part3].&amp;[Debt]&amp;[48 Individual Voluntary Arrangement]&amp;[Z Other]" c="Z Other" cp="1">
          <x v="71"/>
        </s>
        <s v="[AIC Outcome].[AIC Part3].&amp;[Debt]&amp;[49 Debt Relief Order]&amp;[A Implications]" c="A Implications" cp="1">
          <x v="72"/>
        </s>
        <s v="[AIC Outcome].[AIC Part3].&amp;[Debt]&amp;[49 Debt Relief Order]&amp;[B Application]" c="B Application" cp="1">
          <x v="72"/>
        </s>
        <s v="[AIC Outcome].[AIC Part3].&amp;[Debt]&amp;[49 Debt Relief Order]&amp;[C Eligibility]" c="C Eligibility" cp="1">
          <x v="72"/>
        </s>
        <s v="[AIC Outcome].[AIC Part3].&amp;[Debt]&amp;[49 Debt Relief Order]&amp;[D Process &amp; delay]" c="D Process &amp; delay" cp="1">
          <x v="72"/>
        </s>
        <s v="[AIC Outcome].[AIC Part3].&amp;[Debt]&amp;[49 Debt Relief Order]&amp;[E Fees]" c="E Fees" cp="1">
          <x v="72"/>
        </s>
        <s v="[AIC Outcome].[AIC Part3].&amp;[Debt]&amp;[49 Debt Relief Order]&amp;[G Debt Relief Restriction Order]" c="G Debt Relief Restriction Order" cp="1">
          <x v="72"/>
        </s>
        <s v="[AIC Outcome].[AIC Part3].&amp;[Debt]&amp;[49 Debt Relief Order]&amp;[J Debts not cleared by DRO]" c="J Debts not cleared by DRO" cp="1">
          <x v="72"/>
        </s>
        <s v="[AIC Outcome].[AIC Part3].&amp;[Debt]&amp;[49 Debt Relief Order]&amp;[Not recorded/not applicable]" c="Not recorded/not applicable" cp="1">
          <x v="72"/>
        </s>
        <s v="[AIC Outcome].[AIC Part3].&amp;[Debt]&amp;[49 Debt Relief Order]&amp;[Z Other]" c="Z Other" cp="1">
          <x v="72"/>
        </s>
        <s v="[AIC Outcome].[AIC Part3].&amp;[Debt]&amp;[50 Bankruptcy]&amp;[A Implications]" c="A Implications" cp="1">
          <x v="73"/>
        </s>
        <s v="[AIC Outcome].[AIC Part3].&amp;[Debt]&amp;[50 Bankruptcy]&amp;[B Form Filling]" c="B Form Filling" cp="1">
          <x v="73"/>
        </s>
        <s v="[AIC Outcome].[AIC Part3].&amp;[Debt]&amp;[50 Bankruptcy]&amp;[D Process &amp; delay]" c="D Process &amp; delay" cp="1">
          <x v="73"/>
        </s>
        <s v="[AIC Outcome].[AIC Part3].&amp;[Debt]&amp;[50 Bankruptcy]&amp;[E Fees]" c="E Fees" cp="1">
          <x v="73"/>
        </s>
        <s v="[AIC Outcome].[AIC Part3].&amp;[Debt]&amp;[50 Bankruptcy]&amp;[H Statutory demands]" c="H Statutory demands" cp="1">
          <x v="73"/>
        </s>
        <s v="[AIC Outcome].[AIC Part3].&amp;[Debt]&amp;[50 Bankruptcy]&amp;[J Debts not cleared by bankruptcy]" c="J Debts not cleared by bankruptcy" cp="1">
          <x v="73"/>
        </s>
        <s v="[AIC Outcome].[AIC Part3].&amp;[Debt]&amp;[50 Bankruptcy]&amp;[Not recorded/not applicable]" c="Not recorded/not applicable" cp="1">
          <x v="73"/>
        </s>
        <s v="[AIC Outcome].[AIC Part3].&amp;[Debt]&amp;[50 Bankruptcy]&amp;[Z Other]" c="Z Other" cp="1">
          <x v="73"/>
        </s>
        <s v="[AIC Outcome].[AIC Part3].&amp;[Debt]&amp;[99 Other]&amp;[C Unpaid legal bills]" c="C Unpaid legal bills" cp="1">
          <x v="74"/>
        </s>
        <s v="[AIC Outcome].[AIC Part3].&amp;[Debt]&amp;[99 Other]&amp;[L Debts re. self-employment]" c="L Debts re. self-employment" cp="1">
          <x v="74"/>
        </s>
        <s v="[AIC Outcome].[AIC Part3].&amp;[Debt]&amp;[99 Other]&amp;[M Former tenancy arrears]" c="M Former tenancy arrears" cp="1">
          <x v="74"/>
        </s>
        <s v="[AIC Outcome].[AIC Part3].&amp;[Debt]&amp;[99 Other]&amp;[Not recorded/not applicable]" c="Not recorded/not applicable" cp="1">
          <x v="74"/>
        </s>
        <s v="[AIC Outcome].[AIC Part3].&amp;[Debt]&amp;[99 Other]&amp;[QA TV licence arrears]" c="QA TV licence arrears" cp="1">
          <x v="74"/>
        </s>
        <s v="[AIC Outcome].[AIC Part3].&amp;[Debt]&amp;[99 Other]&amp;[U MA financial statement advice on self-help]" c="U MA financial statement advice on self-help" cp="1">
          <x v="74"/>
        </s>
        <s v="[AIC Outcome].[AIC Part3].&amp;[Debt]&amp;[99 Other]&amp;[V Student loans]" c="V Student loans" cp="1">
          <x v="74"/>
        </s>
        <s v="[AIC Outcome].[AIC Part3].&amp;[Debt]&amp;[99 Other]&amp;[W Service charge &amp; ground rent arrears]" c="W Service charge &amp; ground rent arrears" cp="1">
          <x v="74"/>
        </s>
        <s v="[AIC Outcome].[AIC Part3].&amp;[Debt]&amp;[99 Other]&amp;[Z Other]" c="Z Other" cp="1">
          <x v="74"/>
        </s>
        <s v="[AIC Outcome].[AIC Part3].&amp;[Debt]&amp;[Not recorded/not applicable]&amp;[Not recorded/not applicable]" c="Not recorded/not applicable" cp="1">
          <x v="22"/>
        </s>
        <s v="[AIC Outcome].[AIC Part3].&amp;[Discrimination]&amp;[01 Discrimination: Age]&amp;[A Direct discrimination]" c="A Direct discrimination" cp="1">
          <x v="75"/>
        </s>
        <s v="[AIC Outcome].[AIC Part3].&amp;[Discrimination]&amp;[01 Discrimination: Age]&amp;[B Harassment]" c="B Harassment" cp="1">
          <x v="75"/>
        </s>
        <s v="[AIC Outcome].[AIC Part3].&amp;[Discrimination]&amp;[03 Discrimination: Disability excluding Mental Health]&amp;[A Direct discrimination]" c="A Direct discrimination" cp="1">
          <x v="76"/>
        </s>
        <s v="[AIC Outcome].[AIC Part3].&amp;[Discrimination]&amp;[03 Discrimination: Disability excluding Mental Health]&amp;[C Indirect discrimination]" c="C Indirect discrimination" cp="1">
          <x v="76"/>
        </s>
        <s v="[AIC Outcome].[AIC Part3].&amp;[Discrimination]&amp;[03 Discrimination: Disability excluding Mental Health]&amp;[E Reasonable adjustments]" c="E Reasonable adjustments" cp="1">
          <x v="76"/>
        </s>
        <s v="[AIC Outcome].[AIC Part3].&amp;[Discrimination]&amp;[03 Discrimination: Disability excluding Mental Health]&amp;[F Discrimination arising from disability]" c="F Discrimination arising from disability" cp="1">
          <x v="76"/>
        </s>
        <s v="[AIC Outcome].[AIC Part3].&amp;[Discrimination]&amp;[03 Discrimination: Disability excluding Mental Health]&amp;[Not recorded/not applicable]" c="Not recorded/not applicable" cp="1">
          <x v="76"/>
        </s>
        <s v="[AIC Outcome].[AIC Part3].&amp;[Discrimination]&amp;[04 Discrimination: Disability Mental health]&amp;[B Harassment]" c="B Harassment" cp="1">
          <x v="77"/>
        </s>
        <s v="[AIC Outcome].[AIC Part3].&amp;[Discrimination]&amp;[04 Discrimination: Disability Mental health]&amp;[E Reasonable adjustments]" c="E Reasonable adjustments" cp="1">
          <x v="77"/>
        </s>
        <s v="[AIC Outcome].[AIC Part3].&amp;[Discrimination]&amp;[04 Discrimination: Disability Mental health]&amp;[F Discrimination arising from disability]" c="F Discrimination arising from disability" cp="1">
          <x v="77"/>
        </s>
        <s v="[AIC Outcome].[AIC Part3].&amp;[Discrimination]&amp;[04 Discrimination: Disability Mental health]&amp;[G Public sector equality duty]" c="G Public sector equality duty" cp="1">
          <x v="77"/>
        </s>
        <s v="[AIC Outcome].[AIC Part3].&amp;[Discrimination]&amp;[09 Discrimination: Pregnancy &amp; maternity]&amp;[A Direct discrimination]" c="A Direct discrimination" cp="1">
          <x v="78"/>
        </s>
        <s v="[AIC Outcome].[AIC Part3].&amp;[Discrimination]&amp;[09 Discrimination: Pregnancy &amp; maternity]&amp;[B Harassment]" c="B Harassment" cp="1">
          <x v="78"/>
        </s>
        <s v="[AIC Outcome].[AIC Part3].&amp;[Discrimination]&amp;[09 Discrimination: Pregnancy &amp; maternity]&amp;[Not recorded/not applicable]" c="Not recorded/not applicable" cp="1">
          <x v="78"/>
        </s>
        <s v="[AIC Outcome].[AIC Part3].&amp;[Discrimination]&amp;[10 Discrimination: Race including nationality]&amp;[A Direct discrimination]" c="A Direct discrimination" cp="1">
          <x v="79"/>
        </s>
        <s v="[AIC Outcome].[AIC Part3].&amp;[Discrimination]&amp;[10 Discrimination: Race including nationality]&amp;[C Indirect discrimination]" c="C Indirect discrimination" cp="1">
          <x v="79"/>
        </s>
        <s v="[AIC Outcome].[AIC Part3].&amp;[Discrimination]&amp;[12 Discrimination: Sex/gender]&amp;[A Direct discrimination]" c="A Direct discrimination" cp="1">
          <x v="80"/>
        </s>
        <s v="[AIC Outcome].[AIC Part3].&amp;[Discrimination]&amp;[12 Discrimination: Sex/gender]&amp;[B Harassment]" c="B Harassment" cp="1">
          <x v="80"/>
        </s>
        <s v="[AIC Outcome].[AIC Part3].&amp;[Discrimination]&amp;[13 Discrimination: Sexual orientation]&amp;[A Direct discrimination]" c="A Direct discrimination" cp="1">
          <x v="81"/>
        </s>
        <s v="[AIC Outcome].[AIC Part3].&amp;[Discrimination]&amp;[13 Discrimination: Sexual orientation]&amp;[B Harassment]" c="B Harassment" cp="1">
          <x v="81"/>
        </s>
        <s v="[AIC Outcome].[AIC Part3].&amp;[Discrimination]&amp;[30 Domestic abuse: against woman by current/ex male partner]&amp;[A Physical]" c="A Physical" cp="1">
          <x v="82"/>
        </s>
        <s v="[AIC Outcome].[AIC Part3].&amp;[Discrimination]&amp;[30 Domestic abuse: against woman by current/ex male partner]&amp;[B Emotional, psychological]" c="B Emotional, psychological" cp="1">
          <x v="82"/>
        </s>
        <s v="[AIC Outcome].[AIC Part3].&amp;[Discrimination]&amp;[99 Domestic abuse: other]&amp;[B Emotional, psychological]" c="B Emotional, psychological" cp="1">
          <x v="83"/>
        </s>
        <s v="[AIC Outcome].[AIC Part3].&amp;[Education]&amp;[02 Early years provision]&amp;[A Costs &amp; grants available]" c="A Costs &amp; grants available" cp="1">
          <x v="84"/>
        </s>
        <s v="[AIC Outcome].[AIC Part3].&amp;[Education]&amp;[03 Schools, non-advanced education]&amp;[B Availability of places/admissions &amp; appeals]" c="B Availability of places/admissions &amp; appeals" cp="1">
          <x v="85"/>
        </s>
        <s v="[AIC Outcome].[AIC Part3].&amp;[Education]&amp;[03 Schools, non-advanced education]&amp;[H Exclusion/provision for excl. children]" c="H Exclusion/provision for excl. children" cp="1">
          <x v="85"/>
        </s>
        <s v="[AIC Outcome].[AIC Part3].&amp;[Education]&amp;[03 Schools, non-advanced education]&amp;[J Transport to school]" c="J Transport to school" cp="1">
          <x v="85"/>
        </s>
        <s v="[AIC Outcome].[AIC Part3].&amp;[Education]&amp;[03 Schools, non-advanced education]&amp;[K Uniform (including suitability &amp; grants)]" c="K Uniform (including suitability &amp; grants)" cp="1">
          <x v="85"/>
        </s>
        <s v="[AIC Outcome].[AIC Part3].&amp;[Education]&amp;[03 Schools, non-advanced education]&amp;[Not recorded/not applicable]" c="Not recorded/not applicable" cp="1">
          <x v="85"/>
        </s>
        <s v="[AIC Outcome].[AIC Part3].&amp;[Education]&amp;[03 Schools, non-advanced education]&amp;[Z Other]" c="Z Other" cp="1">
          <x v="85"/>
        </s>
        <s v="[AIC Outcome].[AIC Part3].&amp;[Education]&amp;[04 Further Education/6th form colleges]&amp;[A Costs &amp; grants (including EMA)]" c="A Costs &amp; grants (including EMA)" cp="1">
          <x v="86"/>
        </s>
        <s v="[AIC Outcome].[AIC Part3].&amp;[Education]&amp;[04 Further Education/6th form colleges]&amp;[Not recorded/not applicable]" c="Not recorded/not applicable" cp="1">
          <x v="86"/>
        </s>
        <s v="[AIC Outcome].[AIC Part3].&amp;[Education]&amp;[04 Further Education/6th form colleges]&amp;[Z Other]" c="Z Other" cp="1">
          <x v="86"/>
        </s>
        <s v="[AIC Outcome].[AIC Part3].&amp;[Education]&amp;[05 Higher Education]&amp;[D Grants &amp; loans]" c="D Grants &amp; loans" cp="1">
          <x v="87"/>
        </s>
        <s v="[AIC Outcome].[AIC Part3].&amp;[Education]&amp;[05 Higher Education]&amp;[Y Complaints including external review]" c="Y Complaints including external review" cp="1">
          <x v="87"/>
        </s>
        <s v="[AIC Outcome].[AIC Part3].&amp;[Education]&amp;[05 Higher Education]&amp;[Z Other]" c="Z Other" cp="1">
          <x v="87"/>
        </s>
        <s v="[AIC Outcome].[AIC Part3].&amp;[Education]&amp;[06 Adult education]&amp;[A Costs]" c="A Costs" cp="1">
          <x v="88"/>
        </s>
        <s v="[AIC Outcome].[AIC Part3].&amp;[Education]&amp;[06 Adult education]&amp;[Not recorded/not applicable]" c="Not recorded/not applicable" cp="1">
          <x v="88"/>
        </s>
        <s v="[AIC Outcome].[AIC Part3].&amp;[Education]&amp;[06 Adult education]&amp;[Z Other]" c="Z Other" cp="1">
          <x v="88"/>
        </s>
        <s v="[AIC Outcome].[AIC Part3].&amp;[Education]&amp;[99 Other education issues]&amp;[Not recorded/not applicable]" c="Not recorded/not applicable" cp="1">
          <x v="89"/>
        </s>
        <s v="[AIC Outcome].[AIC Part3].&amp;[Education]&amp;[99 Other education issues]&amp;[Z Other]" c="Z Other" cp="1">
          <x v="89"/>
        </s>
        <s v="[AIC Outcome].[AIC Part3].&amp;[Education]&amp;[Not recorded/not applicable]&amp;[Not recorded/not applicable]" c="Not recorded/not applicable" cp="1">
          <x v="22"/>
        </s>
        <s v="[AIC Outcome].[AIC Part3].&amp;[Employment]&amp;[03 Self Employment/Business]&amp;[A Business start-up]" c="A Business start-up" cp="1">
          <x v="90"/>
        </s>
        <s v="[AIC Outcome].[AIC Part3].&amp;[Employment]&amp;[03 Self Employment/Business]&amp;[B Employment status]" c="B Employment status" cp="1">
          <x v="90"/>
        </s>
        <s v="[AIC Outcome].[AIC Part3].&amp;[Employment]&amp;[03 Self Employment/Business]&amp;[Not recorded/not applicable]" c="Not recorded/not applicable" cp="1">
          <x v="90"/>
        </s>
        <s v="[AIC Outcome].[AIC Part3].&amp;[Employment]&amp;[03 Self Employment/Business]&amp;[Z Other]" c="Z Other" cp="1">
          <x v="90"/>
        </s>
        <s v="[AIC Outcome].[AIC Part3].&amp;[Employment]&amp;[04 Applying for jobs]&amp;[A References]" c="A References" cp="1">
          <x v="91"/>
        </s>
        <s v="[AIC Outcome].[AIC Part3].&amp;[Employment]&amp;[04 Applying for jobs]&amp;[B Criminal record issues]" c="B Criminal record issues" cp="1">
          <x v="91"/>
        </s>
        <s v="[AIC Outcome].[AIC Part3].&amp;[Employment]&amp;[04 Applying for jobs]&amp;[C Employment agencies]" c="C Employment agencies" cp="1">
          <x v="91"/>
        </s>
        <s v="[AIC Outcome].[AIC Part3].&amp;[Employment]&amp;[04 Applying for jobs]&amp;[Z Other]" c="Z Other" cp="1">
          <x v="91"/>
        </s>
        <s v="[AIC Outcome].[AIC Part3].&amp;[Employment]&amp;[05 Terms &amp; Conditions of Employment]&amp;[A Contract query]" c="A Contract query" cp="1">
          <x v="92"/>
        </s>
        <s v="[AIC Outcome].[AIC Part3].&amp;[Employment]&amp;[05 Terms &amp; Conditions of Employment]&amp;[B Working hours &amp; breaks]" c="B Working hours &amp; breaks" cp="1">
          <x v="92"/>
        </s>
        <s v="[AIC Outcome].[AIC Part3].&amp;[Employment]&amp;[05 Terms &amp; Conditions of Employment]&amp;[C Part time worker discrimination]" c="C Part time worker discrimination" cp="1">
          <x v="92"/>
        </s>
        <s v="[AIC Outcome].[AIC Part3].&amp;[Employment]&amp;[05 Terms &amp; Conditions of Employment]&amp;[D Agency worker]" c="D Agency worker" cp="1">
          <x v="92"/>
        </s>
        <s v="[AIC Outcome].[AIC Part3].&amp;[Employment]&amp;[05 Terms &amp; Conditions of Employment]&amp;[F Flexible Working]" c="F Flexible Working" cp="1">
          <x v="92"/>
        </s>
        <s v="[AIC Outcome].[AIC Part3].&amp;[Employment]&amp;[05 Terms &amp; Conditions of Employment]&amp;[J Transfer of undertakings]" c="J Transfer of undertakings" cp="1">
          <x v="92"/>
        </s>
        <s v="[AIC Outcome].[AIC Part3].&amp;[Employment]&amp;[05 Terms &amp; Conditions of Employment]&amp;[L Zero hours contracts]" c="L Zero hours contracts" cp="1">
          <x v="92"/>
        </s>
        <s v="[AIC Outcome].[AIC Part3].&amp;[Employment]&amp;[05 Terms &amp; Conditions of Employment]&amp;[Not recorded/not applicable]" c="Not recorded/not applicable" cp="1">
          <x v="92"/>
        </s>
        <s v="[AIC Outcome].[AIC Part3].&amp;[Employment]&amp;[05 Terms &amp; Conditions of Employment]&amp;[P Penalty clauses]" c="P Penalty clauses" cp="1">
          <x v="92"/>
        </s>
        <s v="[AIC Outcome].[AIC Part3].&amp;[Employment]&amp;[05 Terms &amp; Conditions of Employment]&amp;[Q Right to written statement of Ts and Cs]" c="Q Right to written statement of Ts and Cs" cp="1">
          <x v="92"/>
        </s>
        <s v="[AIC Outcome].[AIC Part3].&amp;[Employment]&amp;[05 Terms &amp; Conditions of Employment]&amp;[S Employment Status]" c="S Employment Status" cp="1">
          <x v="92"/>
        </s>
        <s v="[AIC Outcome].[AIC Part3].&amp;[Employment]&amp;[05 Terms &amp; Conditions of Employment]&amp;[Z Other]" c="Z Other" cp="1">
          <x v="92"/>
        </s>
        <s v="[AIC Outcome].[AIC Part3].&amp;[Employment]&amp;[07 Pay &amp; Entitlements]&amp;[A National Minimum Wage]" c="A National Minimum Wage" cp="1">
          <x v="93"/>
        </s>
        <s v="[AIC Outcome].[AIC Part3].&amp;[Employment]&amp;[07 Pay &amp; Entitlements]&amp;[B National Living Wage]" c="B National Living Wage" cp="1">
          <x v="93"/>
        </s>
        <s v="[AIC Outcome].[AIC Part3].&amp;[Employment]&amp;[07 Pay &amp; Entitlements]&amp;[C Wages+payslips]" c="C Wages+payslips" cp="1">
          <x v="93"/>
        </s>
        <s v="[AIC Outcome].[AIC Part3].&amp;[Employment]&amp;[07 Pay &amp; Entitlements]&amp;[E Sick Leave]" c="E Sick Leave" cp="1">
          <x v="93"/>
        </s>
        <s v="[AIC Outcome].[AIC Part3].&amp;[Employment]&amp;[07 Pay &amp; Entitlements]&amp;[F Holidays]" c="F Holidays" cp="1">
          <x v="93"/>
        </s>
        <s v="[AIC Outcome].[AIC Part3].&amp;[Employment]&amp;[07 Pay &amp; Entitlements]&amp;[G Occupational pensions]" c="G Occupational pensions" cp="1">
          <x v="93"/>
        </s>
        <s v="[AIC Outcome].[AIC Part3].&amp;[Employment]&amp;[07 Pay &amp; Entitlements]&amp;[J Unlawful deductions]" c="J Unlawful deductions" cp="1">
          <x v="93"/>
        </s>
        <s v="[AIC Outcome].[AIC Part3].&amp;[Employment]&amp;[07 Pay &amp; Entitlements]&amp;[L Sick pay (SSP)]" c="L Sick pay (SSP)" cp="1">
          <x v="93"/>
        </s>
        <s v="[AIC Outcome].[AIC Part3].&amp;[Employment]&amp;[07 Pay &amp; Entitlements]&amp;[M Sick pay (CSP)]" c="M Sick pay (CSP)" cp="1">
          <x v="93"/>
        </s>
        <s v="[AIC Outcome].[AIC Part3].&amp;[Employment]&amp;[07 Pay &amp; Entitlements]&amp;[N Non payment of Tax and NI]" c="N Non payment of Tax and NI" cp="1">
          <x v="93"/>
        </s>
        <s v="[AIC Outcome].[AIC Part3].&amp;[Employment]&amp;[07 Pay &amp; Entitlements]&amp;[Not recorded/not applicable]" c="Not recorded/not applicable" cp="1">
          <x v="93"/>
        </s>
        <s v="[AIC Outcome].[AIC Part3].&amp;[Employment]&amp;[07 Pay &amp; Entitlements]&amp;[Z Other]" c="Z Other" cp="1">
          <x v="93"/>
        </s>
        <s v="[AIC Outcome].[AIC Part3].&amp;[Employment]&amp;[08  Parental &amp; Carers rights]&amp;[B Maternity leave]" c="B Maternity leave" cp="1">
          <x v="94"/>
        </s>
        <s v="[AIC Outcome].[AIC Part3].&amp;[Employment]&amp;[08  Parental &amp; Carers rights]&amp;[C Other maternity rights]" c="C Other maternity rights" cp="1">
          <x v="94"/>
        </s>
        <s v="[AIC Outcome].[AIC Part3].&amp;[Employment]&amp;[08  Parental &amp; Carers rights]&amp;[D Paternity leave &amp; pay]" c="D Paternity leave &amp; pay" cp="1">
          <x v="94"/>
        </s>
        <s v="[AIC Outcome].[AIC Part3].&amp;[Employment]&amp;[08  Parental &amp; Carers rights]&amp;[F Flexible working]" c="F Flexible working" cp="1">
          <x v="94"/>
        </s>
        <s v="[AIC Outcome].[AIC Part3].&amp;[Employment]&amp;[08  Parental &amp; Carers rights]&amp;[G Parental leave]" c="G Parental leave" cp="1">
          <x v="94"/>
        </s>
        <s v="[AIC Outcome].[AIC Part3].&amp;[Employment]&amp;[08  Parental &amp; Carers rights]&amp;[H SMP]" c="H SMP" cp="1">
          <x v="94"/>
        </s>
        <s v="[AIC Outcome].[AIC Part3].&amp;[Employment]&amp;[08  Parental &amp; Carers rights]&amp;[K Shared parental leave and pay]" c="K Shared parental leave and pay" cp="1">
          <x v="94"/>
        </s>
        <s v="[AIC Outcome].[AIC Part3].&amp;[Employment]&amp;[08  Parental &amp; Carers rights]&amp;[Not recorded/not applicable]" c="Not recorded/not applicable" cp="1">
          <x v="94"/>
        </s>
        <s v="[AIC Outcome].[AIC Part3].&amp;[Employment]&amp;[09 Dispute resolution]&amp;[A Grievance procedures]" c="A Grievance procedures" cp="1">
          <x v="95"/>
        </s>
        <s v="[AIC Outcome].[AIC Part3].&amp;[Employment]&amp;[09 Dispute resolution]&amp;[B Disciplinary procedures]" c="B Disciplinary procedures" cp="1">
          <x v="95"/>
        </s>
        <s v="[AIC Outcome].[AIC Part3].&amp;[Employment]&amp;[09 Dispute resolution]&amp;[Not recorded/not applicable]" c="Not recorded/not applicable" cp="1">
          <x v="95"/>
        </s>
        <s v="[AIC Outcome].[AIC Part3].&amp;[Employment]&amp;[09 Dispute resolution]&amp;[Z Other]" c="Z Other" cp="1">
          <x v="95"/>
        </s>
        <s v="[AIC Outcome].[AIC Part3].&amp;[Employment]&amp;[10 Resignation]&amp;[A Notice &amp; final pay]" c="A Notice &amp; final pay" cp="1">
          <x v="96"/>
        </s>
        <s v="[AIC Outcome].[AIC Part3].&amp;[Employment]&amp;[10 Resignation]&amp;[B Contract commitments]" c="B Contract commitments" cp="1">
          <x v="96"/>
        </s>
        <s v="[AIC Outcome].[AIC Part3].&amp;[Employment]&amp;[10 Resignation]&amp;[C  P45]" c="C  P45" cp="1">
          <x v="96"/>
        </s>
        <s v="[AIC Outcome].[AIC Part3].&amp;[Employment]&amp;[10 Resignation]&amp;[Not recorded/not applicable]" c="Not recorded/not applicable" cp="1">
          <x v="96"/>
        </s>
        <s v="[AIC Outcome].[AIC Part3].&amp;[Employment]&amp;[10 Resignation]&amp;[Z Other]" c="Z Other" cp="1">
          <x v="96"/>
        </s>
        <s v="[AIC Outcome].[AIC Part3].&amp;[Employment]&amp;[11 Dismissal]&amp;[A Notice &amp; pay in lieu of notice]" c="A Notice &amp; pay in lieu of notice" cp="1">
          <x v="97"/>
        </s>
        <s v="[AIC Outcome].[AIC Part3].&amp;[Employment]&amp;[11 Dismissal]&amp;[B Rights including access to written reasons]" c="B Rights including access to written reasons" cp="1">
          <x v="97"/>
        </s>
        <s v="[AIC Outcome].[AIC Part3].&amp;[Employment]&amp;[11 Dismissal]&amp;[C Unfair dismissal]" c="C Unfair dismissal" cp="1">
          <x v="97"/>
        </s>
        <s v="[AIC Outcome].[AIC Part3].&amp;[Employment]&amp;[11 Dismissal]&amp;[D Constructive Dismissal]" c="D Constructive Dismissal" cp="1">
          <x v="97"/>
        </s>
        <s v="[AIC Outcome].[AIC Part3].&amp;[Employment]&amp;[11 Dismissal]&amp;[E Wrongful Dismissal]" c="E Wrongful Dismissal" cp="1">
          <x v="97"/>
        </s>
        <s v="[AIC Outcome].[AIC Part3].&amp;[Employment]&amp;[11 Dismissal]&amp;[F Time limits]" c="F Time limits" cp="1">
          <x v="97"/>
        </s>
        <s v="[AIC Outcome].[AIC Part3].&amp;[Employment]&amp;[11 Dismissal]&amp;[Not recorded/not applicable]" c="Not recorded/not applicable" cp="1">
          <x v="97"/>
        </s>
        <s v="[AIC Outcome].[AIC Part3].&amp;[Employment]&amp;[11 Dismissal]&amp;[Z Other]" c="Z Other" cp="1">
          <x v="97"/>
        </s>
        <s v="[AIC Outcome].[AIC Part3].&amp;[Employment]&amp;[12 Redundancy]&amp;[A Employer redundancy pay]" c="A Employer redundancy pay" cp="1">
          <x v="98"/>
        </s>
        <s v="[AIC Outcome].[AIC Part3].&amp;[Employment]&amp;[12 Redundancy]&amp;[B Selection for redundancy]" c="B Selection for redundancy" cp="1">
          <x v="98"/>
        </s>
        <s v="[AIC Outcome].[AIC Part3].&amp;[Employment]&amp;[12 Redundancy]&amp;[D Notice]" c="D Notice" cp="1">
          <x v="98"/>
        </s>
        <s v="[AIC Outcome].[AIC Part3].&amp;[Employment]&amp;[12 Redundancy]&amp;[E Redundancy payment from NIF]" c="E Redundancy payment from NIF" cp="1">
          <x v="98"/>
        </s>
        <s v="[AIC Outcome].[AIC Part3].&amp;[Employment]&amp;[12 Redundancy]&amp;[Not recorded/not applicable]" c="Not recorded/not applicable" cp="1">
          <x v="98"/>
        </s>
        <s v="[AIC Outcome].[AIC Part3].&amp;[Employment]&amp;[12 Redundancy]&amp;[Z Other]" c="Z Other" cp="1">
          <x v="98"/>
        </s>
        <s v="[AIC Outcome].[AIC Part3].&amp;[Employment]&amp;[13 Employment tribunals &amp; appeals]&amp;[A Eligibility]" c="A Eligibility" cp="1">
          <x v="99"/>
        </s>
        <s v="[AIC Outcome].[AIC Part3].&amp;[Employment]&amp;[13 Employment tribunals &amp; appeals]&amp;[B Pre-tribunal settlement (including acas early conciliation)]" c="B Pre-tribunal settlement (including acas early conciliation)" cp="1">
          <x v="99"/>
        </s>
        <s v="[AIC Outcome].[AIC Part3].&amp;[Employment]&amp;[13 Employment tribunals &amp; appeals]&amp;[D Procedure]" c="D Procedure" cp="1">
          <x v="99"/>
        </s>
        <s v="[AIC Outcome].[AIC Part3].&amp;[Employment]&amp;[13 Employment tribunals &amp; appeals]&amp;[E Fees and fee remissions]" c="E Fees and fee remissions" cp="1">
          <x v="99"/>
        </s>
        <s v="[AIC Outcome].[AIC Part3].&amp;[Employment]&amp;[13 Employment tribunals &amp; appeals]&amp;[F Time limits]" c="F Time limits" cp="1">
          <x v="99"/>
        </s>
        <s v="[AIC Outcome].[AIC Part3].&amp;[Employment]&amp;[13 Employment tribunals &amp; appeals]&amp;[G Early conciliation]" c="G Early conciliation" cp="1">
          <x v="99"/>
        </s>
        <s v="[AIC Outcome].[AIC Part3].&amp;[Employment]&amp;[13 Employment tribunals &amp; appeals]&amp;[H Tribunal case management]" c="H Tribunal case management" cp="1">
          <x v="99"/>
        </s>
        <s v="[AIC Outcome].[AIC Part3].&amp;[Employment]&amp;[13 Employment tribunals &amp; appeals]&amp;[Not recorded/not applicable]" c="Not recorded/not applicable" cp="1">
          <x v="99"/>
        </s>
        <s v="[AIC Outcome].[AIC Part3].&amp;[Employment]&amp;[13 Employment tribunals &amp; appeals]&amp;[X Recovery of tribunal awards]" c="X Recovery of tribunal awards" cp="1">
          <x v="99"/>
        </s>
        <s v="[AIC Outcome].[AIC Part3].&amp;[Employment]&amp;[13 Employment tribunals &amp; appeals]&amp;[Z Other]" c="Z Other" cp="1">
          <x v="99"/>
        </s>
        <s v="[AIC Outcome].[AIC Part3].&amp;[Employment]&amp;[14 Access to jobs]&amp;[C Training and skills]" c="C Training and skills" cp="1">
          <x v="100"/>
        </s>
        <s v="[AIC Outcome].[AIC Part3].&amp;[Employment]&amp;[14 Access to jobs]&amp;[D Lack of suitable jobs]" c="D Lack of suitable jobs" cp="1">
          <x v="100"/>
        </s>
        <s v="[AIC Outcome].[AIC Part3].&amp;[Employment]&amp;[14 Access to jobs]&amp;[Z Other]" c="Z Other" cp="1">
          <x v="100"/>
        </s>
        <s v="[AIC Outcome].[AIC Part3].&amp;[Employment]&amp;[99 Other]&amp;[AP Apprenticeships]" c="AP Apprenticeships" cp="1">
          <x v="74"/>
        </s>
        <s v="[AIC Outcome].[AIC Part3].&amp;[Employment]&amp;[99 Other]&amp;[B Harassment &amp; bullying]" c="B Harassment &amp; bullying" cp="1">
          <x v="74"/>
        </s>
        <s v="[AIC Outcome].[AIC Part3].&amp;[Employment]&amp;[99 Other]&amp;[C Trade union issues or industrial action]" c="C Trade union issues or industrial action" cp="1">
          <x v="74"/>
        </s>
        <s v="[AIC Outcome].[AIC Part3].&amp;[Employment]&amp;[99 Other]&amp;[HE Health and safety]" c="HE Health and safety" cp="1">
          <x v="74"/>
        </s>
        <s v="[AIC Outcome].[AIC Part3].&amp;[Employment]&amp;[99 Other]&amp;[K Insolvent employer (inc NIF)]" c="K Insolvent employer (inc NIF)" cp="1">
          <x v="74"/>
        </s>
        <s v="[AIC Outcome].[AIC Part3].&amp;[Employment]&amp;[99 Other]&amp;[L Whistleblowing]" c="L Whistleblowing" cp="1">
          <x v="74"/>
        </s>
        <s v="[AIC Outcome].[AIC Part3].&amp;[Employment]&amp;[99 Other]&amp;[Not recorded/not applicable]" c="Not recorded/not applicable" cp="1">
          <x v="74"/>
        </s>
        <s v="[AIC Outcome].[AIC Part3].&amp;[Employment]&amp;[99 Other]&amp;[Z Other]" c="Z Other" cp="1">
          <x v="74"/>
        </s>
        <s v="[AIC Outcome].[AIC Part3].&amp;[Employment]&amp;[Not recorded/not applicable]&amp;[Not recorded/not applicable]" c="Not recorded/not applicable" cp="1">
          <x v="22"/>
        </s>
        <s v="[AIC Outcome].[AIC Part3].&amp;[Financial services &amp; capability]&amp;[02 Bank/Building &amp; P/O Accounts]&amp;[E Opening bank account or POCA]" c="E Opening bank account or POCA" cp="1">
          <x v="101"/>
        </s>
        <s v="[AIC Outcome].[AIC Part3].&amp;[Financial services &amp; capability]&amp;[02 Bank/Building &amp; P/O Accounts]&amp;[G Cash, debit cards &amp; PINS]" c="G Cash, debit cards &amp; PINS" cp="1">
          <x v="101"/>
        </s>
        <s v="[AIC Outcome].[AIC Part3].&amp;[Financial services &amp; capability]&amp;[02 Bank/Building &amp; P/O Accounts]&amp;[H Contract terms &amp; conditions]" c="H Contract terms &amp; conditions" cp="1">
          <x v="101"/>
        </s>
        <s v="[AIC Outcome].[AIC Part3].&amp;[Financial services &amp; capability]&amp;[02 Bank/Building &amp; P/O Accounts]&amp;[J Interest &amp; other charges]" c="J Interest &amp; other charges" cp="1">
          <x v="101"/>
        </s>
        <s v="[AIC Outcome].[AIC Part3].&amp;[Financial services &amp; capability]&amp;[02 Bank/Building &amp; P/O Accounts]&amp;[L Direct debits &amp; standing orders]" c="L Direct debits &amp; standing orders" cp="1">
          <x v="101"/>
        </s>
        <s v="[AIC Outcome].[AIC Part3].&amp;[Financial services &amp; capability]&amp;[02 Bank/Building &amp; P/O Accounts]&amp;[R Complaints &amp; redress]" c="R Complaints &amp; redress" cp="1">
          <x v="101"/>
        </s>
        <s v="[AIC Outcome].[AIC Part3].&amp;[Financial services &amp; capability]&amp;[02 Bank/Building &amp; P/O Accounts]&amp;[Z Other]" c="Z Other" cp="1">
          <x v="101"/>
        </s>
        <s v="[AIC Outcome].[AIC Part3].&amp;[Financial services &amp; capability]&amp;[03 Credit/store/charge cards]&amp;[J Interest &amp; other charges]" c="J Interest &amp; other charges" cp="1">
          <x v="102"/>
        </s>
        <s v="[AIC Outcome].[AIC Part3].&amp;[Financial services &amp; capability]&amp;[03 Credit/store/charge cards]&amp;[L Equal liability (s75 CCA)]" c="L Equal liability (s75 CCA)" cp="1">
          <x v="102"/>
        </s>
        <s v="[AIC Outcome].[AIC Part3].&amp;[Financial services &amp; capability]&amp;[04 Mortgages &amp; secured loans]&amp;[J Interest &amp; other charges]" c="J Interest &amp; other charges" cp="1">
          <x v="103"/>
        </s>
        <s v="[AIC Outcome].[AIC Part3].&amp;[Financial services &amp; capability]&amp;[04 Mortgages &amp; secured loans]&amp;[M Equity release]" c="M Equity release" cp="1">
          <x v="103"/>
        </s>
        <s v="[AIC Outcome].[AIC Part3].&amp;[Financial services &amp; capability]&amp;[04 Mortgages &amp; secured loans]&amp;[N Advice on options]" c="N Advice on options" cp="1">
          <x v="103"/>
        </s>
        <s v="[AIC Outcome].[AIC Part3].&amp;[Financial services &amp; capability]&amp;[04 Mortgages &amp; secured loans]&amp;[Not recorded/not applicable]" c="Not recorded/not applicable" cp="1">
          <x v="103"/>
        </s>
        <s v="[AIC Outcome].[AIC Part3].&amp;[Financial services &amp; capability]&amp;[04 Mortgages &amp; secured loans]&amp;[Z Other]" c="Z Other" cp="1">
          <x v="103"/>
        </s>
        <s v="[AIC Outcome].[AIC Part3].&amp;[Financial services &amp; capability]&amp;[05 Loans - unsecured]&amp;[B Selling &amp; lending]" c="B Selling &amp; lending" cp="1">
          <x v="104"/>
        </s>
        <s v="[AIC Outcome].[AIC Part3].&amp;[Financial services &amp; capability]&amp;[05 Loans - unsecured]&amp;[Z Other]" c="Z Other" cp="1">
          <x v="104"/>
        </s>
        <s v="[AIC Outcome].[AIC Part3].&amp;[Financial services &amp; capability]&amp;[10 Payment protection insurance]&amp;[B Selling methods including advertising]" c="B Selling methods including advertising" cp="1">
          <x v="105"/>
        </s>
        <s v="[AIC Outcome].[AIC Part3].&amp;[Financial services &amp; capability]&amp;[10 Payment protection insurance]&amp;[H Contract terms &amp; conditions]" c="H Contract terms &amp; conditions" cp="1">
          <x v="105"/>
        </s>
        <s v="[AIC Outcome].[AIC Part3].&amp;[Financial services &amp; capability]&amp;[10 Payment protection insurance]&amp;[J Refusal of claim]" c="J Refusal of claim" cp="1">
          <x v="105"/>
        </s>
        <s v="[AIC Outcome].[AIC Part3].&amp;[Financial services &amp; capability]&amp;[10 Payment protection insurance]&amp;[R Complaints &amp; redress]" c="R Complaints &amp; redress" cp="1">
          <x v="105"/>
        </s>
        <s v="[AIC Outcome].[AIC Part3].&amp;[Financial services &amp; capability]&amp;[10 Payment protection insurance]&amp;[Z Other]" c="Z Other" cp="1">
          <x v="105"/>
        </s>
        <s v="[AIC Outcome].[AIC Part3].&amp;[Financial services &amp; capability]&amp;[11 Holiday/travel insurance]&amp;[H Contract terms &amp; conditions]" c="H Contract terms &amp; conditions" cp="1">
          <x v="106"/>
        </s>
        <s v="[AIC Outcome].[AIC Part3].&amp;[Financial services &amp; capability]&amp;[11 Holiday/travel insurance]&amp;[J Refusal of claim]" c="J Refusal of claim" cp="1">
          <x v="106"/>
        </s>
        <s v="[AIC Outcome].[AIC Part3].&amp;[Financial services &amp; capability]&amp;[12 Vehicle insurance]&amp;[H Contract terms &amp; conditions]" c="H Contract terms &amp; conditions" cp="1">
          <x v="107"/>
        </s>
        <s v="[AIC Outcome].[AIC Part3].&amp;[Financial services &amp; capability]&amp;[12 Vehicle insurance]&amp;[Not recorded/not applicable]" c="Not recorded/not applicable" cp="1">
          <x v="107"/>
        </s>
        <s v="[AIC Outcome].[AIC Part3].&amp;[Financial services &amp; capability]&amp;[12 Vehicle insurance]&amp;[Z Other]" c="Z Other" cp="1">
          <x v="107"/>
        </s>
        <s v="[AIC Outcome].[AIC Part3].&amp;[Financial services &amp; capability]&amp;[13 Buildings &amp; house contents insurance]&amp;[H Contract terms &amp; conditions]" c="H Contract terms &amp; conditions" cp="1">
          <x v="108"/>
        </s>
        <s v="[AIC Outcome].[AIC Part3].&amp;[Financial services &amp; capability]&amp;[13 Buildings &amp; house contents insurance]&amp;[J Refusal of claim]" c="J Refusal of claim" cp="1">
          <x v="108"/>
        </s>
        <s v="[AIC Outcome].[AIC Part3].&amp;[Financial services &amp; capability]&amp;[13 Buildings &amp; house contents insurance]&amp;[R Complaints &amp; redress]" c="R Complaints &amp; redress" cp="1">
          <x v="108"/>
        </s>
        <s v="[AIC Outcome].[AIC Part3].&amp;[Financial services &amp; capability]&amp;[13 Buildings &amp; house contents insurance]&amp;[Z Other]" c="Z Other" cp="1">
          <x v="108"/>
        </s>
        <s v="[AIC Outcome].[AIC Part3].&amp;[Financial services &amp; capability]&amp;[14 Life Insurance]&amp;[H Contract terms &amp; conditions]" c="H Contract terms &amp; conditions" cp="1">
          <x v="109"/>
        </s>
        <s v="[AIC Outcome].[AIC Part3].&amp;[Financial services &amp; capability]&amp;[14 Life Insurance]&amp;[Z Other]" c="Z Other" cp="1">
          <x v="109"/>
        </s>
        <s v="[AIC Outcome].[AIC Part3].&amp;[Financial services &amp; capability]&amp;[17 Credit Reference Agencies]&amp;[A Obtaining credit reference file]" c="A Obtaining credit reference file" cp="1">
          <x v="110"/>
        </s>
        <s v="[AIC Outcome].[AIC Part3].&amp;[Financial services &amp; capability]&amp;[17 Credit Reference Agencies]&amp;[B Checking information on file]" c="B Checking information on file" cp="1">
          <x v="110"/>
        </s>
        <s v="[AIC Outcome].[AIC Part3].&amp;[Financial services &amp; capability]&amp;[17 Credit Reference Agencies]&amp;[C Correcting information on file]" c="C Correcting information on file" cp="1">
          <x v="110"/>
        </s>
        <s v="[AIC Outcome].[AIC Part3].&amp;[Financial services &amp; capability]&amp;[18 Personal Pensions]&amp;[B Selling practices]" c="B Selling practices" cp="1">
          <x v="111"/>
        </s>
        <s v="[AIC Outcome].[AIC Part3].&amp;[Financial services &amp; capability]&amp;[18 Personal Pensions]&amp;[J Suitability]" c="J Suitability" cp="1">
          <x v="111"/>
        </s>
        <s v="[AIC Outcome].[AIC Part3].&amp;[Financial services &amp; capability]&amp;[18 Personal Pensions]&amp;[K Options for pensions pot]" c="K Options for pensions pot" cp="1">
          <x v="111"/>
        </s>
        <s v="[AIC Outcome].[AIC Part3].&amp;[Financial services &amp; capability]&amp;[18 Personal Pensions]&amp;[L Tax implications of choices]" c="L Tax implications of choices" cp="1">
          <x v="111"/>
        </s>
        <s v="[AIC Outcome].[AIC Part3].&amp;[Financial services &amp; capability]&amp;[18 Personal Pensions]&amp;[Not recorded/not applicable]" c="Not recorded/not applicable" cp="1">
          <x v="111"/>
        </s>
        <s v="[AIC Outcome].[AIC Part3].&amp;[Financial services &amp; capability]&amp;[18 Personal Pensions]&amp;[R Complaints and Redress]" c="R Complaints and Redress" cp="1">
          <x v="111"/>
        </s>
        <s v="[AIC Outcome].[AIC Part3].&amp;[Financial services &amp; capability]&amp;[18 Personal Pensions]&amp;[Z Other]" c="Z Other" cp="1">
          <x v="111"/>
        </s>
        <s v="[AIC Outcome].[AIC Part3].&amp;[Financial services &amp; capability]&amp;[19 Savings and investments]&amp;[Z Other]" c="Z Other" cp="1">
          <x v="112"/>
        </s>
        <s v="[AIC Outcome].[AIC Part3].&amp;[Financial services &amp; capability]&amp;[20 Financial capability]&amp;[A Banking]" c="A Banking" cp="1">
          <x v="113"/>
        </s>
        <s v="[AIC Outcome].[AIC Part3].&amp;[Financial services &amp; capability]&amp;[20 Financial capability]&amp;[B Budgeting and managing money]" c="B Budgeting and managing money" cp="1">
          <x v="113"/>
        </s>
        <s v="[AIC Outcome].[AIC Part3].&amp;[Financial services &amp; capability]&amp;[20 Financial capability]&amp;[D Dealing with and understanding bills]" c="D Dealing with and understanding bills" cp="1">
          <x v="113"/>
        </s>
        <s v="[AIC Outcome].[AIC Part3].&amp;[Financial services &amp; capability]&amp;[20 Financial capability]&amp;[F Getting the best deals: energy]" c="F Getting the best deals: energy" cp="1">
          <x v="113"/>
        </s>
        <s v="[AIC Outcome].[AIC Part3].&amp;[Financial services &amp; capability]&amp;[20 Financial capability]&amp;[G Getting the best deals: water]" c="G Getting the best deals: water" cp="1">
          <x v="113"/>
        </s>
        <s v="[AIC Outcome].[AIC Part3].&amp;[Financial services &amp; capability]&amp;[20 Financial capability]&amp;[H Getting the best deals: phones, TV, internet &amp; other]" c="H Getting the best deals: phones, TV, internet &amp; other" cp="1">
          <x v="113"/>
        </s>
        <s v="[AIC Outcome].[AIC Part3].&amp;[Financial services &amp; capability]&amp;[20 Financial capability]&amp;[K Insurance and protection]" c="K Insurance and protection" cp="1">
          <x v="113"/>
        </s>
        <s v="[AIC Outcome].[AIC Part3].&amp;[Financial services &amp; capability]&amp;[20 Financial capability]&amp;[L Pensions and annuities]" c="L Pensions and annuities" cp="1">
          <x v="113"/>
        </s>
        <s v="[AIC Outcome].[AIC Part3].&amp;[Financial services &amp; capability]&amp;[20 Financial capability]&amp;[Not recorded/not applicable]" c="Not recorded/not applicable" cp="1">
          <x v="113"/>
        </s>
        <s v="[AIC Outcome].[AIC Part3].&amp;[Financial services &amp; capability]&amp;[20 Financial capability]&amp;[O Switching bank accounts]" c="O Switching bank accounts" cp="1">
          <x v="113"/>
        </s>
        <s v="[AIC Outcome].[AIC Part3].&amp;[Financial services &amp; capability]&amp;[20 Financial capability]&amp;[S Priority debts]" c="S Priority debts" cp="1">
          <x v="113"/>
        </s>
        <s v="[AIC Outcome].[AIC Part3].&amp;[Financial services &amp; capability]&amp;[20 Financial capability]&amp;[T Non-priority debts]" c="T Non-priority debts" cp="1">
          <x v="113"/>
        </s>
        <s v="[AIC Outcome].[AIC Part3].&amp;[Financial services &amp; capability]&amp;[20 Financial capability]&amp;[W Reducing expenditure/maximising income]" c="W Reducing expenditure/maximising income" cp="1">
          <x v="113"/>
        </s>
        <s v="[AIC Outcome].[AIC Part3].&amp;[Financial services &amp; capability]&amp;[22 Independent Financial Adviser]&amp;[A Quality of advice]" c="A Quality of advice" cp="1">
          <x v="114"/>
        </s>
        <s v="[AIC Outcome].[AIC Part3].&amp;[Financial services &amp; capability]&amp;[22 Independent Financial Adviser]&amp;[R Complaints and Redress]" c="R Complaints and Redress" cp="1">
          <x v="114"/>
        </s>
        <s v="[AIC Outcome].[AIC Part3].&amp;[Financial services &amp; capability]&amp;[30 Pension Wise]&amp;[A Pension Wise]" c="A Pension Wise" cp="1">
          <x v="115"/>
        </s>
        <s v="[AIC Outcome].[AIC Part3].&amp;[Financial services &amp; capability]&amp;[30 Pension Wise]&amp;[D Unsolicited calls or suspected scams]" c="D Unsolicited calls or suspected scams" cp="1">
          <x v="115"/>
        </s>
        <s v="[AIC Outcome].[AIC Part3].&amp;[Financial services &amp; capability]&amp;[99 Other credit, fin. &amp; insurance issues]&amp;[J Credit union services]" c="J Credit union services" cp="1">
          <x v="116"/>
        </s>
        <s v="[AIC Outcome].[AIC Part3].&amp;[Financial services &amp; capability]&amp;[99 Other credit, fin. &amp; insurance issues]&amp;[Not recorded/not applicable]" c="Not recorded/not applicable" cp="1">
          <x v="116"/>
        </s>
        <s v="[AIC Outcome].[AIC Part3].&amp;[Financial services &amp; capability]&amp;[99 Other credit, fin. &amp; insurance issues]&amp;[V Other types of insurance]" c="V Other types of insurance" cp="1">
          <x v="116"/>
        </s>
        <s v="[AIC Outcome].[AIC Part3].&amp;[Financial services &amp; capability]&amp;[99 Other credit, fin. &amp; insurance issues]&amp;[Z Other]" c="Z Other" cp="1">
          <x v="116"/>
        </s>
        <s v="[AIC Outcome].[AIC Part3].&amp;[Financial services &amp; capability]&amp;[Not recorded/not applicable]&amp;[Not recorded/not applicable]" c="Not recorded/not applicable" cp="1">
          <x v="22"/>
        </s>
        <s v="[AIC Outcome].[AIC Part3].&amp;[Health &amp; community care]&amp;[03 Hospital Services (non-MH)]&amp;[A Waiting lists and appointments]" c="A Waiting lists and appointments" cp="1">
          <x v="117"/>
        </s>
        <s v="[AIC Outcome].[AIC Part3].&amp;[Health &amp; community care]&amp;[03 Hospital Services (non-MH)]&amp;[B Quality of diagnosis/care/treatment]" c="B Quality of diagnosis/care/treatment" cp="1">
          <x v="117"/>
        </s>
        <s v="[AIC Outcome].[AIC Part3].&amp;[Health &amp; community care]&amp;[03 Hospital Services (non-MH)]&amp;[D Communication/information to patients]" c="D Communication/information to patients" cp="1">
          <x v="117"/>
        </s>
        <s v="[AIC Outcome].[AIC Part3].&amp;[Health &amp; community care]&amp;[03 Hospital Services (non-MH)]&amp;[F Complaints]" c="F Complaints" cp="1">
          <x v="117"/>
        </s>
        <s v="[AIC Outcome].[AIC Part3].&amp;[Health &amp; community care]&amp;[03 Hospital Services (non-MH)]&amp;[S Discharge &amp; aftercare]" c="S Discharge &amp; aftercare" cp="1">
          <x v="117"/>
        </s>
        <s v="[AIC Outcome].[AIC Part3].&amp;[Health &amp; community care]&amp;[04 Hospital services - Mental Health]&amp;[B Quality of diagnosis/care/treatment]" c="B Quality of diagnosis/care/treatment" cp="1">
          <x v="118"/>
        </s>
        <s v="[AIC Outcome].[AIC Part3].&amp;[Health &amp; community care]&amp;[04 Hospital services - Mental Health]&amp;[F Complaints]" c="F Complaints" cp="1">
          <x v="118"/>
        </s>
        <s v="[AIC Outcome].[AIC Part3].&amp;[Health &amp; community care]&amp;[04 Hospital services - Mental Health]&amp;[N Admission under section]" c="N Admission under section" cp="1">
          <x v="118"/>
        </s>
        <s v="[AIC Outcome].[AIC Part3].&amp;[Health &amp; community care]&amp;[04 Hospital services - Mental Health]&amp;[S Discharge &amp; aftercare]" c="S Discharge &amp; aftercare" cp="1">
          <x v="118"/>
        </s>
        <s v="[AIC Outcome].[AIC Part3].&amp;[Health &amp; community care]&amp;[05 General Medical Practice]&amp;[A Registration with GPs]" c="A Registration with GPs" cp="1">
          <x v="119"/>
        </s>
        <s v="[AIC Outcome].[AIC Part3].&amp;[Health &amp; community care]&amp;[05 General Medical Practice]&amp;[B Quality of diagnosis/care/treatment]" c="B Quality of diagnosis/care/treatment" cp="1">
          <x v="119"/>
        </s>
        <s v="[AIC Outcome].[AIC Part3].&amp;[Health &amp; community care]&amp;[05 General Medical Practice]&amp;[D Communication/information to patients]" c="D Communication/information to patients" cp="1">
          <x v="119"/>
        </s>
        <s v="[AIC Outcome].[AIC Part3].&amp;[Health &amp; community care]&amp;[05 General Medical Practice]&amp;[F Complaints]" c="F Complaints" cp="1">
          <x v="119"/>
        </s>
        <s v="[AIC Outcome].[AIC Part3].&amp;[Health &amp; community care]&amp;[05 General Medical Practice]&amp;[H Personal records]" c="H Personal records" cp="1">
          <x v="119"/>
        </s>
        <s v="[AIC Outcome].[AIC Part3].&amp;[Health &amp; community care]&amp;[05 General Medical Practice]&amp;[K GP charges]" c="K GP charges" cp="1">
          <x v="119"/>
        </s>
        <s v="[AIC Outcome].[AIC Part3].&amp;[Health &amp; community care]&amp;[05 General Medical Practice]&amp;[M Issues with medication]" c="M Issues with medication" cp="1">
          <x v="119"/>
        </s>
        <s v="[AIC Outcome].[AIC Part3].&amp;[Health &amp; community care]&amp;[05 General Medical Practice]&amp;[P Prescription from onsite dispensing chemist]" c="P Prescription from onsite dispensing chemist" cp="1">
          <x v="119"/>
        </s>
        <s v="[AIC Outcome].[AIC Part3].&amp;[Health &amp; community care]&amp;[06 Residential Care]&amp;[C Charges]" c="C Charges" cp="1">
          <x v="120"/>
        </s>
        <s v="[AIC Outcome].[AIC Part3].&amp;[Health &amp; community care]&amp;[06 Residential Care]&amp;[F Complaints]" c="F Complaints" cp="1">
          <x v="120"/>
        </s>
        <s v="[AIC Outcome].[AIC Part3].&amp;[Health &amp; community care]&amp;[06 Residential Care]&amp;[N NHS Provision]" c="N NHS Provision" cp="1">
          <x v="120"/>
        </s>
        <s v="[AIC Outcome].[AIC Part3].&amp;[Health &amp; community care]&amp;[06 Residential Care]&amp;[Not recorded/not applicable]" c="Not recorded/not applicable" cp="1">
          <x v="120"/>
        </s>
        <s v="[AIC Outcome].[AIC Part3].&amp;[Health &amp; community care]&amp;[06 Residential Care]&amp;[U Self-funding issues]" c="U Self-funding issues" cp="1">
          <x v="120"/>
        </s>
        <s v="[AIC Outcome].[AIC Part3].&amp;[Health &amp; community care]&amp;[07 Community Care (non-MH)]&amp;[A Eligibility criteria and assessment of need]" c="A Eligibility criteria and assessment of need" cp="1">
          <x v="121"/>
        </s>
        <s v="[AIC Outcome].[AIC Part3].&amp;[Health &amp; community care]&amp;[07 Community Care (non-MH)]&amp;[F Complaints]" c="F Complaints" cp="1">
          <x v="121"/>
        </s>
        <s v="[AIC Outcome].[AIC Part3].&amp;[Health &amp; community care]&amp;[07 Community Care (non-MH)]&amp;[G Liaison with other agencies]" c="G Liaison with other agencies" cp="1">
          <x v="121"/>
        </s>
        <s v="[AIC Outcome].[AIC Part3].&amp;[Health &amp; community care]&amp;[07 Community Care (non-MH)]&amp;[K Charges &amp; payments]" c="K Charges &amp; payments" cp="1">
          <x v="121"/>
        </s>
        <s v="[AIC Outcome].[AIC Part3].&amp;[Health &amp; community care]&amp;[07 Community Care (non-MH)]&amp;[R Challenging community care decisions]" c="R Challenging community care decisions" cp="1">
          <x v="121"/>
        </s>
        <s v="[AIC Outcome].[AIC Part3].&amp;[Health &amp; community care]&amp;[07 Community Care (non-MH)]&amp;[Z Other]" c="Z Other" cp="1">
          <x v="121"/>
        </s>
        <s v="[AIC Outcome].[AIC Part3].&amp;[Health &amp; community care]&amp;[08 Community Care - Mental Health]&amp;[A Eligibility criteria and assessment of need]" c="A Eligibility criteria and assessment of need" cp="1">
          <x v="122"/>
        </s>
        <s v="[AIC Outcome].[AIC Part3].&amp;[Health &amp; community care]&amp;[08 Community Care - Mental Health]&amp;[B Quality of care]" c="B Quality of care" cp="1">
          <x v="122"/>
        </s>
        <s v="[AIC Outcome].[AIC Part3].&amp;[Health &amp; community care]&amp;[08 Community Care - Mental Health]&amp;[C CMHT Support Services]" c="C CMHT Support Services" cp="1">
          <x v="122"/>
        </s>
        <s v="[AIC Outcome].[AIC Part3].&amp;[Health &amp; community care]&amp;[08 Community Care - Mental Health]&amp;[F Complaints]" c="F Complaints" cp="1">
          <x v="122"/>
        </s>
        <s v="[AIC Outcome].[AIC Part3].&amp;[Health &amp; community care]&amp;[08 Community Care - Mental Health]&amp;[G Liaison with other agencies]" c="G Liaison with other agencies" cp="1">
          <x v="122"/>
        </s>
        <s v="[AIC Outcome].[AIC Part3].&amp;[Health &amp; community care]&amp;[08 Community Care - Mental Health]&amp;[K Charges &amp; payments]" c="K Charges &amp; payments" cp="1">
          <x v="122"/>
        </s>
        <s v="[AIC Outcome].[AIC Part3].&amp;[Health &amp; community care]&amp;[08 Community Care - Mental Health]&amp;[Not recorded/not applicable]" c="Not recorded/not applicable" cp="1">
          <x v="122"/>
        </s>
        <s v="[AIC Outcome].[AIC Part3].&amp;[Health &amp; community care]&amp;[08 Community Care - Mental Health]&amp;[P Personal care budget]" c="P Personal care budget" cp="1">
          <x v="122"/>
        </s>
        <s v="[AIC Outcome].[AIC Part3].&amp;[Health &amp; community care]&amp;[08 Community Care - Mental Health]&amp;[R Challenging community care decisions]" c="R Challenging community care decisions" cp="1">
          <x v="122"/>
        </s>
        <s v="[AIC Outcome].[AIC Part3].&amp;[Health &amp; community care]&amp;[08 Community Care - Mental Health]&amp;[Y Young persons (18-24) provision]" c="Y Young persons (18-24) provision" cp="1">
          <x v="122"/>
        </s>
        <s v="[AIC Outcome].[AIC Part3].&amp;[Health &amp; community care]&amp;[08 Community Care - Mental Health]&amp;[Z Other]" c="Z Other" cp="1">
          <x v="122"/>
        </s>
        <s v="[AIC Outcome].[AIC Part3].&amp;[Health &amp; community care]&amp;[09 Dentists]&amp;[A Access to NHS dentistry]" c="A Access to NHS dentistry" cp="1">
          <x v="123"/>
        </s>
        <s v="[AIC Outcome].[AIC Part3].&amp;[Health &amp; community care]&amp;[09 Dentists]&amp;[N NHS Charges]" c="N NHS Charges" cp="1">
          <x v="123"/>
        </s>
        <s v="[AIC Outcome].[AIC Part3].&amp;[Health &amp; community care]&amp;[10 NHS costs/charges]&amp;[A NHS Low Income Scheme]" c="A NHS Low Income Scheme" cp="1">
          <x v="124"/>
        </s>
        <s v="[AIC Outcome].[AIC Part3].&amp;[Health &amp; community care]&amp;[10 NHS costs/charges]&amp;[B NHS Prescription charges]" c="B NHS Prescription charges" cp="1">
          <x v="124"/>
        </s>
        <s v="[AIC Outcome].[AIC Part3].&amp;[Health &amp; community care]&amp;[10 NHS costs/charges]&amp;[D NHS Dental charges]" c="D NHS Dental charges" cp="1">
          <x v="124"/>
        </s>
        <s v="[AIC Outcome].[AIC Part3].&amp;[Health &amp; community care]&amp;[10 NHS costs/charges]&amp;[E NHS travel to hospital scheme]" c="E NHS travel to hospital scheme" cp="1">
          <x v="124"/>
        </s>
        <s v="[AIC Outcome].[AIC Part3].&amp;[Health &amp; community care]&amp;[10 NHS costs/charges]&amp;[G Healthy Start]" c="G Healthy Start" cp="1">
          <x v="124"/>
        </s>
        <s v="[AIC Outcome].[AIC Part3].&amp;[Health &amp; community care]&amp;[10 NHS costs/charges]&amp;[N NHS Charges]" c="N NHS Charges" cp="1">
          <x v="124"/>
        </s>
        <s v="[AIC Outcome].[AIC Part3].&amp;[Health &amp; community care]&amp;[10 NHS costs/charges]&amp;[R NHS Refunds]" c="R NHS Refunds" cp="1">
          <x v="124"/>
        </s>
        <s v="[AIC Outcome].[AIC Part3].&amp;[Health &amp; community care]&amp;[10 NHS costs/charges]&amp;[W Form filling &amp; checking]" c="W Form filling &amp; checking" cp="1">
          <x v="124"/>
        </s>
        <s v="[AIC Outcome].[AIC Part3].&amp;[Health &amp; community care]&amp;[10 NHS costs/charges]&amp;[Z Other]" c="Z Other" cp="1">
          <x v="124"/>
        </s>
        <s v="[AIC Outcome].[AIC Part3].&amp;[Health &amp; community care]&amp;[80 Health Watch - General]&amp;[AT Doctors]" c="AT Doctors" cp="1">
          <x v="125"/>
        </s>
        <s v="[AIC Outcome].[AIC Part3].&amp;[Health &amp; community care]&amp;[81 Health Watch - Hospital Service]&amp;[Not recorded/not applicable]" c="Not recorded/not applicable" cp="1">
          <x v="126"/>
        </s>
        <s v="[AIC Outcome].[AIC Part3].&amp;[Health &amp; community care]&amp;[82 Health Watch - Social Care Service]&amp;[C Care at Home]" c="C Care at Home" cp="1">
          <x v="127"/>
        </s>
        <s v="[AIC Outcome].[AIC Part3].&amp;[Health &amp; community care]&amp;[82 Health Watch - Social Care Service]&amp;[D Care Assessments]" c="D Care Assessments" cp="1">
          <x v="127"/>
        </s>
        <s v="[AIC Outcome].[AIC Part3].&amp;[Health &amp; community care]&amp;[82 Health Watch - Social Care Service]&amp;[F Day Care (Social Care Services)]" c="F Day Care (Social Care Services)" cp="1">
          <x v="127"/>
        </s>
        <s v="[AIC Outcome].[AIC Part3].&amp;[Health &amp; community care]&amp;[82 Health Watch - Social Care Service]&amp;[N Assessment]" c="N Assessment" cp="1">
          <x v="127"/>
        </s>
        <s v="[AIC Outcome].[AIC Part3].&amp;[Health &amp; community care]&amp;[82 Health Watch - Social Care Service]&amp;[O Children's Services]" c="O Children's Services" cp="1">
          <x v="127"/>
        </s>
        <s v="[AIC Outcome].[AIC Part3].&amp;[Health &amp; community care]&amp;[82 Health Watch - Social Care Service]&amp;[Z Other]" c="Z Other" cp="1">
          <x v="127"/>
        </s>
        <s v="[AIC Outcome].[AIC Part3].&amp;[Health &amp; community care]&amp;[83 Health Watch - Other Service]&amp;[C Community Nursing]" c="C Community Nursing" cp="1">
          <x v="128"/>
        </s>
        <s v="[AIC Outcome].[AIC Part3].&amp;[Health &amp; community care]&amp;[84 Health Watch - Childrens Services]&amp;[A Child and Adult Mental Health Services (Other Services)]" c="A Child and Adult Mental Health Services (Other Services)" cp="1">
          <x v="129"/>
        </s>
        <s v="[AIC Outcome].[AIC Part3].&amp;[Health &amp; community care]&amp;[99 Other health &amp; community care issues]&amp;[E Counselling services]" c="E Counselling services" cp="1">
          <x v="130"/>
        </s>
        <s v="[AIC Outcome].[AIC Part3].&amp;[Health &amp; community care]&amp;[99 Other health &amp; community care issues]&amp;[F Rehabilitation and addiction support services]" c="F Rehabilitation and addiction support services" cp="1">
          <x v="130"/>
        </s>
        <s v="[AIC Outcome].[AIC Part3].&amp;[Health &amp; community care]&amp;[99 Other health &amp; community care issues]&amp;[HR Human rights]" c="HR Human rights" cp="1">
          <x v="130"/>
        </s>
        <s v="[AIC Outcome].[AIC Part3].&amp;[Health &amp; community care]&amp;[99 Other health &amp; community care issues]&amp;[Not recorded/not applicable]" c="Not recorded/not applicable" cp="1">
          <x v="130"/>
        </s>
        <s v="[AIC Outcome].[AIC Part3].&amp;[Health &amp; community care]&amp;[99 Other health &amp; community care issues]&amp;[Z Other]" c="Z Other" cp="1">
          <x v="130"/>
        </s>
        <s v="[AIC Outcome].[AIC Part3].&amp;[Health &amp; community care]&amp;[Not recorded/not applicable]&amp;[Not recorded/not applicable]" c="Not recorded/not applicable" cp="1">
          <x v="22"/>
        </s>
        <s v="[AIC Outcome].[AIC Part3].&amp;[Housing]&amp;[02 Actual homelessness]&amp;[A Relatives/friends unable/unwilling to house]" c="A Relatives/friends unable/unwilling to house" cp="1">
          <x v="131"/>
        </s>
        <s v="[AIC Outcome].[AIC Part3].&amp;[Housing]&amp;[02 Actual homelessness]&amp;[B Relationship breakdown (excluding divorce)]" c="B Relationship breakdown (excluding divorce)" cp="1">
          <x v="131"/>
        </s>
        <s v="[AIC Outcome].[AIC Part3].&amp;[Housing]&amp;[02 Actual homelessness]&amp;[D Harassment/illegal eviction]" c="D Harassment/illegal eviction" cp="1">
          <x v="131"/>
        </s>
        <s v="[AIC Outcome].[AIC Part3].&amp;[Housing]&amp;[02 Actual homelessness]&amp;[F LA possession action]" c="F LA possession action" cp="1">
          <x v="131"/>
        </s>
        <s v="[AIC Outcome].[AIC Part3].&amp;[Housing]&amp;[02 Actual homelessness]&amp;[H Private landlord possession action]" c="H Private landlord possession action" cp="1">
          <x v="131"/>
        </s>
        <s v="[AIC Outcome].[AIC Part3].&amp;[Housing]&amp;[02 Actual homelessness]&amp;[M LA won't re-house permanently]" c="M LA won't re-house permanently" cp="1">
          <x v="131"/>
        </s>
        <s v="[AIC Outcome].[AIC Part3].&amp;[Housing]&amp;[02 Actual homelessness]&amp;[N Anti-social behaviour]" c="N Anti-social behaviour" cp="1">
          <x v="131"/>
        </s>
        <s v="[AIC Outcome].[AIC Part3].&amp;[Housing]&amp;[02 Actual homelessness]&amp;[Not recorded/not applicable]" c="Not recorded/not applicable" cp="1">
          <x v="131"/>
        </s>
        <s v="[AIC Outcome].[AIC Part3].&amp;[Housing]&amp;[02 Actual homelessness]&amp;[Z Other]" c="Z Other" cp="1">
          <x v="131"/>
        </s>
        <s v="[AIC Outcome].[AIC Part3].&amp;[Housing]&amp;[03 Threatened homelessness]&amp;[A Relatives/friends unable/unwilling to house]" c="A Relatives/friends unable/unwilling to house" cp="1">
          <x v="132"/>
        </s>
        <s v="[AIC Outcome].[AIC Part3].&amp;[Housing]&amp;[03 Threatened homelessness]&amp;[B Relationship breakdown (excluding divorce)]" c="B Relationship breakdown (excluding divorce)" cp="1">
          <x v="132"/>
        </s>
        <s v="[AIC Outcome].[AIC Part3].&amp;[Housing]&amp;[03 Threatened homelessness]&amp;[C Domestic violence]" c="C Domestic violence" cp="1">
          <x v="132"/>
        </s>
        <s v="[AIC Outcome].[AIC Part3].&amp;[Housing]&amp;[03 Threatened homelessness]&amp;[D Harassment/illegal eviction]" c="D Harassment/illegal eviction" cp="1">
          <x v="132"/>
        </s>
        <s v="[AIC Outcome].[AIC Part3].&amp;[Housing]&amp;[03 Threatened homelessness]&amp;[E Mortgage/secured loan possession]" c="E Mortgage/secured loan possession" cp="1">
          <x v="132"/>
        </s>
        <s v="[AIC Outcome].[AIC Part3].&amp;[Housing]&amp;[03 Threatened homelessness]&amp;[F LA possession action]" c="F LA possession action" cp="1">
          <x v="132"/>
        </s>
        <s v="[AIC Outcome].[AIC Part3].&amp;[Housing]&amp;[03 Threatened homelessness]&amp;[G Housing association possession action]" c="G Housing association possession action" cp="1">
          <x v="132"/>
        </s>
        <s v="[AIC Outcome].[AIC Part3].&amp;[Housing]&amp;[03 Threatened homelessness]&amp;[H Private landlord possession action]" c="H Private landlord possession action" cp="1">
          <x v="132"/>
        </s>
        <s v="[AIC Outcome].[AIC Part3].&amp;[Housing]&amp;[03 Threatened homelessness]&amp;[M LA won't re-house permanently]" c="M LA won't re-house permanently" cp="1">
          <x v="132"/>
        </s>
        <s v="[AIC Outcome].[AIC Part3].&amp;[Housing]&amp;[03 Threatened homelessness]&amp;[Not recorded/not applicable]" c="Not recorded/not applicable" cp="1">
          <x v="132"/>
        </s>
        <s v="[AIC Outcome].[AIC Part3].&amp;[Housing]&amp;[03 Threatened homelessness]&amp;[Z Other]" c="Z Other" cp="1">
          <x v="132"/>
        </s>
        <s v="[AIC Outcome].[AIC Part3].&amp;[Housing]&amp;[04 LA homelessness service]&amp;[A Processes, procedures and assessments]" c="A Processes, procedures and assessments" cp="1">
          <x v="133"/>
        </s>
        <s v="[AIC Outcome].[AIC Part3].&amp;[Housing]&amp;[04 LA homelessness service]&amp;[B Homelessness assessments]" c="B Homelessness assessments" cp="1">
          <x v="133"/>
        </s>
        <s v="[AIC Outcome].[AIC Part3].&amp;[Housing]&amp;[04 LA homelessness service]&amp;[C Homelessness provision]" c="C Homelessness provision" cp="1">
          <x v="133"/>
        </s>
        <s v="[AIC Outcome].[AIC Part3].&amp;[Housing]&amp;[04 LA homelessness service]&amp;[E Reviews, appeals and complaints]" c="E Reviews, appeals and complaints" cp="1">
          <x v="133"/>
        </s>
        <s v="[AIC Outcome].[AIC Part3].&amp;[Housing]&amp;[04 LA homelessness service]&amp;[F Housing options/prevention]" c="F Housing options/prevention" cp="1">
          <x v="133"/>
        </s>
        <s v="[AIC Outcome].[AIC Part3].&amp;[Housing]&amp;[04 LA homelessness service]&amp;[Z Other]" c="Z Other" cp="1">
          <x v="133"/>
        </s>
        <s v="[AIC Outcome].[AIC Part3].&amp;[Housing]&amp;[05 Access to &amp; provision of accomm.]&amp;[A Emergency accommodation]" c="A Emergency accommodation" cp="1">
          <x v="134"/>
        </s>
        <s v="[AIC Outcome].[AIC Part3].&amp;[Housing]&amp;[05 Access to &amp; provision of accomm.]&amp;[B Council/HA allocations/transfers/exchanges]" c="B Council/HA allocations/transfers/exchanges" cp="1">
          <x v="134"/>
        </s>
        <s v="[AIC Outcome].[AIC Part3].&amp;[Housing]&amp;[05 Access to &amp; provision of accomm.]&amp;[CA Finding and securing private rented sector accommodation]" c="CA Finding and securing private rented sector accommodation" cp="1">
          <x v="134"/>
        </s>
        <s v="[AIC Outcome].[AIC Part3].&amp;[Housing]&amp;[05 Access to &amp; provision of accomm.]&amp;[CB Deposit schemes]" c="CB Deposit schemes" cp="1">
          <x v="134"/>
        </s>
        <s v="[AIC Outcome].[AIC Part3].&amp;[Housing]&amp;[05 Access to &amp; provision of accomm.]&amp;[CC Refusal due to housing benefit]" c="CC Refusal due to housing benefit" cp="1">
          <x v="134"/>
        </s>
        <s v="[AIC Outcome].[AIC Part3].&amp;[Housing]&amp;[05 Access to &amp; provision of accomm.]&amp;[E Right to buy]" c="E Right to buy" cp="1">
          <x v="134"/>
        </s>
        <s v="[AIC Outcome].[AIC Part3].&amp;[Housing]&amp;[05 Access to &amp; provision of accomm.]&amp;[G Shared ownership]" c="G Shared ownership" cp="1">
          <x v="134"/>
        </s>
        <s v="[AIC Outcome].[AIC Part3].&amp;[Housing]&amp;[05 Access to &amp; provision of accomm.]&amp;[H Sheltered &amp; supported housing]" c="H Sheltered &amp; supported housing" cp="1">
          <x v="134"/>
        </s>
        <s v="[AIC Outcome].[AIC Part3].&amp;[Housing]&amp;[05 Access to &amp; provision of accomm.]&amp;[Not recorded/not applicable]" c="Not recorded/not applicable" cp="1">
          <x v="134"/>
        </s>
        <s v="[AIC Outcome].[AIC Part3].&amp;[Housing]&amp;[05 Access to &amp; provision of accomm.]&amp;[Z Other]" c="Z Other" cp="1">
          <x v="134"/>
        </s>
        <s v="[AIC Outcome].[AIC Part3].&amp;[Housing]&amp;[06 Local Authority housing]&amp;[A Rents &amp; other charges]" c="A Rents &amp; other charges" cp="1">
          <x v="135"/>
        </s>
        <s v="[AIC Outcome].[AIC Part3].&amp;[Housing]&amp;[06 Local Authority housing]&amp;[B Repairs/Maintenance]" c="B Repairs/Maintenance" cp="1">
          <x v="135"/>
        </s>
        <s v="[AIC Outcome].[AIC Part3].&amp;[Housing]&amp;[06 Local Authority housing]&amp;[C Quality of service]" c="C Quality of service" cp="1">
          <x v="135"/>
        </s>
        <s v="[AIC Outcome].[AIC Part3].&amp;[Housing]&amp;[06 Local Authority housing]&amp;[D Suitability of accommodation]" c="D Suitability of accommodation" cp="1">
          <x v="135"/>
        </s>
        <s v="[AIC Outcome].[AIC Part3].&amp;[Housing]&amp;[06 Local Authority housing]&amp;[E Security of tenure]" c="E Security of tenure" cp="1">
          <x v="135"/>
        </s>
        <s v="[AIC Outcome].[AIC Part3].&amp;[Housing]&amp;[06 Local Authority housing]&amp;[F Succession rights]" c="F Succession rights" cp="1">
          <x v="135"/>
        </s>
        <s v="[AIC Outcome].[AIC Part3].&amp;[Housing]&amp;[06 Local Authority housing]&amp;[J Housing stock transfer]" c="J Housing stock transfer" cp="1">
          <x v="135"/>
        </s>
        <s v="[AIC Outcome].[AIC Part3].&amp;[Housing]&amp;[06 Local Authority housing]&amp;[Not recorded/not applicable]" c="Not recorded/not applicable" cp="1">
          <x v="135"/>
        </s>
        <s v="[AIC Outcome].[AIC Part3].&amp;[Housing]&amp;[06 Local Authority housing]&amp;[P Possession action (not for arrears)]" c="P Possession action (not for arrears)" cp="1">
          <x v="135"/>
        </s>
        <s v="[AIC Outcome].[AIC Part3].&amp;[Housing]&amp;[06 Local Authority housing]&amp;[S Right to buy]" c="S Right to buy" cp="1">
          <x v="135"/>
        </s>
        <s v="[AIC Outcome].[AIC Part3].&amp;[Housing]&amp;[06 Local Authority housing]&amp;[Z Other]" c="Z Other" cp="1">
          <x v="135"/>
        </s>
        <s v="[AIC Outcome].[AIC Part3].&amp;[Housing]&amp;[07 Housing association property]&amp;[A Rents &amp; other charges]" c="A Rents &amp; other charges" cp="1">
          <x v="136"/>
        </s>
        <s v="[AIC Outcome].[AIC Part3].&amp;[Housing]&amp;[07 Housing association property]&amp;[B Repairs/Maintenance]" c="B Repairs/Maintenance" cp="1">
          <x v="136"/>
        </s>
        <s v="[AIC Outcome].[AIC Part3].&amp;[Housing]&amp;[07 Housing association property]&amp;[C Quality of service]" c="C Quality of service" cp="1">
          <x v="136"/>
        </s>
        <s v="[AIC Outcome].[AIC Part3].&amp;[Housing]&amp;[07 Housing association property]&amp;[D Suitability of accommodation]" c="D Suitability of accommodation" cp="1">
          <x v="136"/>
        </s>
        <s v="[AIC Outcome].[AIC Part3].&amp;[Housing]&amp;[07 Housing association property]&amp;[E Security of tenure]" c="E Security of tenure" cp="1">
          <x v="136"/>
        </s>
        <s v="[AIC Outcome].[AIC Part3].&amp;[Housing]&amp;[07 Housing association property]&amp;[F Succession rights]" c="F Succession rights" cp="1">
          <x v="136"/>
        </s>
        <s v="[AIC Outcome].[AIC Part3].&amp;[Housing]&amp;[07 Housing association property]&amp;[Not recorded/not applicable]" c="Not recorded/not applicable" cp="1">
          <x v="136"/>
        </s>
        <s v="[AIC Outcome].[AIC Part3].&amp;[Housing]&amp;[07 Housing association property]&amp;[P Possession action (not for arrears)]" c="P Possession action (not for arrears)" cp="1">
          <x v="136"/>
        </s>
        <s v="[AIC Outcome].[AIC Part3].&amp;[Housing]&amp;[07 Housing association property]&amp;[Q Adaptations for disabled people]" c="Q Adaptations for disabled people" cp="1">
          <x v="136"/>
        </s>
        <s v="[AIC Outcome].[AIC Part3].&amp;[Housing]&amp;[07 Housing association property]&amp;[Z Other]" c="Z Other" cp="1">
          <x v="136"/>
        </s>
        <s v="[AIC Outcome].[AIC Part3].&amp;[Housing]&amp;[08 Private sector rented property]&amp;[AA Rents]" c="AA Rents" cp="1">
          <x v="137"/>
        </s>
        <s v="[AIC Outcome].[AIC Part3].&amp;[Housing]&amp;[08 Private sector rented property]&amp;[B Repairs/Maintenance]" c="B Repairs/Maintenance" cp="1">
          <x v="137"/>
        </s>
        <s v="[AIC Outcome].[AIC Part3].&amp;[Housing]&amp;[08 Private sector rented property]&amp;[C Quality of service]" c="C Quality of service" cp="1">
          <x v="137"/>
        </s>
        <s v="[AIC Outcome].[AIC Part3].&amp;[Housing]&amp;[08 Private sector rented property]&amp;[D Suitability of accommodation]" c="D Suitability of accommodation" cp="1">
          <x v="137"/>
        </s>
        <s v="[AIC Outcome].[AIC Part3].&amp;[Housing]&amp;[08 Private sector rented property]&amp;[E Security of tenure]" c="E Security of tenure" cp="1">
          <x v="137"/>
        </s>
        <s v="[AIC Outcome].[AIC Part3].&amp;[Housing]&amp;[08 Private sector rented property]&amp;[F Problems with letting agencies]" c="F Problems with letting agencies" cp="1">
          <x v="137"/>
        </s>
        <s v="[AIC Outcome].[AIC Part3].&amp;[Housing]&amp;[08 Private sector rented property]&amp;[HA Cost of deposits / rent in advance]" c="HA Cost of deposits / rent in advance" cp="1">
          <x v="137"/>
        </s>
        <s v="[AIC Outcome].[AIC Part3].&amp;[Housing]&amp;[08 Private sector rented property]&amp;[HB  Tenancy deposit protection]" c="HB  Tenancy deposit protection" cp="1">
          <x v="137"/>
        </s>
        <s v="[AIC Outcome].[AIC Part3].&amp;[Housing]&amp;[08 Private sector rented property]&amp;[K Harassment by landlord]" c="K Harassment by landlord" cp="1">
          <x v="137"/>
        </s>
        <s v="[AIC Outcome].[AIC Part3].&amp;[Housing]&amp;[08 Private sector rented property]&amp;[KA Illegal eviction by landlord]" c="KA Illegal eviction by landlord" cp="1">
          <x v="137"/>
        </s>
        <s v="[AIC Outcome].[AIC Part3].&amp;[Housing]&amp;[08 Private sector rented property]&amp;[Not recorded/not applicable]" c="Not recorded/not applicable" cp="1">
          <x v="137"/>
        </s>
        <s v="[AIC Outcome].[AIC Part3].&amp;[Housing]&amp;[08 Private sector rented property]&amp;[P Possession action (not arrears)]" c="P Possession action (not arrears)" cp="1">
          <x v="137"/>
        </s>
        <s v="[AIC Outcome].[AIC Part3].&amp;[Housing]&amp;[08 Private sector rented property]&amp;[Q Adaptations for disabled people]" c="Q Adaptations for disabled people" cp="1">
          <x v="137"/>
        </s>
        <s v="[AIC Outcome].[AIC Part3].&amp;[Housing]&amp;[08 Private sector rented property]&amp;[R Disrepair Evictions]" c="R Disrepair Evictions" cp="1">
          <x v="137"/>
        </s>
        <s v="[AIC Outcome].[AIC Part3].&amp;[Housing]&amp;[08 Private sector rented property]&amp;[Z Other]" c="Z Other" cp="1">
          <x v="137"/>
        </s>
        <s v="[AIC Outcome].[AIC Part3].&amp;[Housing]&amp;[09 Owner occupier property]&amp;[A Service charges/ground rent (lease holders)]" c="A Service charges/ground rent (lease holders)" cp="1">
          <x v="138"/>
        </s>
        <s v="[AIC Outcome].[AIC Part3].&amp;[Housing]&amp;[09 Owner occupier property]&amp;[G Renting out room/property]" c="G Renting out room/property" cp="1">
          <x v="138"/>
        </s>
        <s v="[AIC Outcome].[AIC Part3].&amp;[Housing]&amp;[09 Owner occupier property]&amp;[J improvement grants]" c="J improvement grants" cp="1">
          <x v="138"/>
        </s>
        <s v="[AIC Outcome].[AIC Part3].&amp;[Housing]&amp;[09 Owner occupier property]&amp;[Not recorded/not applicable]" c="Not recorded/not applicable" cp="1">
          <x v="138"/>
        </s>
        <s v="[AIC Outcome].[AIC Part3].&amp;[Housing]&amp;[09 Owner occupier property]&amp;[P Sale &amp; rent back schemes]" c="P Sale &amp; rent back schemes" cp="1">
          <x v="138"/>
        </s>
        <s v="[AIC Outcome].[AIC Part3].&amp;[Housing]&amp;[09 Owner occupier property]&amp;[Z Other]" c="Z Other" cp="1">
          <x v="138"/>
        </s>
        <s v="[AIC Outcome].[AIC Part3].&amp;[Housing]&amp;[10 Environmental &amp; neighbour issues]&amp;[A Neighbour issues]" c="A Neighbour issues" cp="1">
          <x v="139"/>
        </s>
        <s v="[AIC Outcome].[AIC Part3].&amp;[Housing]&amp;[10 Environmental &amp; neighbour issues]&amp;[D Environmental issues]" c="D Environmental issues" cp="1">
          <x v="139"/>
        </s>
        <s v="[AIC Outcome].[AIC Part3].&amp;[Housing]&amp;[10 Environmental &amp; neighbour issues]&amp;[E Boundary disputes]" c="E Boundary disputes" cp="1">
          <x v="139"/>
        </s>
        <s v="[AIC Outcome].[AIC Part3].&amp;[Housing]&amp;[10 Environmental &amp; neighbour issues]&amp;[Not recorded/not applicable]" c="Not recorded/not applicable" cp="1">
          <x v="139"/>
        </s>
        <s v="[AIC Outcome].[AIC Part3].&amp;[Housing]&amp;[10 Environmental &amp; neighbour issues]&amp;[Z Other]" c="Z Other" cp="1">
          <x v="139"/>
        </s>
        <s v="[AIC Outcome].[AIC Part3].&amp;[Housing]&amp;[99 Other housing issues]&amp;[A Rights of non-householders]" c="A Rights of non-householders" cp="1">
          <x v="140"/>
        </s>
        <s v="[AIC Outcome].[AIC Part3].&amp;[Housing]&amp;[99 Other housing issues]&amp;[B Enquiries from landlords]" c="B Enquiries from landlords" cp="1">
          <x v="140"/>
        </s>
        <s v="[AIC Outcome].[AIC Part3].&amp;[Housing]&amp;[99 Other housing issues]&amp;[E Other landlord issues]" c="E Other landlord issues" cp="1">
          <x v="140"/>
        </s>
        <s v="[AIC Outcome].[AIC Part3].&amp;[Housing]&amp;[99 Other housing issues]&amp;[F Tied accommodation]" c="F Tied accommodation" cp="1">
          <x v="140"/>
        </s>
        <s v="[AIC Outcome].[AIC Part3].&amp;[Housing]&amp;[99 Other housing issues]&amp;[H Travellers]" c="H Travellers" cp="1">
          <x v="140"/>
        </s>
        <s v="[AIC Outcome].[AIC Part3].&amp;[Housing]&amp;[99 Other housing issues]&amp;[J Squatters]" c="J Squatters" cp="1">
          <x v="140"/>
        </s>
        <s v="[AIC Outcome].[AIC Part3].&amp;[Housing]&amp;[99 Other housing issues]&amp;[L Mobile homes (not Travellers)]" c="L Mobile homes (not Travellers)" cp="1">
          <x v="140"/>
        </s>
        <s v="[AIC Outcome].[AIC Part3].&amp;[Housing]&amp;[99 Other housing issues]&amp;[M Prisoners/ex-prisoners housing issues]" c="M Prisoners/ex-prisoners housing issues" cp="1">
          <x v="140"/>
        </s>
        <s v="[AIC Outcome].[AIC Part3].&amp;[Housing]&amp;[99 Other housing issues]&amp;[Not recorded/not applicable]" c="Not recorded/not applicable" cp="1">
          <x v="140"/>
        </s>
        <s v="[AIC Outcome].[AIC Part3].&amp;[Housing]&amp;[99 Other housing issues]&amp;[Z Other]" c="Z Other" cp="1">
          <x v="140"/>
        </s>
        <s v="[AIC Outcome].[AIC Part3].&amp;[Housing]&amp;[Not recorded/not applicable]&amp;[Not recorded/not applicable]" c="Not recorded/not applicable" cp="1">
          <x v="22"/>
        </s>
        <s v="[AIC Outcome].[AIC Part3].&amp;[Immigration &amp; asylum]&amp;[02 Asylum seekers]&amp;[A Process of applying for/claiming]" c="A Process of applying for/claiming" cp="1">
          <x v="141"/>
        </s>
        <s v="[AIC Outcome].[AIC Part3].&amp;[Immigration &amp; asylum]&amp;[02 Asylum seekers]&amp;[B Poor administration, delays &amp; errors]" c="B Poor administration, delays &amp; errors" cp="1">
          <x v="141"/>
        </s>
        <s v="[AIC Outcome].[AIC Part3].&amp;[Immigration &amp; asylum]&amp;[02 Asylum seekers]&amp;[C Support]" c="C Support" cp="1">
          <x v="141"/>
        </s>
        <s v="[AIC Outcome].[AIC Part3].&amp;[Immigration &amp; asylum]&amp;[02 Asylum seekers]&amp;[F Challenging asylum decisions]" c="F Challenging asylum decisions" cp="1">
          <x v="141"/>
        </s>
        <s v="[AIC Outcome].[AIC Part3].&amp;[Immigration &amp; asylum]&amp;[02 Asylum seekers]&amp;[Z Other]" c="Z Other" cp="1">
          <x v="141"/>
        </s>
        <s v="[AIC Outcome].[AIC Part3].&amp;[Immigration &amp; asylum]&amp;[04 Family, dependents &amp; partners]&amp;[A Applying for entry clearance]" c="A Applying for entry clearance" cp="1">
          <x v="142"/>
        </s>
        <s v="[AIC Outcome].[AIC Part3].&amp;[Immigration &amp; asylum]&amp;[04 Family, dependents &amp; partners]&amp;[C Rights in the UK]" c="C Rights in the UK" cp="1">
          <x v="142"/>
        </s>
        <s v="[AIC Outcome].[AIC Part3].&amp;[Immigration &amp; asylum]&amp;[04 Family, dependents &amp; partners]&amp;[F Challenging decisions]" c="F Challenging decisions" cp="1">
          <x v="142"/>
        </s>
        <s v="[AIC Outcome].[AIC Part3].&amp;[Immigration &amp; asylum]&amp;[04 Family, dependents &amp; partners]&amp;[J Staying longer/changing status]" c="J Staying longer/changing status" cp="1">
          <x v="142"/>
        </s>
        <s v="[AIC Outcome].[AIC Part3].&amp;[Immigration &amp; asylum]&amp;[04 Family, dependents &amp; partners]&amp;[K Travel documents]" c="K Travel documents" cp="1">
          <x v="142"/>
        </s>
        <s v="[AIC Outcome].[AIC Part3].&amp;[Immigration &amp; asylum]&amp;[04 Family, dependents &amp; partners]&amp;[N No recourse to public funds]" c="N No recourse to public funds" cp="1">
          <x v="142"/>
        </s>
        <s v="[AIC Outcome].[AIC Part3].&amp;[Immigration &amp; asylum]&amp;[04 Family, dependents &amp; partners]&amp;[Not recorded/not applicable]" c="Not recorded/not applicable" cp="1">
          <x v="142"/>
        </s>
        <s v="[AIC Outcome].[AIC Part3].&amp;[Immigration &amp; asylum]&amp;[04 Family, dependents &amp; partners]&amp;[Z Other]" c="Z Other" cp="1">
          <x v="142"/>
        </s>
        <s v="[AIC Outcome].[AIC Part3].&amp;[Immigration &amp; asylum]&amp;[05 Visitors]&amp;[A Applying for entry clearance]" c="A Applying for entry clearance" cp="1">
          <x v="143"/>
        </s>
        <s v="[AIC Outcome].[AIC Part3].&amp;[Immigration &amp; asylum]&amp;[05 Visitors]&amp;[D Staying longer/changing status]" c="D Staying longer/changing status" cp="1">
          <x v="143"/>
        </s>
        <s v="[AIC Outcome].[AIC Part3].&amp;[Immigration &amp; asylum]&amp;[05 Visitors]&amp;[F Challenging decisions]" c="F Challenging decisions" cp="1">
          <x v="143"/>
        </s>
        <s v="[AIC Outcome].[AIC Part3].&amp;[Immigration &amp; asylum]&amp;[06 Workers]&amp;[A Applying for entry clearance]" c="A Applying for entry clearance" cp="1">
          <x v="144"/>
        </s>
        <s v="[AIC Outcome].[AIC Part3].&amp;[Immigration &amp; asylum]&amp;[06 Workers]&amp;[C Rights in the UK]" c="C Rights in the UK" cp="1">
          <x v="144"/>
        </s>
        <s v="[AIC Outcome].[AIC Part3].&amp;[Immigration &amp; asylum]&amp;[06 Workers]&amp;[D Staying longer/changing status]" c="D Staying longer/changing status" cp="1">
          <x v="144"/>
        </s>
        <s v="[AIC Outcome].[AIC Part3].&amp;[Immigration &amp; asylum]&amp;[06 Workers]&amp;[Z Other]" c="Z Other" cp="1">
          <x v="144"/>
        </s>
        <s v="[AIC Outcome].[AIC Part3].&amp;[Immigration &amp; asylum]&amp;[07 Students]&amp;[D Staying longer/changing status]" c="D Staying longer/changing status" cp="1">
          <x v="145"/>
        </s>
        <s v="[AIC Outcome].[AIC Part3].&amp;[Immigration &amp; asylum]&amp;[08 Nationality/citizenship]&amp;[A Qualifying &amp; applying]" c="A Qualifying &amp; applying" cp="1">
          <x v="146"/>
        </s>
        <s v="[AIC Outcome].[AIC Part3].&amp;[Immigration &amp; asylum]&amp;[08 Nationality/citizenship]&amp;[B Poor administration, delays &amp; errors]" c="B Poor administration, delays &amp; errors" cp="1">
          <x v="146"/>
        </s>
        <s v="[AIC Outcome].[AIC Part3].&amp;[Immigration &amp; asylum]&amp;[08 Nationality/citizenship]&amp;[C Costs]" c="C Costs" cp="1">
          <x v="146"/>
        </s>
        <s v="[AIC Outcome].[AIC Part3].&amp;[Immigration &amp; asylum]&amp;[08 Nationality/citizenship]&amp;[D Knowledge of life in the UK test]" c="D Knowledge of life in the UK test" cp="1">
          <x v="146"/>
        </s>
        <s v="[AIC Outcome].[AIC Part3].&amp;[Immigration &amp; asylum]&amp;[08 Nationality/citizenship]&amp;[F Challenging decisions]" c="F Challenging decisions" cp="1">
          <x v="146"/>
        </s>
        <s v="[AIC Outcome].[AIC Part3].&amp;[Immigration &amp; asylum]&amp;[08 Nationality/citizenship]&amp;[Not recorded/not applicable]" c="Not recorded/not applicable" cp="1">
          <x v="146"/>
        </s>
        <s v="[AIC Outcome].[AIC Part3].&amp;[Immigration &amp; asylum]&amp;[08 Nationality/citizenship]&amp;[R Registration and naturalisation]" c="R Registration and naturalisation" cp="1">
          <x v="146"/>
        </s>
        <s v="[AIC Outcome].[AIC Part3].&amp;[Immigration &amp; asylum]&amp;[08 Nationality/citizenship]&amp;[Z Other]" c="Z Other" cp="1">
          <x v="146"/>
        </s>
        <s v="[AIC Outcome].[AIC Part3].&amp;[Immigration &amp; asylum]&amp;[09 Failed asylum seekers]&amp;[A Section 4 support]" c="A Section 4 support" cp="1">
          <x v="147"/>
        </s>
        <s v="[AIC Outcome].[AIC Part3].&amp;[Immigration &amp; asylum]&amp;[09 Failed asylum seekers]&amp;[D Destitute/homeless]" c="D Destitute/homeless" cp="1">
          <x v="147"/>
        </s>
        <s v="[AIC Outcome].[AIC Part3].&amp;[Immigration &amp; asylum]&amp;[99 Other issues]&amp;[C Travel documents]" c="C Travel documents" cp="1">
          <x v="148"/>
        </s>
        <s v="[AIC Outcome].[AIC Part3].&amp;[Immigration &amp; asylum]&amp;[99 Other issues]&amp;[D No Recourse to public funds]" c="D No Recourse to public funds" cp="1">
          <x v="148"/>
        </s>
        <s v="[AIC Outcome].[AIC Part3].&amp;[Immigration &amp; asylum]&amp;[99 Other issues]&amp;[Not recorded/not applicable]" c="Not recorded/not applicable" cp="1">
          <x v="148"/>
        </s>
        <s v="[AIC Outcome].[AIC Part3].&amp;[Immigration &amp; asylum]&amp;[99 Other issues]&amp;[Z Other]" c="Z Other" cp="1">
          <x v="148"/>
        </s>
        <s v="[AIC Outcome].[AIC Part3].&amp;[Immigration &amp; asylum]&amp;[Not recorded/not applicable]&amp;[Not recorded/not applicable]" c="Not recorded/not applicable" cp="1">
          <x v="22"/>
        </s>
        <s v="[AIC Outcome].[AIC Part3].&amp;[Legal]&amp;[02 Magistrates Court proceedings]&amp;[B Court processes and administration]" c="B Court processes and administration" cp="1">
          <x v="149"/>
        </s>
        <s v="[AIC Outcome].[AIC Part3].&amp;[Legal]&amp;[02 Magistrates Court proceedings]&amp;[C Costs]" c="C Costs" cp="1">
          <x v="149"/>
        </s>
        <s v="[AIC Outcome].[AIC Part3].&amp;[Legal]&amp;[02 Magistrates Court proceedings]&amp;[E Decisions, sentencing and appeals]" c="E Decisions, sentencing and appeals" cp="1">
          <x v="149"/>
        </s>
        <s v="[AIC Outcome].[AIC Part3].&amp;[Legal]&amp;[02 Magistrates Court proceedings]&amp;[G Fines and compensation orders]" c="G Fines and compensation orders" cp="1">
          <x v="149"/>
        </s>
        <s v="[AIC Outcome].[AIC Part3].&amp;[Legal]&amp;[02 Magistrates Court proceedings]&amp;[Not recorded/not applicable]" c="Not recorded/not applicable" cp="1">
          <x v="149"/>
        </s>
        <s v="[AIC Outcome].[AIC Part3].&amp;[Legal]&amp;[02 Magistrates Court proceedings]&amp;[Z Other]" c="Z Other" cp="1">
          <x v="149"/>
        </s>
        <s v="[AIC Outcome].[AIC Part3].&amp;[Legal]&amp;[03 County &amp; High Court proceedings]&amp;[B Court processes and administration]" c="B Court processes and administration" cp="1">
          <x v="150"/>
        </s>
        <s v="[AIC Outcome].[AIC Part3].&amp;[Legal]&amp;[03 County &amp; High Court proceedings]&amp;[C Costs &amp; Fees (including remission of fees)]" c="C Costs &amp; Fees (including remission of fees)" cp="1">
          <x v="150"/>
        </s>
        <s v="[AIC Outcome].[AIC Part3].&amp;[Legal]&amp;[03 County &amp; High Court proceedings]&amp;[D form filling and checking]" c="D form filling and checking" cp="1">
          <x v="150"/>
        </s>
        <s v="[AIC Outcome].[AIC Part3].&amp;[Legal]&amp;[03 County &amp; High Court proceedings]&amp;[E Decisions and appeals]" c="E Decisions and appeals" cp="1">
          <x v="150"/>
        </s>
        <s v="[AIC Outcome].[AIC Part3].&amp;[Legal]&amp;[03 County &amp; High Court proceedings]&amp;[G Small Claims processes]" c="G Small Claims processes" cp="1">
          <x v="150"/>
        </s>
        <s v="[AIC Outcome].[AIC Part3].&amp;[Legal]&amp;[03 County &amp; High Court proceedings]&amp;[H Advice to client on representing self in court]" c="H Advice to client on representing self in court" cp="1">
          <x v="150"/>
        </s>
        <s v="[AIC Outcome].[AIC Part3].&amp;[Legal]&amp;[03 County &amp; High Court proceedings]&amp;[Not recorded/not applicable]" c="Not recorded/not applicable" cp="1">
          <x v="150"/>
        </s>
        <s v="[AIC Outcome].[AIC Part3].&amp;[Legal]&amp;[03 County &amp; High Court proceedings]&amp;[Z Other]" c="Z Other" cp="1">
          <x v="150"/>
        </s>
        <s v="[AIC Outcome].[AIC Part3].&amp;[Legal]&amp;[05 Legal aid]&amp;[A Eligibility and scope]" c="A Eligibility and scope" cp="1">
          <x v="151"/>
        </s>
        <s v="[AIC Outcome].[AIC Part3].&amp;[Legal]&amp;[05 Legal aid]&amp;[C finding a legal aid lawyer]" c="C finding a legal aid lawyer" cp="1">
          <x v="151"/>
        </s>
        <s v="[AIC Outcome].[AIC Part3].&amp;[Legal]&amp;[05 Legal aid]&amp;[Not recorded/not applicable]" c="Not recorded/not applicable" cp="1">
          <x v="151"/>
        </s>
        <s v="[AIC Outcome].[AIC Part3].&amp;[Legal]&amp;[05 Legal aid]&amp;[Z Other]" c="Z Other" cp="1">
          <x v="151"/>
        </s>
        <s v="[AIC Outcome].[AIC Part3].&amp;[Legal]&amp;[06 Solicitors/barristers]&amp;[C Costs]" c="C Costs" cp="1">
          <x v="152"/>
        </s>
        <s v="[AIC Outcome].[AIC Part3].&amp;[Legal]&amp;[06 Solicitors/barristers]&amp;[D Complaints &amp; redress]" c="D Complaints &amp; redress" cp="1">
          <x v="152"/>
        </s>
        <s v="[AIC Outcome].[AIC Part3].&amp;[Legal]&amp;[06 Solicitors/barristers]&amp;[Not recorded/not applicable]" c="Not recorded/not applicable" cp="1">
          <x v="152"/>
        </s>
        <s v="[AIC Outcome].[AIC Part3].&amp;[Legal]&amp;[06 Solicitors/barristers]&amp;[Z Other]" c="Z Other" cp="1">
          <x v="152"/>
        </s>
        <s v="[AIC Outcome].[AIC Part3].&amp;[Legal]&amp;[07 Police]&amp;[B Behaviour of police]" c="B Behaviour of police" cp="1">
          <x v="153"/>
        </s>
        <s v="[AIC Outcome].[AIC Part3].&amp;[Legal]&amp;[07 Police]&amp;[Not recorded/not applicable]" c="Not recorded/not applicable" cp="1">
          <x v="153"/>
        </s>
        <s v="[AIC Outcome].[AIC Part3].&amp;[Legal]&amp;[10 Capacity to act]&amp;[A Power of attorney]" c="A Power of attorney" cp="1">
          <x v="154"/>
        </s>
        <s v="[AIC Outcome].[AIC Part3].&amp;[Legal]&amp;[10 Capacity to act]&amp;[B Public guardian and court of protection]" c="B Public guardian and court of protection" cp="1">
          <x v="154"/>
        </s>
        <s v="[AIC Outcome].[AIC Part3].&amp;[Legal]&amp;[10 Capacity to act]&amp;[Z Other]" c="Z Other" cp="1">
          <x v="154"/>
        </s>
        <s v="[AIC Outcome].[AIC Part3].&amp;[Legal]&amp;[11 Personal-related court proceedings]&amp;[A Injunctions]" c="A Injunctions" cp="1">
          <x v="155"/>
        </s>
        <s v="[AIC Outcome].[AIC Part3].&amp;[Legal]&amp;[11 Personal-related court proceedings]&amp;[B Divorce, ancillary relief, dissolution]" c="B Divorce, ancillary relief, dissolution" cp="1">
          <x v="155"/>
        </s>
        <s v="[AIC Outcome].[AIC Part3].&amp;[Legal]&amp;[11 Personal-related court proceedings]&amp;[D Contact]" c="D Contact" cp="1">
          <x v="155"/>
        </s>
        <s v="[AIC Outcome].[AIC Part3].&amp;[Legal]&amp;[11 Personal-related court proceedings]&amp;[H Advice to client on representing self in court]" c="H Advice to client on representing self in court" cp="1">
          <x v="155"/>
        </s>
        <s v="[AIC Outcome].[AIC Part3].&amp;[Legal]&amp;[11 Personal-related court proceedings]&amp;[Not recorded/not applicable]" c="Not recorded/not applicable" cp="1">
          <x v="155"/>
        </s>
        <s v="[AIC Outcome].[AIC Part3].&amp;[Legal]&amp;[11 Personal-related court proceedings]&amp;[Z Other]" c="Z Other" cp="1">
          <x v="155"/>
        </s>
        <s v="[AIC Outcome].[AIC Part3].&amp;[Legal]&amp;[12 Criminal justice]&amp;[A Reporting a crime]" c="A Reporting a crime" cp="1">
          <x v="156"/>
        </s>
        <s v="[AIC Outcome].[AIC Part3].&amp;[Legal]&amp;[12 Criminal justice]&amp;[B Arrest and criminal charges]" c="B Arrest and criminal charges" cp="1">
          <x v="156"/>
        </s>
        <s v="[AIC Outcome].[AIC Part3].&amp;[Legal]&amp;[12 Criminal justice]&amp;[D Cautions and fixed penalties]" c="D Cautions and fixed penalties" cp="1">
          <x v="156"/>
        </s>
        <s v="[AIC Outcome].[AIC Part3].&amp;[Legal]&amp;[12 Criminal justice]&amp;[F Crimes against the person]" c="F Crimes against the person" cp="1">
          <x v="156"/>
        </s>
        <s v="[AIC Outcome].[AIC Part3].&amp;[Legal]&amp;[12 Criminal justice]&amp;[J Court procedure, sentencing and appeals]" c="J Court procedure, sentencing and appeals" cp="1">
          <x v="156"/>
        </s>
        <s v="[AIC Outcome].[AIC Part3].&amp;[Legal]&amp;[12 Criminal justice]&amp;[L Compensation for victims]" c="L Compensation for victims" cp="1">
          <x v="156"/>
        </s>
        <s v="[AIC Outcome].[AIC Part3].&amp;[Legal]&amp;[12 Criminal justice]&amp;[M Support for victims]" c="M Support for victims" cp="1">
          <x v="156"/>
        </s>
        <s v="[AIC Outcome].[AIC Part3].&amp;[Legal]&amp;[12 Criminal justice]&amp;[Not recorded/not applicable]" c="Not recorded/not applicable" cp="1">
          <x v="156"/>
        </s>
        <s v="[AIC Outcome].[AIC Part3].&amp;[Legal]&amp;[12 Criminal justice]&amp;[P Prisoners]" c="P Prisoners" cp="1">
          <x v="156"/>
        </s>
        <s v="[AIC Outcome].[AIC Part3].&amp;[Legal]&amp;[12 Criminal justice]&amp;[Q Probation]" c="Q Probation" cp="1">
          <x v="156"/>
        </s>
        <s v="[AIC Outcome].[AIC Part3].&amp;[Legal]&amp;[12 Criminal justice]&amp;[Z Other]" c="Z Other" cp="1">
          <x v="156"/>
        </s>
        <s v="[AIC Outcome].[AIC Part3].&amp;[Legal]&amp;[99 Other]&amp;[H Change of name]" c="H Change of name" cp="1">
          <x v="74"/>
        </s>
        <s v="[AIC Outcome].[AIC Part3].&amp;[Legal]&amp;[99 Other]&amp;[K Access to information]" c="K Access to information" cp="1">
          <x v="74"/>
        </s>
        <s v="[AIC Outcome].[AIC Part3].&amp;[Legal]&amp;[99 Other]&amp;[L Data Protection]" c="L Data Protection" cp="1">
          <x v="74"/>
        </s>
        <s v="[AIC Outcome].[AIC Part3].&amp;[Legal]&amp;[99 Other]&amp;[Not recorded/not applicable]" c="Not recorded/not applicable" cp="1">
          <x v="74"/>
        </s>
        <s v="[AIC Outcome].[AIC Part3].&amp;[Legal]&amp;[99 Other]&amp;[R Personal injuries compensation]" c="R Personal injuries compensation" cp="1">
          <x v="74"/>
        </s>
        <s v="[AIC Outcome].[AIC Part3].&amp;[Legal]&amp;[99 Other]&amp;[Z Other]" c="Z Other" cp="1">
          <x v="74"/>
        </s>
        <s v="[AIC Outcome].[AIC Part3].&amp;[Legal]&amp;[Not recorded/not applicable]&amp;[Not recorded/not applicable]" c="Not recorded/not applicable" cp="1">
          <x v="22"/>
        </s>
        <s v="[AIC Outcome].[AIC Part3].&amp;[Other]&amp;[07 Charitable support]&amp;[A Applications for charitable support]" c="A Applications for charitable support" cp="1">
          <x v="157"/>
        </s>
        <s v="[AIC Outcome].[AIC Part3].&amp;[Other]&amp;[07 Charitable support]&amp;[B Receipt of charitable support]" c="B Receipt of charitable support" cp="1">
          <x v="157"/>
        </s>
        <s v="[AIC Outcome].[AIC Part3].&amp;[Other]&amp;[07 Charitable support]&amp;[E Food Banks]" c="E Food Banks" cp="1">
          <x v="157"/>
        </s>
        <s v="[AIC Outcome].[AIC Part3].&amp;[Other]&amp;[07 Charitable support]&amp;[F Support in kind (clothes, furniture, etc)]" c="F Support in kind (clothes, furniture, etc)" cp="1">
          <x v="157"/>
        </s>
        <s v="[AIC Outcome].[AIC Part3].&amp;[Other]&amp;[07 Charitable support]&amp;[Not recorded/not applicable]" c="Not recorded/not applicable" cp="1">
          <x v="157"/>
        </s>
        <s v="[AIC Outcome].[AIC Part3].&amp;[Other]&amp;[07 Charitable support]&amp;[Z Other]" c="Z Other" cp="1">
          <x v="157"/>
        </s>
        <s v="[AIC Outcome].[AIC Part3].&amp;[Other]&amp;[99 Other]&amp;[D Local Authority service complaints]" c="D Local Authority service complaints" cp="1">
          <x v="74"/>
        </s>
        <s v="[AIC Outcome].[AIC Part3].&amp;[Other]&amp;[99 Other]&amp;[E Commercial properties]" c="E Commercial properties" cp="1">
          <x v="74"/>
        </s>
        <s v="[AIC Outcome].[AIC Part3].&amp;[Other]&amp;[99 Other]&amp;[H Elections &amp; Electoral Roll]" c="H Elections &amp; Electoral Roll" cp="1">
          <x v="74"/>
        </s>
        <s v="[AIC Outcome].[AIC Part3].&amp;[Other]&amp;[99 Other]&amp;[L Animals]" c="L Animals" cp="1">
          <x v="74"/>
        </s>
        <s v="[AIC Outcome].[AIC Part3].&amp;[Other]&amp;[99 Other]&amp;[Not recorded/not applicable]" c="Not recorded/not applicable" cp="1">
          <x v="74"/>
        </s>
        <s v="[AIC Outcome].[AIC Part3].&amp;[Other]&amp;[99 Other]&amp;[Z Other]" c="Z Other" cp="1">
          <x v="74"/>
        </s>
        <s v="[AIC Outcome].[AIC Part3].&amp;[Other]&amp;[Not recorded/not applicable]&amp;[Not recorded/not applicable]" c="Not recorded/not applicable" cp="1">
          <x v="22"/>
        </s>
        <s v="[AIC Outcome].[AIC Part3].&amp;[Relationships &amp; family]&amp;[02 Marriage, cohabitation, civil partnership]&amp;[G Marriage]" c="G Marriage" cp="1">
          <x v="158"/>
        </s>
        <s v="[AIC Outcome].[AIC Part3].&amp;[Relationships &amp; family]&amp;[02 Marriage, cohabitation, civil partnership]&amp;[H Civil partnerships]" c="H Civil partnerships" cp="1">
          <x v="158"/>
        </s>
        <s v="[AIC Outcome].[AIC Part3].&amp;[Relationships &amp; family]&amp;[02 Marriage, cohabitation, civil partnership]&amp;[J Cohabitation]" c="J Cohabitation" cp="1">
          <x v="158"/>
        </s>
        <s v="[AIC Outcome].[AIC Part3].&amp;[Relationships &amp; family]&amp;[02 Marriage, cohabitation, civil partnership]&amp;[Not recorded/not applicable]" c="Not recorded/not applicable" cp="1">
          <x v="158"/>
        </s>
        <s v="[AIC Outcome].[AIC Part3].&amp;[Relationships &amp; family]&amp;[02 Marriage, cohabitation, civil partnership]&amp;[Z Other]" c="Z Other" cp="1">
          <x v="158"/>
        </s>
        <s v="[AIC Outcome].[AIC Part3].&amp;[Relationships &amp; family]&amp;[05 Social Services &amp; support]&amp;[C Local authority/social services]" c="C Local authority/social services" cp="1">
          <x v="159"/>
        </s>
        <s v="[AIC Outcome].[AIC Part3].&amp;[Relationships &amp; family]&amp;[05 Social Services &amp; support]&amp;[E Complaints]" c="E Complaints" cp="1">
          <x v="159"/>
        </s>
        <s v="[AIC Outcome].[AIC Part3].&amp;[Relationships &amp; family]&amp;[05 Social Services &amp; support]&amp;[Z Other]" c="Z Other" cp="1">
          <x v="159"/>
        </s>
        <s v="[AIC Outcome].[AIC Part3].&amp;[Relationships &amp; family]&amp;[06 Divorce, separation, dissolution]&amp;[A Financial liabilities &amp; settlements]" c="A Financial liabilities &amp; settlements" cp="1">
          <x v="160"/>
        </s>
        <s v="[AIC Outcome].[AIC Part3].&amp;[Relationships &amp; family]&amp;[06 Divorce, separation, dissolution]&amp;[B Maintenance issues (non-child support)]" c="B Maintenance issues (non-child support)" cp="1">
          <x v="160"/>
        </s>
        <s v="[AIC Outcome].[AIC Part3].&amp;[Relationships &amp; family]&amp;[06 Divorce, separation, dissolution]&amp;[C Housing issues]" c="C Housing issues" cp="1">
          <x v="160"/>
        </s>
        <s v="[AIC Outcome].[AIC Part3].&amp;[Relationships &amp; family]&amp;[06 Divorce, separation, dissolution]&amp;[D Mediation]" c="D Mediation" cp="1">
          <x v="160"/>
        </s>
        <s v="[AIC Outcome].[AIC Part3].&amp;[Relationships &amp; family]&amp;[06 Divorce, separation, dissolution]&amp;[E Sep./div.: foreign marriages/other cultures]" c="E Sep./div.: foreign marriages/other cultures" cp="1">
          <x v="160"/>
        </s>
        <s v="[AIC Outcome].[AIC Part3].&amp;[Relationships &amp; family]&amp;[06 Divorce, separation, dissolution]&amp;[F General advice - divorce, sep., dissolution]" c="F General advice - divorce, sep., dissolution" cp="1">
          <x v="160"/>
        </s>
        <s v="[AIC Outcome].[AIC Part3].&amp;[Relationships &amp; family]&amp;[06 Divorce, separation, dissolution]&amp;[Not recorded/not applicable]" c="Not recorded/not applicable" cp="1">
          <x v="160"/>
        </s>
        <s v="[AIC Outcome].[AIC Part3].&amp;[Relationships &amp; family]&amp;[06 Divorce, separation, dissolution]&amp;[Z Other]" c="Z Other" cp="1">
          <x v="160"/>
        </s>
        <s v="[AIC Outcome].[AIC Part3].&amp;[Relationships &amp; family]&amp;[07 Children]&amp;[A Child minding &amp; childcare]" c="A Child minding &amp; childcare" cp="1">
          <x v="161"/>
        </s>
        <s v="[AIC Outcome].[AIC Part3].&amp;[Relationships &amp; family]&amp;[07 Children]&amp;[B Residence issues]" c="B Residence issues" cp="1">
          <x v="161"/>
        </s>
        <s v="[AIC Outcome].[AIC Part3].&amp;[Relationships &amp; family]&amp;[07 Children]&amp;[C Contact with parents &amp; other relatives]" c="C Contact with parents &amp; other relatives" cp="1">
          <x v="161"/>
        </s>
        <s v="[AIC Outcome].[AIC Part3].&amp;[Relationships &amp; family]&amp;[07 Children]&amp;[K Child protection (including LA care)]" c="K Child protection (including LA care)" cp="1">
          <x v="161"/>
        </s>
        <s v="[AIC Outcome].[AIC Part3].&amp;[Relationships &amp; family]&amp;[07 Children]&amp;[L Adoption]" c="L Adoption" cp="1">
          <x v="161"/>
        </s>
        <s v="[AIC Outcome].[AIC Part3].&amp;[Relationships &amp; family]&amp;[07 Children]&amp;[N Abuse]" c="N Abuse" cp="1">
          <x v="161"/>
        </s>
        <s v="[AIC Outcome].[AIC Part3].&amp;[Relationships &amp; family]&amp;[07 Children]&amp;[Not recorded/not applicable]" c="Not recorded/not applicable" cp="1">
          <x v="161"/>
        </s>
        <s v="[AIC Outcome].[AIC Part3].&amp;[Relationships &amp; family]&amp;[07 Children]&amp;[R  Unmarried father rights &amp; responsibilities]" c="R  Unmarried father rights &amp; responsibilities" cp="1">
          <x v="161"/>
        </s>
        <s v="[AIC Outcome].[AIC Part3].&amp;[Relationships &amp; family]&amp;[07 Children]&amp;[Z Other]" c="Z Other" cp="1">
          <x v="161"/>
        </s>
        <s v="[AIC Outcome].[AIC Part3].&amp;[Relationships &amp; family]&amp;[08 Child maintenance: resident parent &amp; family]&amp;[B Calculation]" c="B Calculation" cp="1">
          <x v="162"/>
        </s>
        <s v="[AIC Outcome].[AIC Part3].&amp;[Relationships &amp; family]&amp;[08 Child maintenance: resident parent &amp; family]&amp;[H Complaints (including external review)]" c="H Complaints (including external review)" cp="1">
          <x v="162"/>
        </s>
        <s v="[AIC Outcome].[AIC Part3].&amp;[Relationships &amp; family]&amp;[08 Child maintenance: resident parent &amp; family]&amp;[J Eligibility]" c="J Eligibility" cp="1">
          <x v="162"/>
        </s>
        <s v="[AIC Outcome].[AIC Part3].&amp;[Relationships &amp; family]&amp;[08 Child maintenance: resident parent &amp; family]&amp;[K Payments, including collection by CSA/CMS]" c="K Payments, including collection by CSA/CMS" cp="1">
          <x v="162"/>
        </s>
        <s v="[AIC Outcome].[AIC Part3].&amp;[Relationships &amp; family]&amp;[08 Child maintenance: resident parent &amp; family]&amp;[M Disputes and appeals]" c="M Disputes and appeals" cp="1">
          <x v="162"/>
        </s>
        <s v="[AIC Outcome].[AIC Part3].&amp;[Relationships &amp; family]&amp;[08 Child maintenance: resident parent &amp; family]&amp;[Not recorded/not applicable]" c="Not recorded/not applicable" cp="1">
          <x v="162"/>
        </s>
        <s v="[AIC Outcome].[AIC Part3].&amp;[Relationships &amp; family]&amp;[08 Child maintenance: resident parent &amp; family]&amp;[Z Other]" c="Z Other" cp="1">
          <x v="162"/>
        </s>
        <s v="[AIC Outcome].[AIC Part3].&amp;[Relationships &amp; family]&amp;[09 Child maintenance: non-res. parent &amp; family]&amp;[B Calculation]" c="B Calculation" cp="1">
          <x v="163"/>
        </s>
        <s v="[AIC Outcome].[AIC Part3].&amp;[Relationships &amp; family]&amp;[09 Child maintenance: non-res. parent &amp; family]&amp;[C Payment]" c="C Payment" cp="1">
          <x v="163"/>
        </s>
        <s v="[AIC Outcome].[AIC Part3].&amp;[Relationships &amp; family]&amp;[09 Child maintenance: non-res. parent &amp; family]&amp;[J Eligibility]" c="J Eligibility" cp="1">
          <x v="163"/>
        </s>
        <s v="[AIC Outcome].[AIC Part3].&amp;[Relationships &amp; family]&amp;[09 Child maintenance: non-res. parent &amp; family]&amp;[M Disputes and appeals]" c="M Disputes and appeals" cp="1">
          <x v="163"/>
        </s>
        <s v="[AIC Outcome].[AIC Part3].&amp;[Relationships &amp; family]&amp;[09 Child maintenance: non-res. parent &amp; family]&amp;[Not recorded/not applicable]" c="Not recorded/not applicable" cp="1">
          <x v="163"/>
        </s>
        <s v="[AIC Outcome].[AIC Part3].&amp;[Relationships &amp; family]&amp;[09 Child maintenance: non-res. parent &amp; family]&amp;[Z Other]" c="Z Other" cp="1">
          <x v="163"/>
        </s>
        <s v="[AIC Outcome].[AIC Part3].&amp;[Relationships &amp; family]&amp;[10 Death &amp; Bereavement]&amp;[A Execution of wills, including probate, forms and procedures]" c="A Execution of wills, including probate, forms and procedures" cp="1">
          <x v="164"/>
        </s>
        <s v="[AIC Outcome].[AIC Part3].&amp;[Relationships &amp; family]&amp;[10 Death &amp; Bereavement]&amp;[C Making a will]" c="C Making a will" cp="1">
          <x v="164"/>
        </s>
        <s v="[AIC Outcome].[AIC Part3].&amp;[Relationships &amp; family]&amp;[10 Death &amp; Bereavement]&amp;[D Intestacy]" c="D Intestacy" cp="1">
          <x v="164"/>
        </s>
        <s v="[AIC Outcome].[AIC Part3].&amp;[Relationships &amp; family]&amp;[10 Death &amp; Bereavement]&amp;[E Will writing services]" c="E Will writing services" cp="1">
          <x v="164"/>
        </s>
        <s v="[AIC Outcome].[AIC Part3].&amp;[Relationships &amp; family]&amp;[10 Death &amp; Bereavement]&amp;[Not recorded/not applicable]" c="Not recorded/not applicable" cp="1">
          <x v="164"/>
        </s>
        <s v="[AIC Outcome].[AIC Part3].&amp;[Relationships &amp; family]&amp;[10 Death &amp; Bereavement]&amp;[Z Other]" c="Z Other" cp="1">
          <x v="164"/>
        </s>
        <s v="[AIC Outcome].[AIC Part3].&amp;[Relationships &amp; family]&amp;[11 Certificates &amp; proofs of identity]&amp;[A Birth certificates]" c="A Birth certificates" cp="1">
          <x v="165"/>
        </s>
        <s v="[AIC Outcome].[AIC Part3].&amp;[Relationships &amp; family]&amp;[11 Certificates &amp; proofs of identity]&amp;[Not recorded/not applicable]" c="Not recorded/not applicable" cp="1">
          <x v="165"/>
        </s>
        <s v="[AIC Outcome].[AIC Part3].&amp;[Relationships &amp; family]&amp;[99 Other]&amp;[Not recorded/not applicable]" c="Not recorded/not applicable" cp="1">
          <x v="74"/>
        </s>
        <s v="[AIC Outcome].[AIC Part3].&amp;[Relationships &amp; family]&amp;[99 Other]&amp;[Z Other]" c="Z Other" cp="1">
          <x v="74"/>
        </s>
        <s v="[AIC Outcome].[AIC Part3].&amp;[Relationships &amp; family]&amp;[Not recorded/not applicable]&amp;[Not recorded/not applicable]" c="Not recorded/not applicable" cp="1">
          <x v="22"/>
        </s>
        <s v="[AIC Outcome].[AIC Part3].&amp;[Tax]&amp;[02 Income Tax]&amp;[A Poor administration]" c="A Poor administration" cp="1">
          <x v="166"/>
        </s>
        <s v="[AIC Outcome].[AIC Part3].&amp;[Tax]&amp;[02 Income Tax]&amp;[B Income tax coding &amp; allowances]" c="B Income tax coding &amp; allowances" cp="1">
          <x v="166"/>
        </s>
        <s v="[AIC Outcome].[AIC Part3].&amp;[Tax]&amp;[02 Income Tax]&amp;[C Income tax rebates]" c="C Income tax rebates" cp="1">
          <x v="166"/>
        </s>
        <s v="[AIC Outcome].[AIC Part3].&amp;[Tax]&amp;[02 Income Tax]&amp;[E Self assessment &amp; tax returns]" c="E Self assessment &amp; tax returns" cp="1">
          <x v="166"/>
        </s>
        <s v="[AIC Outcome].[AIC Part3].&amp;[Tax]&amp;[02 Income Tax]&amp;[F Queries re. taxable income]" c="F Queries re. taxable income" cp="1">
          <x v="166"/>
        </s>
        <s v="[AIC Outcome].[AIC Part3].&amp;[Tax]&amp;[02 Income Tax]&amp;[G Complaints including external review]" c="G Complaints including external review" cp="1">
          <x v="166"/>
        </s>
        <s v="[AIC Outcome].[AIC Part3].&amp;[Tax]&amp;[02 Income Tax]&amp;[Z Other]" c="Z Other" cp="1">
          <x v="166"/>
        </s>
        <s v="[AIC Outcome].[AIC Part3].&amp;[Tax]&amp;[03 Council Tax]&amp;[A Poor administration]" c="A Poor administration" cp="1">
          <x v="167"/>
        </s>
        <s v="[AIC Outcome].[AIC Part3].&amp;[Tax]&amp;[03 Council Tax]&amp;[B Banding/calculation]" c="B Banding/calculation" cp="1">
          <x v="167"/>
        </s>
        <s v="[AIC Outcome].[AIC Part3].&amp;[Tax]&amp;[03 Council Tax]&amp;[D Discounts and exempt dwellings]" c="D Discounts and exempt dwellings" cp="1">
          <x v="167"/>
        </s>
        <s v="[AIC Outcome].[AIC Part3].&amp;[Tax]&amp;[03 Council Tax]&amp;[Not recorded/not applicable]" c="Not recorded/not applicable" cp="1">
          <x v="167"/>
        </s>
        <s v="[AIC Outcome].[AIC Part3].&amp;[Tax]&amp;[03 Council Tax]&amp;[P Payment methods]" c="P Payment methods" cp="1">
          <x v="167"/>
        </s>
        <s v="[AIC Outcome].[AIC Part3].&amp;[Tax]&amp;[03 Council Tax]&amp;[Z Other]" c="Z Other" cp="1">
          <x v="167"/>
        </s>
        <s v="[AIC Outcome].[AIC Part3].&amp;[Tax]&amp;[99 Other Tax Issues]&amp;[A Inheritance tax]" c="A Inheritance tax" cp="1">
          <x v="168"/>
        </s>
        <s v="[AIC Outcome].[AIC Part3].&amp;[Tax]&amp;[99 Other Tax Issues]&amp;[Not recorded/not applicable]" c="Not recorded/not applicable" cp="1">
          <x v="168"/>
        </s>
        <s v="[AIC Outcome].[AIC Part3].&amp;[Tax]&amp;[99 Other Tax Issues]&amp;[V Vehicle excise duty]" c="V Vehicle excise duty" cp="1">
          <x v="168"/>
        </s>
        <s v="[AIC Outcome].[AIC Part3].&amp;[Tax]&amp;[99 Other Tax Issues]&amp;[Z Other]" c="Z Other" cp="1">
          <x v="168"/>
        </s>
        <s v="[AIC Outcome].[AIC Part3].&amp;[Tax]&amp;[Not recorded/not applicable]&amp;[Not recorded/not applicable]" c="Not recorded/not applicable" cp="1">
          <x v="22"/>
        </s>
        <s v="[AIC Outcome].[AIC Part3].&amp;[Travel &amp; transport]&amp;[02 Public transport]&amp;[J Concessions]" c="J Concessions" cp="1">
          <x v="169"/>
        </s>
        <s v="[AIC Outcome].[AIC Part3].&amp;[Travel &amp; transport]&amp;[03 Driving]&amp;[C Driving licences]" c="C Driving licences" cp="1">
          <x v="170"/>
        </s>
        <s v="[AIC Outcome].[AIC Part3].&amp;[Travel &amp; transport]&amp;[03 Driving]&amp;[E Driving offences]" c="E Driving offences" cp="1">
          <x v="170"/>
        </s>
        <s v="[AIC Outcome].[AIC Part3].&amp;[Travel &amp; transport]&amp;[03 Driving]&amp;[G Road tax]" c="G Road tax" cp="1">
          <x v="170"/>
        </s>
        <s v="[AIC Outcome].[AIC Part3].&amp;[Travel &amp; transport]&amp;[03 Driving]&amp;[Z Other]" c="Z Other" cp="1">
          <x v="170"/>
        </s>
        <s v="[AIC Outcome].[AIC Part3].&amp;[Travel &amp; transport]&amp;[06 Package holidays]&amp;[B Unfair practices by trader, including selling]" c="B Unfair practices by trader, including selling" cp="1">
          <x v="171"/>
        </s>
        <s v="[AIC Outcome].[AIC Part3].&amp;[Travel &amp; transport]&amp;[06 Package holidays]&amp;[D Cancellation]" c="D Cancellation" cp="1">
          <x v="171"/>
        </s>
        <s v="[AIC Outcome].[AIC Part3].&amp;[Travel &amp; transport]&amp;[06 Package holidays]&amp;[R Complaints &amp; redress]" c="R Complaints &amp; redress" cp="1">
          <x v="171"/>
        </s>
        <s v="[AIC Outcome].[AIC Part3].&amp;[Travel &amp; transport]&amp;[09 Parking on private land]&amp;[A Terms and conditions including signage]" c="A Terms and conditions including signage" cp="1">
          <x v="172"/>
        </s>
        <s v="[AIC Outcome].[AIC Part3].&amp;[Travel &amp; transport]&amp;[09 Parking on private land]&amp;[B Liability for payment]" c="B Liability for payment" cp="1">
          <x v="172"/>
        </s>
        <s v="[AIC Outcome].[AIC Part3].&amp;[Travel &amp; transport]&amp;[09 Parking on private land]&amp;[D Enforcement of parking company claims]" c="D Enforcement of parking company claims" cp="1">
          <x v="172"/>
        </s>
        <s v="[AIC Outcome].[AIC Part3].&amp;[Travel &amp; transport]&amp;[09 Parking on private land]&amp;[Not recorded/not applicable]" c="Not recorded/not applicable" cp="1">
          <x v="172"/>
        </s>
        <s v="[AIC Outcome].[AIC Part3].&amp;[Travel &amp; transport]&amp;[09 Parking on private land]&amp;[R Complaints and redress (inc appeals to POPLA and IAS)]" c="R Complaints and redress (inc appeals to POPLA and IAS)" cp="1">
          <x v="172"/>
        </s>
        <s v="[AIC Outcome].[AIC Part3].&amp;[Travel &amp; transport]&amp;[10 Parking charges on public land/on-street parking]&amp;[B Enforcement methods &amp; techniques]" c="B Enforcement methods &amp; techniques" cp="1">
          <x v="173"/>
        </s>
        <s v="[AIC Outcome].[AIC Part3].&amp;[Travel &amp; transport]&amp;[10 Parking charges on public land/on-street parking]&amp;[C Payment]" c="C Payment" cp="1">
          <x v="173"/>
        </s>
        <s v="[AIC Outcome].[AIC Part3].&amp;[Travel &amp; transport]&amp;[10 Parking charges on public land/on-street parking]&amp;[J Blue badge, charge exemptions]" c="J Blue badge, charge exemptions" cp="1">
          <x v="173"/>
        </s>
        <s v="[AIC Outcome].[AIC Part3].&amp;[Travel &amp; transport]&amp;[10 Parking charges on public land/on-street parking]&amp;[R Complaints &amp; redress]" c="R Complaints &amp; redress" cp="1">
          <x v="173"/>
        </s>
        <s v="[AIC Outcome].[AIC Part3].&amp;[Travel &amp; transport]&amp;[99 Other travel, transport &amp; holiday]&amp;[A Hotels/other holiday accommodation]" c="A Hotels/other holiday accommodation" cp="1">
          <x v="174"/>
        </s>
        <s v="[AIC Outcome].[AIC Part3].&amp;[Travel &amp; transport]&amp;[99 Other travel, transport &amp; holiday]&amp;[D Air travel]" c="D Air travel" cp="1">
          <x v="174"/>
        </s>
        <s v="[AIC Outcome].[AIC Part3].&amp;[Travel &amp; transport]&amp;[Not recorded/not applicable]&amp;[Not recorded/not applicable]" c="Not recorded/not applicable" cp="1">
          <x v="22"/>
        </s>
        <s v="[AIC Outcome].[AIC Part3].&amp;[Utilities &amp; communications]&amp;[02 Fuel (gas, electricity, oil, coal etc.)]&amp;[B Selling methods and switching supplier]" c="B Selling methods and switching supplier" cp="1">
          <x v="175"/>
        </s>
        <s v="[AIC Outcome].[AIC Part3].&amp;[Utilities &amp; communications]&amp;[02 Fuel (gas, electricity, oil, coal etc.)]&amp;[C Billing/meter reading]" c="C Billing/meter reading" cp="1">
          <x v="175"/>
        </s>
        <s v="[AIC Outcome].[AIC Part3].&amp;[Utilities &amp; communications]&amp;[02 Fuel (gas, electricity, oil, coal etc.)]&amp;[D Methods of payment]" c="D Methods of payment" cp="1">
          <x v="175"/>
        </s>
        <s v="[AIC Outcome].[AIC Part3].&amp;[Utilities &amp; communications]&amp;[02 Fuel (gas, electricity, oil, coal etc.)]&amp;[E Cancellation &amp; withdrawal]" c="E Cancellation &amp; withdrawal" cp="1">
          <x v="175"/>
        </s>
        <s v="[AIC Outcome].[AIC Part3].&amp;[Utilities &amp; communications]&amp;[02 Fuel (gas, electricity, oil, coal etc.)]&amp;[G Issues with supply]" c="G Issues with supply" cp="1">
          <x v="175"/>
        </s>
        <s v="[AIC Outcome].[AIC Part3].&amp;[Utilities &amp; communications]&amp;[02 Fuel (gas, electricity, oil, coal etc.)]&amp;[H Contract terms &amp; conditions]" c="H Contract terms &amp; conditions" cp="1">
          <x v="175"/>
        </s>
        <s v="[AIC Outcome].[AIC Part3].&amp;[Utilities &amp; communications]&amp;[02 Fuel (gas, electricity, oil, coal etc.)]&amp;[K Customer service]" c="K Customer service" cp="1">
          <x v="175"/>
        </s>
        <s v="[AIC Outcome].[AIC Part3].&amp;[Utilities &amp; communications]&amp;[02 Fuel (gas, electricity, oil, coal etc.)]&amp;[L Price or tariff - gas or elec]" c="L Price or tariff - gas or elec" cp="1">
          <x v="175"/>
        </s>
        <s v="[AIC Outcome].[AIC Part3].&amp;[Utilities &amp; communications]&amp;[02 Fuel (gas, electricity, oil, coal etc.)]&amp;[N Green Deal payments]" c="N Green Deal payments" cp="1">
          <x v="175"/>
        </s>
        <s v="[AIC Outcome].[AIC Part3].&amp;[Utilities &amp; communications]&amp;[02 Fuel (gas, electricity, oil, coal etc.)]&amp;[Not recorded/not applicable]" c="Not recorded/not applicable" cp="1">
          <x v="175"/>
        </s>
        <s v="[AIC Outcome].[AIC Part3].&amp;[Utilities &amp; communications]&amp;[02 Fuel (gas, electricity, oil, coal etc.)]&amp;[O Warm Home discount]" c="O Warm Home discount" cp="1">
          <x v="175"/>
        </s>
        <s v="[AIC Outcome].[AIC Part3].&amp;[Utilities &amp; communications]&amp;[02 Fuel (gas, electricity, oil, coal etc.)]&amp;[P Priority Services Register]" c="P Priority Services Register" cp="1">
          <x v="175"/>
        </s>
        <s v="[AIC Outcome].[AIC Part3].&amp;[Utilities &amp; communications]&amp;[02 Fuel (gas, electricity, oil, coal etc.)]&amp;[R Complaints &amp; redress]" c="R Complaints &amp; redress" cp="1">
          <x v="175"/>
        </s>
        <s v="[AIC Outcome].[AIC Part3].&amp;[Utilities &amp; communications]&amp;[02 Fuel (gas, electricity, oil, coal etc.)]&amp;[SA Smart meter - installation]" c="SA Smart meter - installation" cp="1">
          <x v="175"/>
        </s>
        <s v="[AIC Outcome].[AIC Part3].&amp;[Utilities &amp; communications]&amp;[02 Fuel (gas, electricity, oil, coal etc.)]&amp;[SZ Smart meter - other]" c="SZ Smart meter - other" cp="1">
          <x v="175"/>
        </s>
        <s v="[AIC Outcome].[AIC Part3].&amp;[Utilities &amp; communications]&amp;[02 Fuel (gas, electricity, oil, coal etc.)]&amp;[Z Other]" c="Z Other" cp="1">
          <x v="175"/>
        </s>
        <s v="[AIC Outcome].[AIC Part3].&amp;[Utilities &amp; communications]&amp;[03 Water &amp; sewerage]&amp;[B Water metering]" c="B Water metering" cp="1">
          <x v="176"/>
        </s>
        <s v="[AIC Outcome].[AIC Part3].&amp;[Utilities &amp; communications]&amp;[03 Water &amp; sewerage]&amp;[C Payment &amp; Billing]" c="C Payment &amp; Billing" cp="1">
          <x v="176"/>
        </s>
        <s v="[AIC Outcome].[AIC Part3].&amp;[Utilities &amp; communications]&amp;[03 Water &amp; sewerage]&amp;[E Watersure and social tariffs]" c="E Watersure and social tariffs" cp="1">
          <x v="176"/>
        </s>
        <s v="[AIC Outcome].[AIC Part3].&amp;[Utilities &amp; communications]&amp;[03 Water &amp; sewerage]&amp;[G Supply, including quality]" c="G Supply, including quality" cp="1">
          <x v="176"/>
        </s>
        <s v="[AIC Outcome].[AIC Part3].&amp;[Utilities &amp; communications]&amp;[03 Water &amp; sewerage]&amp;[Not recorded/not applicable]" c="Not recorded/not applicable" cp="1">
          <x v="176"/>
        </s>
        <s v="[AIC Outcome].[AIC Part3].&amp;[Utilities &amp; communications]&amp;[03 Water &amp; sewerage]&amp;[Z Other]" c="Z Other" cp="1">
          <x v="176"/>
        </s>
        <s v="[AIC Outcome].[AIC Part3].&amp;[Utilities &amp; communications]&amp;[04 Telephone landline]&amp;[B Selling methods and switching supplier]" c="B Selling methods and switching supplier" cp="1">
          <x v="177"/>
        </s>
        <s v="[AIC Outcome].[AIC Part3].&amp;[Utilities &amp; communications]&amp;[04 Telephone landline]&amp;[C Costs/billing/payment]" c="C Costs/billing/payment" cp="1">
          <x v="177"/>
        </s>
        <s v="[AIC Outcome].[AIC Part3].&amp;[Utilities &amp; communications]&amp;[04 Telephone landline]&amp;[E Cancellation &amp; withdrawal]" c="E Cancellation &amp; withdrawal" cp="1">
          <x v="177"/>
        </s>
        <s v="[AIC Outcome].[AIC Part3].&amp;[Utilities &amp; communications]&amp;[04 Telephone landline]&amp;[H Contract terms &amp; conditions]" c="H Contract terms &amp; conditions" cp="1">
          <x v="177"/>
        </s>
        <s v="[AIC Outcome].[AIC Part3].&amp;[Utilities &amp; communications]&amp;[04 Telephone landline]&amp;[K Customer service]" c="K Customer service" cp="1">
          <x v="177"/>
        </s>
        <s v="[AIC Outcome].[AIC Part3].&amp;[Utilities &amp; communications]&amp;[04 Telephone landline]&amp;[R Complaints &amp; redress]" c="R Complaints &amp; redress" cp="1">
          <x v="177"/>
        </s>
        <s v="[AIC Outcome].[AIC Part3].&amp;[Utilities &amp; communications]&amp;[05 Mobile phones]&amp;[C Costs/billing/payment]" c="C Costs/billing/payment" cp="1">
          <x v="178"/>
        </s>
        <s v="[AIC Outcome].[AIC Part3].&amp;[Utilities &amp; communications]&amp;[05 Mobile phones]&amp;[E Cancellation &amp; withdrawal]" c="E Cancellation &amp; withdrawal" cp="1">
          <x v="178"/>
        </s>
        <s v="[AIC Outcome].[AIC Part3].&amp;[Utilities &amp; communications]&amp;[05 Mobile phones]&amp;[G Problems with handsets]" c="G Problems with handsets" cp="1">
          <x v="178"/>
        </s>
        <s v="[AIC Outcome].[AIC Part3].&amp;[Utilities &amp; communications]&amp;[05 Mobile phones]&amp;[H Contract terms &amp; conditions]" c="H Contract terms &amp; conditions" cp="1">
          <x v="178"/>
        </s>
        <s v="[AIC Outcome].[AIC Part3].&amp;[Utilities &amp; communications]&amp;[05 Mobile phones]&amp;[K Customer service]" c="K Customer service" cp="1">
          <x v="178"/>
        </s>
        <s v="[AIC Outcome].[AIC Part3].&amp;[Utilities &amp; communications]&amp;[05 Mobile phones]&amp;[Not recorded/not applicable]" c="Not recorded/not applicable" cp="1">
          <x v="178"/>
        </s>
        <s v="[AIC Outcome].[AIC Part3].&amp;[Utilities &amp; communications]&amp;[05 Mobile phones]&amp;[R Complaints &amp; redress]" c="R Complaints &amp; redress" cp="1">
          <x v="178"/>
        </s>
        <s v="[AIC Outcome].[AIC Part3].&amp;[Utilities &amp; communications]&amp;[06 TV including cable, digital &amp; satellite]&amp;[L TV Licensing issues (not debt or fines)]" c="L TV Licensing issues (not debt or fines)" cp="1">
          <x v="179"/>
        </s>
        <s v="[AIC Outcome].[AIC Part3].&amp;[Utilities &amp; communications]&amp;[07 Internet &amp; broadband]&amp;[C Costs/billing/payment]" c="C Costs/billing/payment" cp="1">
          <x v="180"/>
        </s>
        <s v="[AIC Outcome].[AIC Part3].&amp;[Utilities &amp; communications]&amp;[07 Internet &amp; broadband]&amp;[E Cancellation &amp; withdrawal]" c="E Cancellation &amp; withdrawal" cp="1">
          <x v="180"/>
        </s>
        <s v="[AIC Outcome].[AIC Part3].&amp;[Utilities &amp; communications]&amp;[07 Internet &amp; broadband]&amp;[H Contract terms &amp; conditions]" c="H Contract terms &amp; conditions" cp="1">
          <x v="180"/>
        </s>
        <s v="[AIC Outcome].[AIC Part3].&amp;[Utilities &amp; communications]&amp;[07 Internet &amp; broadband]&amp;[K Customer service]" c="K Customer service" cp="1">
          <x v="180"/>
        </s>
        <s v="[AIC Outcome].[AIC Part3].&amp;[Utilities &amp; communications]&amp;[07 Internet &amp; broadband]&amp;[R Complaints &amp; redress]" c="R Complaints &amp; redress" cp="1">
          <x v="180"/>
        </s>
        <s v="[AIC Outcome].[AIC Part3].&amp;[Utilities &amp; communications]&amp;[08 Unwanted communications]&amp;[A Unsolicited telephone marketing call]" c="A Unsolicited telephone marketing call" cp="1">
          <x v="181"/>
        </s>
        <s v="[AIC Outcome].[AIC Part3].&amp;[Utilities &amp; communications]&amp;[99 Other communications &amp; utility issues]&amp;[D Postal and mail services]" c="D Postal and mail services" cp="1">
          <x v="182"/>
        </s>
        <s v="[AIC Outcome].[AIC Part3].&amp;[Utilities &amp; communications]&amp;[99 Other communications &amp; utility issues]&amp;[Z Other]" c="Z Other" cp="1">
          <x v="182"/>
        </s>
        <s v="[AIC Outcome].[AIC Part3].&amp;[Utilities &amp; communications]&amp;[Not recorded/not applicable]&amp;[Not recorded/not applicable]" c="Not recorded/not applicable" cp="1">
          <x v="22"/>
        </s>
      </sharedItems>
      <mpMap v="15"/>
    </cacheField>
    <cacheField name="[AIC Outcome].[AIC Part3].[AIC Part3].[AIC Part2]" caption="AIC Part2" propertyName="AIC Part2" numFmtId="0" hierarchy="4" level="1" memberPropertyField="1">
      <sharedItems count="183">
        <s v="02 Income Support"/>
        <s v="03 Pension Credit"/>
        <s v="05 Social Fund Loans-Budgeting"/>
        <s v="07 Housing Benefit"/>
        <s v="08 Child Benefit"/>
        <s v="10 Working &amp; Child Tax Credits"/>
        <s v="11 Jobseekers Allowance"/>
        <s v="12 National Insurance"/>
        <s v="13 State Retirement Pension"/>
        <s v="14 Incapacity Benefit"/>
        <s v="15 Disability Living Allowance"/>
        <s v="17 Attendance Allowance"/>
        <s v="18 Carers Allowance"/>
        <s v="19 Employment Support Allowance"/>
        <s v="20 Universal credit"/>
        <s v="21 Personal independence payment"/>
        <s v="22 Localised social welfare"/>
        <s v="23 Council tax reduction"/>
        <s v="24 Benefit cap"/>
        <s v="26 Complaints"/>
        <s v="27 Passported benefits"/>
        <s v="99 Other benefits issues"/>
        <s v="Not recorded/not applicable"/>
        <s v="02 Private sales &amp; internet auctions"/>
        <s v="03 Building repairs &amp; improvements"/>
        <s v="04 Double glazing &amp; associated products"/>
        <s v="05 Furnishings &amp; floor coverings"/>
        <s v="06 Electrical appliances &amp; repairs"/>
        <s v="07 Computer hardware &amp; software"/>
        <s v="09 Personal Development Courses (incl IT)"/>
        <s v="10 Disability aids &amp; adaptations"/>
        <s v="12 Second hand vehicles"/>
        <s v="13 Vehicle repairs/servicing"/>
        <s v="14 Food &amp; Drink"/>
        <s v="15 Health gym &amp; sports club memberships"/>
        <s v="17 Fraud and scams"/>
        <s v="18 Energy company obligation (ECO)"/>
        <s v="22 Energy efficiency measures (non-ECO)"/>
        <s v="23 Heating systems installation and servicing"/>
        <s v="24 Culture and entertainment (theatre, events, festivals, concerts, cinema)"/>
        <s v="25 Digital goods and services (apps, e-books, downloads, streaming, cloud storage)"/>
        <s v="99 Other goods &amp; services"/>
        <s v="02 Mortgage &amp; secured loan arrears"/>
        <s v="03 Hire purchase arrears"/>
        <s v="04 Fuel debts"/>
        <s v="06 Rent arrears - LAs or ALMOs"/>
        <s v="07 Rent arrears -  housing associations"/>
        <s v="08 Rent arrears - private landlords"/>
        <s v="09 Council tax arrears"/>
        <s v="10 Mag. Cts. - fines &amp; comp.ord. arrears"/>
        <s v="11 Maintenance &amp; child maintenance arrears"/>
        <s v="12 Bank &amp; building society overdrafts"/>
        <s v="13 Credit, store &amp; charge card debts"/>
        <s v="14 Unsecured personal loan debts"/>
        <s v="15 Catalogue &amp; mail order debts"/>
        <s v="16 Water supply &amp; sewerage debts"/>
        <s v="17 Unpaid parking penalty &amp; cong. chgs."/>
        <s v="18 Overpayments of WTC &amp; CTC"/>
        <s v="19 Overpayments of IS/JSA/ESA"/>
        <s v="20 Overpts. Housing &amp; Council Tax Bens."/>
        <s v="21 Social Fund debts"/>
        <s v="22 Payday loan debts"/>
        <s v="24 Debts to loan sharks/illegal lenders"/>
        <s v="25 Arrears of income tax, VAT or NI contributions"/>
        <s v="26 Overpayment of universal credit"/>
        <s v="27 Overpayments of other benefits"/>
        <s v="28 Guarantor loan debts"/>
        <s v="30 Mobile phone debt"/>
        <s v="31 Other telecoms debt (landline, broadband, bundle, TV)"/>
        <s v="32 Debts to friends and family"/>
        <s v="40 3rd party debt collection excl. bailiffs"/>
        <s v="48 Individual Voluntary Arrangement"/>
        <s v="49 Debt Relief Order"/>
        <s v="50 Bankruptcy"/>
        <s v="99 Other"/>
        <s v="01 Discrimination: Age"/>
        <s v="03 Discrimination: Disability excluding Mental Health"/>
        <s v="04 Discrimination: Disability Mental health"/>
        <s v="09 Discrimination: Pregnancy &amp; maternity"/>
        <s v="10 Discrimination: Race including nationality"/>
        <s v="12 Discrimination: Sex/gender"/>
        <s v="13 Discrimination: Sexual orientation"/>
        <s v="30 Domestic abuse: against woman by current/ex male partner"/>
        <s v="99 Domestic abuse: other"/>
        <s v="02 Early years provision"/>
        <s v="03 Schools, non-advanced education"/>
        <s v="04 Further Education/6th form colleges"/>
        <s v="05 Higher Education"/>
        <s v="06 Adult education"/>
        <s v="99 Other education issues"/>
        <s v="03 Self Employment/Business"/>
        <s v="04 Applying for jobs"/>
        <s v="05 Terms &amp; Conditions of Employment"/>
        <s v="07 Pay &amp; Entitlements"/>
        <s v="08  Parental &amp; Carers rights"/>
        <s v="09 Dispute resolution"/>
        <s v="10 Resignation"/>
        <s v="11 Dismissal"/>
        <s v="12 Redundancy"/>
        <s v="13 Employment tribunals &amp; appeals"/>
        <s v="14 Access to jobs"/>
        <s v="02 Bank/Building &amp; P/O Accounts"/>
        <s v="03 Credit/store/charge cards"/>
        <s v="04 Mortgages &amp; secured loans"/>
        <s v="05 Loans - unsecured"/>
        <s v="10 Payment protection insurance"/>
        <s v="11 Holiday/travel insurance"/>
        <s v="12 Vehicle insurance"/>
        <s v="13 Buildings &amp; house contents insurance"/>
        <s v="14 Life Insurance"/>
        <s v="17 Credit Reference Agencies"/>
        <s v="18 Personal Pensions"/>
        <s v="19 Savings and investments"/>
        <s v="20 Financial capability"/>
        <s v="22 Independent Financial Adviser"/>
        <s v="30 Pension Wise"/>
        <s v="99 Other credit, fin. &amp; insurance issues"/>
        <s v="03 Hospital Services (non-MH)"/>
        <s v="04 Hospital services - Mental Health"/>
        <s v="05 General Medical Practice"/>
        <s v="06 Residential Care"/>
        <s v="07 Community Care (non-MH)"/>
        <s v="08 Community Care - Mental Health"/>
        <s v="09 Dentists"/>
        <s v="10 NHS costs/charges"/>
        <s v="80 Health Watch - General"/>
        <s v="81 Health Watch - Hospital Service"/>
        <s v="82 Health Watch - Social Care Service"/>
        <s v="83 Health Watch - Other Service"/>
        <s v="84 Health Watch - Childrens Services"/>
        <s v="99 Other health &amp; community care issues"/>
        <s v="02 Actual homelessness"/>
        <s v="03 Threatened homelessness"/>
        <s v="04 LA homelessness service"/>
        <s v="05 Access to &amp; provision of accomm."/>
        <s v="06 Local Authority housing"/>
        <s v="07 Housing association property"/>
        <s v="08 Private sector rented property"/>
        <s v="09 Owner occupier property"/>
        <s v="10 Environmental &amp; neighbour issues"/>
        <s v="99 Other housing issues"/>
        <s v="02 Asylum seekers"/>
        <s v="04 Family, dependents &amp; partners"/>
        <s v="05 Visitors"/>
        <s v="06 Workers"/>
        <s v="07 Students"/>
        <s v="08 Nationality/citizenship"/>
        <s v="09 Failed asylum seekers"/>
        <s v="99 Other issues"/>
        <s v="02 Magistrates Court proceedings"/>
        <s v="03 County &amp; High Court proceedings"/>
        <s v="05 Legal aid"/>
        <s v="06 Solicitors/barristers"/>
        <s v="07 Police"/>
        <s v="10 Capacity to act"/>
        <s v="11 Personal-related court proceedings"/>
        <s v="12 Criminal justice"/>
        <s v="07 Charitable support"/>
        <s v="02 Marriage, cohabitation, civil partnership"/>
        <s v="05 Social Services &amp; support"/>
        <s v="06 Divorce, separation, dissolution"/>
        <s v="07 Children"/>
        <s v="08 Child maintenance: resident parent &amp; family"/>
        <s v="09 Child maintenance: non-res. parent &amp; family"/>
        <s v="10 Death &amp; Bereavement"/>
        <s v="11 Certificates &amp; proofs of identity"/>
        <s v="02 Income Tax"/>
        <s v="03 Council Tax"/>
        <s v="99 Other Tax Issues"/>
        <s v="02 Public transport"/>
        <s v="03 Driving"/>
        <s v="06 Package holidays"/>
        <s v="09 Parking on private land"/>
        <s v="10 Parking charges on public land/on-street parking"/>
        <s v="99 Other travel, transport &amp; holiday"/>
        <s v="02 Fuel (gas, electricity, oil, coal etc.)"/>
        <s v="03 Water &amp; sewerage"/>
        <s v="04 Telephone landline"/>
        <s v="05 Mobile phones"/>
        <s v="06 TV including cable, digital &amp; satellite"/>
        <s v="07 Internet &amp; broadband"/>
        <s v="08 Unwanted communications"/>
        <s v="99 Other communications &amp; utility issues"/>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 name="Dummy0" numFmtId="0" hierarchy="114" level="32767">
      <extLst>
        <ext xmlns:x14="http://schemas.microsoft.com/office/spreadsheetml/2009/9/main" uri="{63CAB8AC-B538-458d-9737-405883B0398D}">
          <x14:cacheField ignore="1"/>
        </ext>
      </extLst>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2"/>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2" unbalanced="0">
      <fieldsUsage count="2">
        <fieldUsage x="-1"/>
        <fieldUsage x="11"/>
      </fieldsUsage>
    </cacheHierarchy>
    <cacheHierarchy uniqueName="[AIC Outcome].[AIC Part2]" caption="AIC Part2" attribute="1" defaultMemberUniqueName="[AIC Outcome].[AIC Part2].[All]" allUniqueName="[AIC Outcome].[AIC Part2].[All]" dimensionUniqueName="[AIC Outcome]" displayFolder="" count="2" unbalanced="0">
      <fieldsUsage count="2">
        <fieldUsage x="-1"/>
        <fieldUsage x="12"/>
      </fieldsUsage>
    </cacheHierarchy>
    <cacheHierarchy uniqueName="[AIC Outcome].[AIC Part3]" caption="AIC Part3" attribute="1" defaultMemberUniqueName="[AIC Outcome].[AIC Part3].[All]" allUniqueName="[AIC Outcome].[AIC Part3].[All]" dimensionUniqueName="[AIC Outcome]" displayFolder="" count="2" unbalanced="0">
      <fieldsUsage count="2">
        <fieldUsage x="-1"/>
        <fieldUsage x="14"/>
      </fieldsUsage>
    </cacheHierarchy>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6"/>
        <fieldUsage x="17"/>
        <fieldUsage x="18"/>
        <fieldUsage x="19"/>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3"/>
        <fieldUsage x="4"/>
        <fieldUsage x="5"/>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9"/>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oneField="1">
      <fieldsUsage count="1">
        <fieldUsage x="0"/>
      </fieldsUsage>
    </cacheHierarchy>
    <cacheHierarchy uniqueName="[Measures].[Unique Client Count]" caption="Unique Client Count" measure="1" displayFolder="" measureGroup="Client" count="0" oneField="1">
      <fieldsUsage count="1">
        <fieldUsage x="1"/>
      </fieldsUsage>
    </cacheHierarchy>
    <cacheHierarchy uniqueName="Dummy0" caption="Advice Event Type" measure="1" count="0">
      <extLst>
        <ext xmlns:x14="http://schemas.microsoft.com/office/spreadsheetml/2009/9/main" uri="{8CF416AD-EC4C-4aba-99F5-12A058AE0983}">
          <x14:cacheHierarchy ignore="1"/>
        </ext>
      </extLst>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OnLoad="1" refreshedBy="John Willoughby" refreshedDate="42835.685463773145" backgroundQuery="1" createdVersion="4" refreshedVersion="4" minRefreshableVersion="3" recordCount="0" supportSubquery="1" supportAdvancedDrill="1">
  <cacheSource type="external" connectionId="1"/>
  <cacheFields count="21">
    <cacheField name="[Measures].[Number of Advice Events]" caption="Number of Advice Events" numFmtId="0" hierarchy="112" level="32767"/>
    <cacheField name="[Measures].[Unique Client Count]" caption="Unique Client Count" numFmtId="0" hierarchy="113" level="32767"/>
    <cacheField name="[Advice Event Type].[Advice Event Type].[Advice Event Type]" caption="Advice Event Type" numFmtId="0" level="1">
      <sharedItems containsSemiMixedTypes="0" containsString="0"/>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Client Geography].[Parliamentary Constituency].[Parliamentary Constituency]" caption="Parliamentary Constituency" numFmtId="0" hierarchy="18" level="1" mappingCount="1">
      <sharedItems count="51">
        <s v="[Client Geography].[Parliamentary Constituency].&amp;[Banbury]&amp;[Con]" c="Banbury" cp="1">
          <x/>
        </s>
        <s v="[Client Geography].[Parliamentary Constituency].&amp;[Barnsley Central]&amp;[Lab]" c="Barnsley Central" cp="1">
          <x v="1"/>
        </s>
        <s v="[Client Geography].[Parliamentary Constituency].&amp;[Beverley and Holderness]&amp;[Con]" c="Beverley and Holderness" cp="1">
          <x/>
        </s>
        <s v="[Client Geography].[Parliamentary Constituency].&amp;[Brigg and Goole]&amp;[Con]" c="Brigg and Goole" cp="1">
          <x/>
        </s>
        <s v="[Client Geography].[Parliamentary Constituency].&amp;[Coventry North West]&amp;[Lab]" c="Coventry North West" cp="1">
          <x v="1"/>
        </s>
        <s v="[Client Geography].[Parliamentary Constituency].&amp;[Darlington]&amp;[Lab]" c="Darlington" cp="1">
          <x v="1"/>
        </s>
        <s v="[Client Geography].[Parliamentary Constituency].&amp;[Don Valley]&amp;[Lab]" c="Don Valley" cp="1">
          <x v="1"/>
        </s>
        <s v="[Client Geography].[Parliamentary Constituency].&amp;[East Yorkshire]&amp;[Con]" c="East Yorkshire" cp="1">
          <x/>
        </s>
        <s v="[Client Geography].[Parliamentary Constituency].&amp;[Elmet and Rothwell]&amp;[Con]" c="Elmet and Rothwell" cp="1">
          <x/>
        </s>
        <s v="[Client Geography].[Parliamentary Constituency].&amp;[Gateshead]&amp;[Lab]" c="Gateshead" cp="1">
          <x v="1"/>
        </s>
        <s v="[Client Geography].[Parliamentary Constituency].&amp;[Haltemprice and Howden]&amp;[Con]" c="Haltemprice and Howden" cp="1">
          <x/>
        </s>
        <s v="[Client Geography].[Parliamentary Constituency].&amp;[Harrogate and Knaresborough]&amp;[Con]" c="Harrogate and Knaresborough" cp="1">
          <x/>
        </s>
        <s v="[Client Geography].[Parliamentary Constituency].&amp;[Hastings and Rye]&amp;[Con]" c="Hastings and Rye" cp="1">
          <x/>
        </s>
        <s v="[Client Geography].[Parliamentary Constituency].&amp;[Kingston upon Hull East]&amp;[Lab]" c="Kingston upon Hull East" cp="1">
          <x v="1"/>
        </s>
        <s v="[Client Geography].[Parliamentary Constituency].&amp;[Kingston upon Hull North]&amp;[Lab]" c="Kingston upon Hull North" cp="1">
          <x v="1"/>
        </s>
        <s v="[Client Geography].[Parliamentary Constituency].&amp;[Kingston upon Hull West and Hessle]&amp;[Lab]" c="Kingston upon Hull West and Hessle" cp="1">
          <x v="1"/>
        </s>
        <s v="[Client Geography].[Parliamentary Constituency].&amp;[Leeds Central]&amp;[Lab]" c="Leeds Central" cp="1">
          <x v="1"/>
        </s>
        <s v="[Client Geography].[Parliamentary Constituency].&amp;[Leeds North East]&amp;[Lab]" c="Leeds North East" cp="1">
          <x v="1"/>
        </s>
        <s v="[Client Geography].[Parliamentary Constituency].&amp;[Leeds North West]&amp;[&quot;Liberal Democrat&quot;]" c="Leeds North West" cp="1">
          <x v="2"/>
        </s>
        <s v="[Client Geography].[Parliamentary Constituency].&amp;[Lincoln]&amp;[Con]" c="Lincoln" cp="1">
          <x/>
        </s>
        <s v="[Client Geography].[Parliamentary Constituency].&amp;[Manchester Central]&amp;[Lab/Co-op]" c="Manchester Central" cp="1">
          <x v="3"/>
        </s>
        <s v="[Client Geography].[Parliamentary Constituency].&amp;[Middlesbrough South and East Cleveland]&amp;[Lab]" c="Middlesbrough South and East Cleveland" cp="1">
          <x v="1"/>
        </s>
        <s v="[Client Geography].[Parliamentary Constituency].&amp;[Newark]&amp;[Con]" c="Newark" cp="1">
          <x/>
        </s>
        <s v="[Client Geography].[Parliamentary Constituency].&amp;[Normanton, Pontefract and Castleford]&amp;[Lab]" c="Normanton, Pontefract and Castleford" cp="1">
          <x v="1"/>
        </s>
        <s v="[Client Geography].[Parliamentary Constituency].&amp;[North Durham]&amp;[Lab]" c="North Durham" cp="1">
          <x v="1"/>
        </s>
        <s v="[Client Geography].[Parliamentary Constituency].&amp;[North East Derbyshire]&amp;[Lab]" c="North East Derbyshire" cp="1">
          <x v="1"/>
        </s>
        <s v="[Client Geography].[Parliamentary Constituency].&amp;[North Tyneside]&amp;[Lab]" c="North Tyneside" cp="1">
          <x v="1"/>
        </s>
        <s v="[Client Geography].[Parliamentary Constituency].&amp;[Not recorded/not applicable]&amp;[Not recorded/not applicable]" c="Not recorded/not applicable" cp="1">
          <x v="4"/>
        </s>
        <s v="[Client Geography].[Parliamentary Constituency].&amp;[Oldham West and Royton]&amp;[Lab]" c="Oldham West and Royton" cp="1">
          <x v="1"/>
        </s>
        <s v="[Client Geography].[Parliamentary Constituency].&amp;[Pendle]&amp;[Con]" c="Pendle" cp="1">
          <x/>
        </s>
        <s v="[Client Geography].[Parliamentary Constituency].&amp;[Plymouth, Moor View]&amp;[Con]" c="Plymouth, Moor View" cp="1">
          <x/>
        </s>
        <s v="[Client Geography].[Parliamentary Constituency].&amp;[Pontypridd]&amp;[Lab]" c="Pontypridd" cp="1">
          <x v="1"/>
        </s>
        <s v="[Client Geography].[Parliamentary Constituency].&amp;[Richmond (Yorks)]&amp;[Con]" c="Richmond (Yorks)" cp="1">
          <x/>
        </s>
        <s v="[Client Geography].[Parliamentary Constituency].&amp;[Richmond Park]&amp;[Con]" c="Richmond Park" cp="1">
          <x/>
        </s>
        <s v="[Client Geography].[Parliamentary Constituency].&amp;[Rochdale]&amp;[Lab]" c="Rochdale" cp="1">
          <x v="1"/>
        </s>
        <s v="[Client Geography].[Parliamentary Constituency].&amp;[Scarborough and Whitby]&amp;[Con]" c="Scarborough and Whitby" cp="1">
          <x/>
        </s>
        <s v="[Client Geography].[Parliamentary Constituency].&amp;[Selby and Ainsty]&amp;[Con]" c="Selby and Ainsty" cp="1">
          <x/>
        </s>
        <s v="[Client Geography].[Parliamentary Constituency].&amp;[Sheffield, Heeley]&amp;[Lab]" c="Sheffield, Heeley" cp="1">
          <x v="1"/>
        </s>
        <s v="[Client Geography].[Parliamentary Constituency].&amp;[Shipley]&amp;[Con]" c="Shipley" cp="1">
          <x/>
        </s>
        <s v="[Client Geography].[Parliamentary Constituency].&amp;[Skipton and Ripon]&amp;[Con]" c="Skipton and Ripon" cp="1">
          <x/>
        </s>
        <s v="[Client Geography].[Parliamentary Constituency].&amp;[South Swindon]&amp;[Con]" c="South Swindon" cp="1">
          <x/>
        </s>
        <s v="[Client Geography].[Parliamentary Constituency].&amp;[St Austell and Newquay]&amp;[Con]" c="St Austell and Newquay" cp="1">
          <x/>
        </s>
        <s v="[Client Geography].[Parliamentary Constituency].&amp;[Stockton North]&amp;[Lab]" c="Stockton North" cp="1">
          <x v="1"/>
        </s>
        <s v="[Client Geography].[Parliamentary Constituency].&amp;[Stroud]&amp;[Con]" c="Stroud" cp="1">
          <x/>
        </s>
        <s v="[Client Geography].[Parliamentary Constituency].&amp;[Sutton and Cheam]&amp;[Con]" c="Sutton and Cheam" cp="1">
          <x/>
        </s>
        <s v="[Client Geography].[Parliamentary Constituency].&amp;[Swansea East]&amp;[Lab]" c="Swansea East" cp="1">
          <x v="1"/>
        </s>
        <s v="[Client Geography].[Parliamentary Constituency].&amp;[Tatton]&amp;[Con]" c="Tatton" cp="1">
          <x/>
        </s>
        <s v="[Client Geography].[Parliamentary Constituency].&amp;[Thirsk and Malton]&amp;[Con]" c="Thirsk and Malton" cp="1">
          <x/>
        </s>
        <s v="[Client Geography].[Parliamentary Constituency].&amp;[Tynemouth]&amp;[Lab]" c="Tynemouth" cp="1">
          <x v="1"/>
        </s>
        <s v="[Client Geography].[Parliamentary Constituency].&amp;[York Central]&amp;[Lab/Co-op]" c="York Central" cp="1">
          <x v="3"/>
        </s>
        <s v="[Client Geography].[Parliamentary Constituency].&amp;[York Outer]&amp;[Con]" c="York Outer" cp="1">
          <x/>
        </s>
      </sharedItems>
      <mpMap v="12"/>
    </cacheField>
    <cacheField name="[Client Geography].[Parliamentary Constituency].[Parliamentary Constituency].[Political Party]" caption="Political Party" propertyName="Political Party" numFmtId="0" hierarchy="18" level="1" memberPropertyField="1">
      <sharedItems count="5">
        <s v="Con"/>
        <s v="Lab"/>
        <s v="&quot;Liberal Democrat&quot;"/>
        <s v="Lab/Co-op"/>
        <s v="Not recorded/not applicable"/>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 name="Dummy0" numFmtId="0" hierarchy="114" level="32767">
      <extLst>
        <ext xmlns:x14="http://schemas.microsoft.com/office/spreadsheetml/2009/9/main" uri="{63CAB8AC-B538-458d-9737-405883B0398D}">
          <x14:cacheField ignore="1"/>
        </ext>
      </extLst>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2"/>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2" unbalanced="0">
      <fieldsUsage count="2">
        <fieldUsage x="-1"/>
        <fieldUsage x="11"/>
      </fieldsUsage>
    </cacheHierarchy>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3"/>
        <fieldUsage x="14"/>
        <fieldUsage x="15"/>
        <fieldUsage x="16"/>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3"/>
        <fieldUsage x="4"/>
        <fieldUsage x="5"/>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9"/>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oneField="1">
      <fieldsUsage count="1">
        <fieldUsage x="0"/>
      </fieldsUsage>
    </cacheHierarchy>
    <cacheHierarchy uniqueName="[Measures].[Unique Client Count]" caption="Unique Client Count" measure="1" displayFolder="" measureGroup="Client" count="0" oneField="1">
      <fieldsUsage count="1">
        <fieldUsage x="1"/>
      </fieldsUsage>
    </cacheHierarchy>
    <cacheHierarchy uniqueName="Dummy0" caption="Advice Event Type" measure="1" count="0">
      <extLst>
        <ext xmlns:x14="http://schemas.microsoft.com/office/spreadsheetml/2009/9/main" uri="{8CF416AD-EC4C-4aba-99F5-12A058AE0983}">
          <x14:cacheHierarchy ignore="1"/>
        </ext>
      </extLst>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OnLoad="1" refreshedBy="John Willoughby" refreshedDate="42835.685465046299" backgroundQuery="1" createdVersion="4" refreshedVersion="4" minRefreshableVersion="3" recordCount="0" supportSubquery="1" supportAdvancedDrill="1">
  <cacheSource type="external" connectionId="1"/>
  <cacheFields count="20">
    <cacheField name="[Measures].[Number of Advice Events]" caption="Number of Advice Events" numFmtId="0" hierarchy="112" level="32767"/>
    <cacheField name="[Advice Event Type].[Advice Event Type].[Advice Event Type]" caption="Advice Event Type" numFmtId="0" level="1">
      <sharedItems containsSemiMixedTypes="0" containsString="0"/>
    </cacheField>
    <cacheField name="[AIC Outcome].[AIC Part1].[AIC Part1]" caption="AIC Part1" numFmtId="0" hierarchy="2" level="1">
      <sharedItems count="15">
        <s v="[AIC Outcome].[AIC Part1].&amp;[Benefits &amp; tax credits]" c="Benefits &amp; tax credits"/>
        <s v="[AIC Outcome].[AIC Part1].&amp;[Consumer goods &amp; services]" c="Consumer goods &amp; services"/>
        <s v="[AIC Outcome].[AIC Part1].&amp;[Debt]" c="Debt"/>
        <s v="[AIC Outcome].[AIC Part1].&amp;[Discrimination]" c="Discrimination"/>
        <s v="[AIC Outcome].[AIC Part1].&amp;[Education]" c="Education"/>
        <s v="[AIC Outcome].[AIC Part1].&amp;[Employment]" c="Employment"/>
        <s v="[AIC Outcome].[AIC Part1].&amp;[Health &amp; community care]" c="Health &amp; community care"/>
        <s v="[AIC Outcome].[AIC Part1].&amp;[Housing]" c="Housing"/>
        <s v="[AIC Outcome].[AIC Part1].&amp;[Immigration &amp; asylum]" c="Immigration &amp; asylum"/>
        <s v="[AIC Outcome].[AIC Part1].&amp;[Legal]" c="Legal"/>
        <s v="[AIC Outcome].[AIC Part1].&amp;[Other]" c="Other"/>
        <s v="[AIC Outcome].[AIC Part1].&amp;[Relationships &amp; family]" c="Relationships &amp; family"/>
        <s v="[AIC Outcome].[AIC Part1].&amp;[Tax]" c="Tax"/>
        <s v="[AIC Outcome].[AIC Part1].&amp;[Travel &amp; transport]" c="Travel &amp; transport"/>
        <s v="[AIC Outcome].[AIC Part1].&amp;[Utilities &amp; communications]" c="Utilities &amp; communications"/>
      </sharedItems>
    </cacheField>
    <cacheField name="[AIC Outcome].[AIC Part2].[AIC Part2]" caption="AIC Part2" numFmtId="0" hierarchy="3" level="1" mappingCount="1">
      <sharedItems count="72">
        <s v="[AIC Outcome].[AIC Part2].&amp;[Benefits &amp; tax credits]&amp;[03 Pension Credit]" c="03 Pension Credit" cp="1">
          <x/>
        </s>
        <s v="[AIC Outcome].[AIC Part2].&amp;[Benefits &amp; tax credits]&amp;[07 Housing Benefit]" c="07 Housing Benefit" cp="1">
          <x/>
        </s>
        <s v="[AIC Outcome].[AIC Part2].&amp;[Benefits &amp; tax credits]&amp;[10 Working &amp; Child Tax Credits]" c="10 Working &amp; Child Tax Credits" cp="1">
          <x/>
        </s>
        <s v="[AIC Outcome].[AIC Part2].&amp;[Benefits &amp; tax credits]&amp;[11 Jobseekers Allowance]" c="11 Jobseekers Allowance" cp="1">
          <x/>
        </s>
        <s v="[AIC Outcome].[AIC Part2].&amp;[Benefits &amp; tax credits]&amp;[13 State Retirement Pension]" c="13 State Retirement Pension" cp="1">
          <x/>
        </s>
        <s v="[AIC Outcome].[AIC Part2].&amp;[Benefits &amp; tax credits]&amp;[15 Disability Living Allowance]" c="15 Disability Living Allowance" cp="1">
          <x/>
        </s>
        <s v="[AIC Outcome].[AIC Part2].&amp;[Benefits &amp; tax credits]&amp;[19 Employment Support Allowance]" c="19 Employment Support Allowance" cp="1">
          <x/>
        </s>
        <s v="[AIC Outcome].[AIC Part2].&amp;[Benefits &amp; tax credits]&amp;[20 Universal credit]" c="20 Universal credit" cp="1">
          <x/>
        </s>
        <s v="[AIC Outcome].[AIC Part2].&amp;[Benefits &amp; tax credits]&amp;[21 Personal independence payment]" c="21 Personal independence payment" cp="1">
          <x/>
        </s>
        <s v="[AIC Outcome].[AIC Part2].&amp;[Benefits &amp; tax credits]&amp;[24 Benefit cap]" c="24 Benefit cap" cp="1">
          <x/>
        </s>
        <s v="[AIC Outcome].[AIC Part2].&amp;[Benefits &amp; tax credits]&amp;[26 Complaints]" c="26 Complaints" cp="1">
          <x/>
        </s>
        <s v="[AIC Outcome].[AIC Part2].&amp;[Benefits &amp; tax credits]&amp;[27 Passported benefits]" c="27 Passported benefits" cp="1">
          <x/>
        </s>
        <s v="[AIC Outcome].[AIC Part2].&amp;[Benefits &amp; tax credits]&amp;[99 Other benefits issues]" c="99 Other benefits issues" cp="1">
          <x/>
        </s>
        <s v="[AIC Outcome].[AIC Part2].&amp;[Consumer goods &amp; services]&amp;[03 Building repairs &amp; improvements]" c="03 Building repairs &amp; improvements" cp="1">
          <x v="1"/>
        </s>
        <s v="[AIC Outcome].[AIC Part2].&amp;[Consumer goods &amp; services]&amp;[06 Electrical appliances &amp; repairs]" c="06 Electrical appliances &amp; repairs" cp="1">
          <x v="1"/>
        </s>
        <s v="[AIC Outcome].[AIC Part2].&amp;[Consumer goods &amp; services]&amp;[17 Fraud and scams]" c="17 Fraud and scams" cp="1">
          <x v="1"/>
        </s>
        <s v="[AIC Outcome].[AIC Part2].&amp;[Consumer goods &amp; services]&amp;[23 Heating systems installation and servicing]" c="23 Heating systems installation and servicing" cp="1">
          <x v="1"/>
        </s>
        <s v="[AIC Outcome].[AIC Part2].&amp;[Consumer goods &amp; services]&amp;[99 Other goods &amp; services]" c="99 Other goods &amp; services" cp="1">
          <x v="1"/>
        </s>
        <s v="[AIC Outcome].[AIC Part2].&amp;[Debt]&amp;[07 Rent arrears -  housing associations]" c="07 Rent arrears -  housing associations" cp="1">
          <x v="2"/>
        </s>
        <s v="[AIC Outcome].[AIC Part2].&amp;[Debt]&amp;[09 Council tax arrears]" c="09 Council tax arrears" cp="1">
          <x v="2"/>
        </s>
        <s v="[AIC Outcome].[AIC Part2].&amp;[Debt]&amp;[14 Unsecured personal loan debts]" c="14 Unsecured personal loan debts" cp="1">
          <x v="2"/>
        </s>
        <s v="[AIC Outcome].[AIC Part2].&amp;[Debt]&amp;[18 Overpayments of WTC &amp; CTC]" c="18 Overpayments of WTC &amp; CTC" cp="1">
          <x v="2"/>
        </s>
        <s v="[AIC Outcome].[AIC Part2].&amp;[Debt]&amp;[22 Payday loan debts]" c="22 Payday loan debts" cp="1">
          <x v="2"/>
        </s>
        <s v="[AIC Outcome].[AIC Part2].&amp;[Debt]&amp;[49 Debt Relief Order]" c="49 Debt Relief Order" cp="1">
          <x v="2"/>
        </s>
        <s v="[AIC Outcome].[AIC Part2].&amp;[Debt]&amp;[99 Other]" c="99 Other" cp="1">
          <x v="2"/>
        </s>
        <s v="[AIC Outcome].[AIC Part2].&amp;[Discrimination]&amp;[01 Discrimination: Age]" c="01 Discrimination: Age" cp="1">
          <x v="3"/>
        </s>
        <s v="[AIC Outcome].[AIC Part2].&amp;[Discrimination]&amp;[03 Discrimination: Disability excluding Mental Health]" c="03 Discrimination: Disability excluding Mental Health" cp="1">
          <x v="3"/>
        </s>
        <s v="[AIC Outcome].[AIC Part2].&amp;[Discrimination]&amp;[04 Discrimination: Disability Mental health]" c="04 Discrimination: Disability Mental health" cp="1">
          <x v="3"/>
        </s>
        <s v="[AIC Outcome].[AIC Part2].&amp;[Discrimination]&amp;[09 Discrimination: Pregnancy &amp; maternity]" c="09 Discrimination: Pregnancy &amp; maternity" cp="1">
          <x v="3"/>
        </s>
        <s v="[AIC Outcome].[AIC Part2].&amp;[Discrimination]&amp;[10 Discrimination: Race including nationality]" c="10 Discrimination: Race including nationality" cp="1">
          <x v="3"/>
        </s>
        <s v="[AIC Outcome].[AIC Part2].&amp;[Education]&amp;[99 Other education issues]" c="99 Other education issues" cp="1">
          <x v="4"/>
        </s>
        <s v="[AIC Outcome].[AIC Part2].&amp;[Employment]&amp;[03 Self Employment/Business]" c="03 Self Employment/Business" cp="1">
          <x v="5"/>
        </s>
        <s v="[AIC Outcome].[AIC Part2].&amp;[Employment]&amp;[05 Terms &amp; Conditions of Employment]" c="05 Terms &amp; Conditions of Employment" cp="1">
          <x v="5"/>
        </s>
        <s v="[AIC Outcome].[AIC Part2].&amp;[Employment]&amp;[07 Pay &amp; Entitlements]" c="07 Pay &amp; Entitlements" cp="1">
          <x v="5"/>
        </s>
        <s v="[AIC Outcome].[AIC Part2].&amp;[Employment]&amp;[11 Dismissal]" c="11 Dismissal" cp="1">
          <x v="5"/>
        </s>
        <s v="[AIC Outcome].[AIC Part2].&amp;[Employment]&amp;[13 Employment tribunals &amp; appeals]" c="13 Employment tribunals &amp; appeals" cp="1">
          <x v="5"/>
        </s>
        <s v="[AIC Outcome].[AIC Part2].&amp;[Employment]&amp;[99 Other]" c="99 Other" cp="1">
          <x v="5"/>
        </s>
        <s v="[AIC Outcome].[AIC Part2].&amp;[Health &amp; community care]&amp;[03 Hospital Services (non-MH)]" c="03 Hospital Services (non-MH)" cp="1">
          <x v="6"/>
        </s>
        <s v="[AIC Outcome].[AIC Part2].&amp;[Health &amp; community care]&amp;[04 Hospital services - Mental Health]" c="04 Hospital services - Mental Health" cp="1">
          <x v="6"/>
        </s>
        <s v="[AIC Outcome].[AIC Part2].&amp;[Health &amp; community care]&amp;[05 General Medical Practice]" c="05 General Medical Practice" cp="1">
          <x v="6"/>
        </s>
        <s v="[AIC Outcome].[AIC Part2].&amp;[Health &amp; community care]&amp;[07 Community Care (non-MH)]" c="07 Community Care (non-MH)" cp="1">
          <x v="6"/>
        </s>
        <s v="[AIC Outcome].[AIC Part2].&amp;[Health &amp; community care]&amp;[08 Community Care - Mental Health]" c="08 Community Care - Mental Health" cp="1">
          <x v="6"/>
        </s>
        <s v="[AIC Outcome].[AIC Part2].&amp;[Health &amp; community care]&amp;[09 Dentists]" c="09 Dentists" cp="1">
          <x v="6"/>
        </s>
        <s v="[AIC Outcome].[AIC Part2].&amp;[Health &amp; community care]&amp;[10 NHS costs/charges]" c="10 NHS costs/charges" cp="1">
          <x v="6"/>
        </s>
        <s v="[AIC Outcome].[AIC Part2].&amp;[Health &amp; community care]&amp;[83 Health Watch - Other Service]" c="83 Health Watch - Other Service" cp="1">
          <x v="6"/>
        </s>
        <s v="[AIC Outcome].[AIC Part2].&amp;[Health &amp; community care]&amp;[84 Health Watch - Childrens Services]" c="84 Health Watch - Childrens Services" cp="1">
          <x v="6"/>
        </s>
        <s v="[AIC Outcome].[AIC Part2].&amp;[Health &amp; community care]&amp;[99 Other health &amp; community care issues]" c="99 Other health &amp; community care issues" cp="1">
          <x v="6"/>
        </s>
        <s v="[AIC Outcome].[AIC Part2].&amp;[Housing]&amp;[02 Actual homelessness]" c="02 Actual homelessness" cp="1">
          <x v="7"/>
        </s>
        <s v="[AIC Outcome].[AIC Part2].&amp;[Housing]&amp;[03 Threatened homelessness]" c="03 Threatened homelessness" cp="1">
          <x v="7"/>
        </s>
        <s v="[AIC Outcome].[AIC Part2].&amp;[Housing]&amp;[04 LA homelessness service]" c="04 LA homelessness service" cp="1">
          <x v="7"/>
        </s>
        <s v="[AIC Outcome].[AIC Part2].&amp;[Housing]&amp;[05 Access to &amp; provision of accomm.]" c="05 Access to &amp; provision of accomm." cp="1">
          <x v="7"/>
        </s>
        <s v="[AIC Outcome].[AIC Part2].&amp;[Housing]&amp;[06 Local Authority housing]" c="06 Local Authority housing" cp="1">
          <x v="7"/>
        </s>
        <s v="[AIC Outcome].[AIC Part2].&amp;[Housing]&amp;[08 Private sector rented property]" c="08 Private sector rented property" cp="1">
          <x v="7"/>
        </s>
        <s v="[AIC Outcome].[AIC Part2].&amp;[Housing]&amp;[10 Environmental &amp; neighbour issues]" c="10 Environmental &amp; neighbour issues" cp="1">
          <x v="7"/>
        </s>
        <s v="[AIC Outcome].[AIC Part2].&amp;[Housing]&amp;[99 Other housing issues]" c="99 Other housing issues" cp="1">
          <x v="7"/>
        </s>
        <s v="[AIC Outcome].[AIC Part2].&amp;[Immigration &amp; asylum]&amp;[04 Family, dependents &amp; partners]" c="04 Family, dependents &amp; partners" cp="1">
          <x v="8"/>
        </s>
        <s v="[AIC Outcome].[AIC Part2].&amp;[Immigration &amp; asylum]&amp;[05 Visitors]" c="05 Visitors" cp="1">
          <x v="8"/>
        </s>
        <s v="[AIC Outcome].[AIC Part2].&amp;[Immigration &amp; asylum]&amp;[99 Other issues]" c="99 Other issues" cp="1">
          <x v="8"/>
        </s>
        <s v="[AIC Outcome].[AIC Part2].&amp;[Legal]&amp;[05 Legal aid]" c="05 Legal aid" cp="1">
          <x v="9"/>
        </s>
        <s v="[AIC Outcome].[AIC Part2].&amp;[Legal]&amp;[07 Police]" c="07 Police" cp="1">
          <x v="9"/>
        </s>
        <s v="[AIC Outcome].[AIC Part2].&amp;[Legal]&amp;[12 Criminal justice]" c="12 Criminal justice" cp="1">
          <x v="9"/>
        </s>
        <s v="[AIC Outcome].[AIC Part2].&amp;[Legal]&amp;[99 Other]" c="99 Other" cp="1">
          <x v="9"/>
        </s>
        <s v="[AIC Outcome].[AIC Part2].&amp;[Other]&amp;[99 Other]" c="99 Other" cp="1">
          <x v="10"/>
        </s>
        <s v="[AIC Outcome].[AIC Part2].&amp;[Relationships &amp; family]&amp;[09 Child maintenance: non-res. parent &amp; family]" c="09 Child maintenance: non-res. parent &amp; family" cp="1">
          <x v="11"/>
        </s>
        <s v="[AIC Outcome].[AIC Part2].&amp;[Tax]&amp;[02 Income Tax]" c="02 Income Tax" cp="1">
          <x v="12"/>
        </s>
        <s v="[AIC Outcome].[AIC Part2].&amp;[Tax]&amp;[03 Council Tax]" c="03 Council Tax" cp="1">
          <x v="12"/>
        </s>
        <s v="[AIC Outcome].[AIC Part2].&amp;[Travel &amp; transport]&amp;[02 Public transport]" c="02 Public transport" cp="1">
          <x v="13"/>
        </s>
        <s v="[AIC Outcome].[AIC Part2].&amp;[Travel &amp; transport]&amp;[06 Package holidays]" c="06 Package holidays" cp="1">
          <x v="13"/>
        </s>
        <s v="[AIC Outcome].[AIC Part2].&amp;[Travel &amp; transport]&amp;[09 Parking on private land]" c="09 Parking on private land" cp="1">
          <x v="13"/>
        </s>
        <s v="[AIC Outcome].[AIC Part2].&amp;[Utilities &amp; communications]&amp;[02 Fuel (gas, electricity, oil, coal etc.)]" c="02 Fuel (gas, electricity, oil, coal etc.)" cp="1">
          <x v="14"/>
        </s>
        <s v="[AIC Outcome].[AIC Part2].&amp;[Utilities &amp; communications]&amp;[06 TV including cable, digital &amp; satellite]" c="06 TV including cable, digital &amp; satellite" cp="1">
          <x v="14"/>
        </s>
        <s v="[AIC Outcome].[AIC Part2].&amp;[Utilities &amp; communications]&amp;[07 Internet &amp; broadband]" c="07 Internet &amp; broadband" cp="1">
          <x v="14"/>
        </s>
      </sharedItems>
      <mpMap v="4"/>
    </cacheField>
    <cacheField name="[AIC Outcome].[AIC Part2].[AIC Part2].[AIC Part1]" caption="AIC Part1" propertyName="AIC Part1" numFmtId="0" hierarchy="3" level="1" memberPropertyField="1">
      <sharedItems count="15">
        <s v="Benefits &amp; tax credits"/>
        <s v="Consumer goods &amp; services"/>
        <s v="Debt"/>
        <s v="Discrimination"/>
        <s v="Education"/>
        <s v="Employment"/>
        <s v="Health &amp; community care"/>
        <s v="Housing"/>
        <s v="Immigration &amp; asylum"/>
        <s v="Legal"/>
        <s v="Other"/>
        <s v="Relationships &amp; family"/>
        <s v="Tax"/>
        <s v="Travel &amp; transport"/>
        <s v="Utilities &amp; communications"/>
      </sharedItems>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s>
  <cacheHierarchies count="114">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1"/>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2" unbalanced="0">
      <fieldsUsage count="2">
        <fieldUsage x="-1"/>
        <fieldUsage x="2"/>
      </fieldsUsage>
    </cacheHierarchy>
    <cacheHierarchy uniqueName="[AIC Outcome].[AIC Part2]" caption="AIC Part2" attribute="1" defaultMemberUniqueName="[AIC Outcome].[AIC Part2].[All]" allUniqueName="[AIC Outcome].[AIC Part2].[All]" dimensionUniqueName="[AIC Outcome]" displayFolder="" count="2" unbalanced="0">
      <fieldsUsage count="2">
        <fieldUsage x="-1"/>
        <fieldUsage x="3"/>
      </fieldsUsage>
    </cacheHierarchy>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3"/>
        <fieldUsage x="14"/>
        <fieldUsage x="15"/>
        <fieldUsage x="16"/>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5"/>
        <fieldUsage x="6"/>
        <fieldUsage x="7"/>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11"/>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oneField="1">
      <fieldsUsage count="1">
        <fieldUsage x="0"/>
      </fieldsUsage>
    </cacheHierarchy>
    <cacheHierarchy uniqueName="[Measures].[Unique Client Count]" caption="Unique Client Count" measure="1" displayFolder="" measureGroup="Client" count="0"/>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OnLoad="1" refreshedBy="John Willoughby" refreshedDate="42835.685469560187" backgroundQuery="1" createdVersion="4" refreshedVersion="4" minRefreshableVersion="3" recordCount="0" supportSubquery="1" supportAdvancedDrill="1">
  <cacheSource type="external" connectionId="1"/>
  <cacheFields count="19">
    <cacheField name="[Measures].[Number of Advice Events]" caption="Number of Advice Events" numFmtId="0" hierarchy="112" level="32767"/>
    <cacheField name="[Measures].[Unique Client Count]" caption="Unique Client Count" numFmtId="0" hierarchy="113" level="32767"/>
    <cacheField name="[Advice Event Type].[Advice Event Type].[Advice Event Type]" caption="Advice Event Type" numFmtId="0" level="1">
      <sharedItems containsSemiMixedTypes="0" containsString="0"/>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mappingCount="1">
      <sharedItems count="7">
        <s v="[National Funder].[Funder].&amp;[CORE]" c="CORE" cp="1">
          <x/>
        </s>
        <s v="[National Funder].[Funder].&amp;[Energy Best Deal Extra]" c="Energy Best Deal Extra" cp="1">
          <x/>
        </s>
        <s v="[National Funder].[Funder].&amp;[Local]" c="Local" cp="1">
          <x/>
        </s>
        <s v="[National Funder].[Funder].&amp;[MAS DAP - North East]" c="MAS DAP - North East" cp="1">
          <x/>
        </s>
        <s v="[National Funder].[Funder].&amp;[MAS DAP - Yorks &amp; Humber]" c="MAS DAP - Yorks &amp; Humber" cp="1">
          <x/>
        </s>
        <s v="[National Funder].[Funder].&amp;[Not recorded/not applicable]" c="Not recorded/not applicable" cp="1">
          <x v="1"/>
        </s>
        <s v="[National Funder].[Funder].&amp;[Pension Wise]" c="Pension Wise" cp="1">
          <x/>
        </s>
      </sharedItems>
      <mpMap v="10"/>
    </cacheField>
    <cacheField name="[National Funder].[Funder].[Funder].[Funder Type]" caption="Funder Type" propertyName="Funder Type" numFmtId="0" hierarchy="97" level="1" memberPropertyField="1">
      <sharedItems count="2">
        <s v="National"/>
        <s v="Not recorded/not applicable"/>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 name="Dummy0" numFmtId="0" hierarchy="114" level="32767">
      <extLst>
        <ext xmlns:x14="http://schemas.microsoft.com/office/spreadsheetml/2009/9/main" uri="{63CAB8AC-B538-458d-9737-405883B0398D}">
          <x14:cacheField ignore="1"/>
        </ext>
      </extLst>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2"/>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1"/>
        <fieldUsage x="12"/>
        <fieldUsage x="13"/>
        <fieldUsage x="14"/>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3"/>
        <fieldUsage x="4"/>
        <fieldUsage x="5"/>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9"/>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oneField="1">
      <fieldsUsage count="1">
        <fieldUsage x="0"/>
      </fieldsUsage>
    </cacheHierarchy>
    <cacheHierarchy uniqueName="[Measures].[Unique Client Count]" caption="Unique Client Count" measure="1" displayFolder="" measureGroup="Client" count="0" oneField="1">
      <fieldsUsage count="1">
        <fieldUsage x="1"/>
      </fieldsUsage>
    </cacheHierarchy>
    <cacheHierarchy uniqueName="Dummy0" caption="Advice Event Type" measure="1" count="0">
      <extLst>
        <ext xmlns:x14="http://schemas.microsoft.com/office/spreadsheetml/2009/9/main" uri="{8CF416AD-EC4C-4aba-99F5-12A058AE0983}">
          <x14:cacheHierarchy ignore="1"/>
        </ext>
      </extLst>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OnLoad="1" refreshedBy="John Willoughby" refreshedDate="42835.685475115744" backgroundQuery="1" createdVersion="4" refreshedVersion="4" minRefreshableVersion="3" recordCount="0" supportSubquery="1" supportAdvancedDrill="1">
  <cacheSource type="external" connectionId="1"/>
  <cacheFields count="19">
    <cacheField name="[Measures].[Number of Advice Events]" caption="Number of Advice Events" numFmtId="0" hierarchy="112" level="32767"/>
    <cacheField name="[Measures].[Unique Client Count]" caption="Unique Client Count" numFmtId="0" hierarchy="113" level="32767"/>
    <cacheField name="[Advice Event Type].[Advice Event Type].[Advice Event Type]" caption="Advice Event Type" numFmtId="0" level="1">
      <sharedItems containsSemiMixedTypes="0" containsString="0"/>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Local Funder].[Funder].[Funder]" caption="Funder" numFmtId="0" hierarchy="85" level="1" mappingCount="1">
      <sharedItems count="14">
        <s v="[Local Funder].[Funder].&amp;[Not recorded/not applicable]" c="Not recorded/not applicable" cp="1">
          <x/>
        </s>
        <s v="[Local Funder].[Funder].&amp;[Scarborough - Comic Relief]" c="Scarborough - Comic Relief" cp="1">
          <x v="1"/>
        </s>
        <s v="[Local Funder].[Funder].&amp;[York - JRF]" c="York - JRF" cp="1">
          <x v="1"/>
        </s>
        <s v="[Local Funder].[Funder].&amp;[York - Mind]" c="York - Mind" cp="1">
          <x v="1"/>
        </s>
        <s v="[Local Funder].[Funder].&amp;[York - Scottish Power]" c="York - Scottish Power" cp="1">
          <x v="1"/>
        </s>
        <s v="[Local Funder].[Funder].&amp;[York Community Foundation]" c="York Community Foundation" cp="1">
          <x v="1"/>
        </s>
        <s v="[Local Funder].[Funder].&amp;[York GP Surgeries]" c="York GP Surgeries" cp="1">
          <x v="1"/>
        </s>
        <s v="[Local Funder].[Funder].&amp;[York Haxby]" c="York Haxby" cp="1">
          <x v="1"/>
        </s>
        <s v="[Local Funder].[Funder].&amp;[York Housing Debt Project]" c="York Housing Debt Project" cp="1">
          <x v="1"/>
        </s>
        <s v="[Local Funder].[Funder].&amp;[York Huntington]" c="York Huntington" cp="1">
          <x v="1"/>
        </s>
        <s v="[Local Funder].[Funder].&amp;[York Tang Hall]" c="York Tang Hall" cp="1">
          <x v="1"/>
        </s>
        <s v="[Local Funder].[Funder].&amp;[York Travellers]" c="York Travellers" cp="1">
          <x v="1"/>
        </s>
        <s v="[Local Funder].[Funder].&amp;[York Wards]" c="York Wards" cp="1">
          <x v="1"/>
        </s>
        <s v="[Local Funder].[Funder].&amp;[York Wiggington]" c="York Wiggington" cp="1">
          <x v="1"/>
        </s>
      </sharedItems>
      <mpMap v="10"/>
    </cacheField>
    <cacheField name="[Local Funder].[Funder].[Funder].[Funder Type]" caption="Funder Type" propertyName="Funder Type" numFmtId="0" hierarchy="85" level="1" memberPropertyField="1">
      <sharedItems count="2">
        <s v="Not recorded/not applicable"/>
        <s v="Local"/>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 name="Dummy0" numFmtId="0" hierarchy="114" level="32767">
      <extLst>
        <ext xmlns:x14="http://schemas.microsoft.com/office/spreadsheetml/2009/9/main" uri="{63CAB8AC-B538-458d-9737-405883B0398D}">
          <x14:cacheField ignore="1"/>
        </ext>
      </extLst>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2"/>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2" unbalanced="0">
      <fieldsUsage count="2">
        <fieldUsage x="-1"/>
        <fieldUsage x="9"/>
      </fieldsUsage>
    </cacheHierarchy>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1"/>
        <fieldUsage x="12"/>
        <fieldUsage x="13"/>
        <fieldUsage x="14"/>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3"/>
        <fieldUsage x="4"/>
        <fieldUsage x="5"/>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oneField="1">
      <fieldsUsage count="1">
        <fieldUsage x="0"/>
      </fieldsUsage>
    </cacheHierarchy>
    <cacheHierarchy uniqueName="[Measures].[Unique Client Count]" caption="Unique Client Count" measure="1" displayFolder="" measureGroup="Client" count="0" oneField="1">
      <fieldsUsage count="1">
        <fieldUsage x="1"/>
      </fieldsUsage>
    </cacheHierarchy>
    <cacheHierarchy uniqueName="Dummy0" caption="Advice Event Type" measure="1" count="0">
      <extLst>
        <ext xmlns:x14="http://schemas.microsoft.com/office/spreadsheetml/2009/9/main" uri="{8CF416AD-EC4C-4aba-99F5-12A058AE0983}">
          <x14:cacheHierarchy ignore="1"/>
        </ext>
      </extLst>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OnLoad="1" refreshedBy="John Willoughby" refreshedDate="42835.68548078704" backgroundQuery="1" createdVersion="4" refreshedVersion="4" minRefreshableVersion="3" recordCount="0" supportSubquery="1" supportAdvancedDrill="1">
  <cacheSource type="external" connectionId="1"/>
  <cacheFields count="21">
    <cacheField name="[Measures].[Unique Client Count]" caption="Unique Client Count" numFmtId="0" hierarchy="113" level="32767"/>
    <cacheField name="[Advice Event Type].[Advice Event Type].[Advice Event Type]" caption="Advice Event Type" numFmtId="0" level="1">
      <sharedItems containsSemiMixedTypes="0" containsString="0"/>
    </cacheField>
    <cacheField name="[Local Organisation].[Member].[Member]" caption="Member" numFmtId="0" hierarchy="90" level="1">
      <sharedItems containsSemiMixedTypes="0" containsString="0"/>
    </cacheField>
    <cacheField name="[Local Organisation].[Member].[Member].[Government Region]" caption="Government Region" propertyName="Government Region" numFmtId="0" hierarchy="90" level="1" memberPropertyField="1">
      <sharedItems containsSemiMixedTypes="0" containsString="0"/>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Client Geography].[Local Authority].[Local Authority]" caption="Local Authority" numFmtId="0" hierarchy="12" level="1">
      <sharedItems count="42">
        <s v="[Client Geography].[Local Authority].&amp;[Barnsley]" c="Barnsley"/>
        <s v="[Client Geography].[Local Authority].&amp;[Bassetlaw]" c="Bassetlaw"/>
        <s v="[Client Geography].[Local Authority].&amp;[Bradford]" c="Bradford"/>
        <s v="[Client Geography].[Local Authority].&amp;[Cherwell]" c="Cherwell"/>
        <s v="[Client Geography].[Local Authority].&amp;[Cheshire West and Chester]" c="Cheshire West and Chester"/>
        <s v="[Client Geography].[Local Authority].&amp;[Cornwall]" c="Cornwall"/>
        <s v="[Client Geography].[Local Authority].&amp;[County Durham]" c="County Durham"/>
        <s v="[Client Geography].[Local Authority].&amp;[Coventry]" c="Coventry"/>
        <s v="[Client Geography].[Local Authority].&amp;[Craven]" c="Craven"/>
        <s v="[Client Geography].[Local Authority].&amp;[Darlington]" c="Darlington"/>
        <s v="[Client Geography].[Local Authority].&amp;[Doncaster]" c="Doncaster"/>
        <s v="[Client Geography].[Local Authority].&amp;[East Riding of Yorkshire]" c="East Riding of Yorkshire"/>
        <s v="[Client Geography].[Local Authority].&amp;[Gateshead]" c="Gateshead"/>
        <s v="[Client Geography].[Local Authority].&amp;[Hambleton]" c="Hambleton"/>
        <s v="[Client Geography].[Local Authority].&amp;[Harrogate]" c="Harrogate"/>
        <s v="[Client Geography].[Local Authority].&amp;[Hastings]" c="Hastings"/>
        <s v="[Client Geography].[Local Authority].&amp;[Kingston upon Hull, City of]" c="Kingston upon Hull, City of"/>
        <s v="[Client Geography].[Local Authority].&amp;[Leeds]" c="Leeds"/>
        <s v="[Client Geography].[Local Authority].&amp;[Lincoln]" c="Lincoln"/>
        <s v="[Client Geography].[Local Authority].&amp;[Manchester]" c="Manchester"/>
        <s v="[Client Geography].[Local Authority].&amp;[Middlesbrough]" c="Middlesbrough"/>
        <s v="[Client Geography].[Local Authority].&amp;[North East Derbyshire]" c="North East Derbyshire"/>
        <s v="[Client Geography].[Local Authority].&amp;[North Tyneside]" c="North Tyneside"/>
        <s v="[Client Geography].[Local Authority].&amp;[Not recorded/not applicable]" c="Not recorded/not applicable"/>
        <s v="[Client Geography].[Local Authority].&amp;[Oldham]" c="Oldham"/>
        <s v="[Client Geography].[Local Authority].&amp;[Pendle]" c="Pendle"/>
        <s v="[Client Geography].[Local Authority].&amp;[Plymouth]" c="Plymouth"/>
        <s v="[Client Geography].[Local Authority].&amp;[Rhondda Cynon Taf]" c="Rhondda Cynon Taf"/>
        <s v="[Client Geography].[Local Authority].&amp;[Richmond upon Thames]" c="Richmond upon Thames"/>
        <s v="[Client Geography].[Local Authority].&amp;[Richmondshire]" c="Richmondshire"/>
        <s v="[Client Geography].[Local Authority].&amp;[Rochdale]" c="Rochdale"/>
        <s v="[Client Geography].[Local Authority].&amp;[Ryedale]" c="Ryedale"/>
        <s v="[Client Geography].[Local Authority].&amp;[Scarborough]" c="Scarborough"/>
        <s v="[Client Geography].[Local Authority].&amp;[Selby]" c="Selby"/>
        <s v="[Client Geography].[Local Authority].&amp;[Sheffield]" c="Sheffield"/>
        <s v="[Client Geography].[Local Authority].&amp;[Stockton-on-Tees]" c="Stockton-on-Tees"/>
        <s v="[Client Geography].[Local Authority].&amp;[Stroud]" c="Stroud"/>
        <s v="[Client Geography].[Local Authority].&amp;[Sutton]" c="Sutton"/>
        <s v="[Client Geography].[Local Authority].&amp;[Swansea]" c="Swansea"/>
        <s v="[Client Geography].[Local Authority].&amp;[Swindon]" c="Swindon"/>
        <s v="[Client Geography].[Local Authority].&amp;[Wakefield]" c="Wakefield"/>
        <s v="[Client Geography].[Local Authority].&amp;[York]" c="York"/>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 name="Dummy0" numFmtId="0" hierarchy="114" level="32767">
      <extLst>
        <ext xmlns:x14="http://schemas.microsoft.com/office/spreadsheetml/2009/9/main" uri="{63CAB8AC-B538-458d-9737-405883B0398D}">
          <x14:cacheField ignore="1"/>
        </ext>
      </extLst>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1"/>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2" unbalanced="0">
      <fieldsUsage count="2">
        <fieldUsage x="-1"/>
        <fieldUsage x="12"/>
      </fieldsUsage>
    </cacheHierarchy>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3"/>
        <fieldUsage x="14"/>
        <fieldUsage x="15"/>
        <fieldUsage x="16"/>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2" unbalanced="0">
      <fieldsUsage count="2">
        <fieldUsage x="-1"/>
        <fieldUsage x="2"/>
      </fieldsUsage>
    </cacheHierarchy>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4"/>
        <fieldUsage x="5"/>
        <fieldUsage x="6"/>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10"/>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oneField="1">
      <fieldsUsage count="1">
        <fieldUsage x="0"/>
      </fieldsUsage>
    </cacheHierarchy>
    <cacheHierarchy uniqueName="Dummy0" caption="Advice Event Type" measure="1" count="0">
      <extLst>
        <ext xmlns:x14="http://schemas.microsoft.com/office/spreadsheetml/2009/9/main" uri="{8CF416AD-EC4C-4aba-99F5-12A058AE0983}">
          <x14:cacheHierarchy ignore="1"/>
        </ext>
      </extLst>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invalid="1" saveData="0" refreshOnLoad="1" refreshedBy="John Willoughby" refreshedDate="42835.684439699071" backgroundQuery="1" createdVersion="3" refreshedVersion="4" minRefreshableVersion="3" recordCount="0" tupleCache="1" supportSubquery="1" supportAdvancedDrill="1">
  <cacheSource type="external" connectionId="1"/>
  <cacheFields count="8">
    <cacheField name="[Advice Event Type].[Advice Event Type].[Advice Event Type]" caption="Advice Event Type" numFmtId="0" level="1">
      <sharedItems count="4">
        <s v="[Advice Event Type].[Advice Event Type].&amp;[Gateway AIC Creation]" c="Gateway AIC Creation"/>
        <s v="[Advice Event Type].[Advice Event Type].&amp;[Day sheet AIC Creation]" c="Day sheet AIC Creation"/>
        <s v="[Advice Event Type].[Advice Event Type].&amp;[Enquiry AIC/Outcome Creation]" c="Enquiry AIC/Outcome Creation"/>
        <s v="[Advice Event Type].[Advice Event Type].&amp;[BEF AIC Creation]" c="BEF AIC Creation"/>
      </sharedItems>
    </cacheField>
    <cacheField name="[Monthly Calendar].[Financial].[Year]" caption="Year" numFmtId="0" hierarchy="93" level="1">
      <sharedItems count="1">
        <s v="[Monthly Calendar].[Financial].[Year].&amp;[2016-17]" c="2016-17"/>
      </sharedItems>
    </cacheField>
    <cacheField name="[Measures].[MeasuresLevel]" caption="MeasuresLevel" numFmtId="0" hierarchy="92">
      <sharedItems count="2">
        <s v="[Measures].[Number of Advice Events]" c="Number of Advice Events"/>
        <s v="[Measures].[Unique Client Count]" c="Unique Client Count"/>
      </sharedItems>
    </cacheField>
    <cacheField name="[AIC Outcome].[AIC Part1].[AIC Part1]" caption="AIC Part1" numFmtId="0" hierarchy="2" level="1">
      <sharedItems count="16">
        <s v="[AIC Outcome].[AIC Part1].&amp;[Debt]" c="Debt"/>
        <s v="[AIC Outcome].[AIC Part1].&amp;[Financial services &amp; capability]" c="Financial services &amp; capability"/>
        <s v="[AIC Outcome].[AIC Part1].&amp;[Benefits &amp; tax credits]" c="Benefits &amp; tax credits"/>
        <s v="[AIC Outcome].[AIC Part1].&amp;[Employment]" c="Employment"/>
        <s v="[AIC Outcome].[AIC Part1].&amp;[Tax]" c="Tax"/>
        <s v="[AIC Outcome].[AIC Part1].&amp;[Relationships &amp; family]" c="Relationships &amp; family"/>
        <s v="[AIC Outcome].[AIC Part1].&amp;[Consumer goods &amp; services]" c="Consumer goods &amp; services"/>
        <s v="[AIC Outcome].[AIC Part1].&amp;[Travel &amp; transport]" c="Travel &amp; transport"/>
        <s v="[AIC Outcome].[AIC Part1].&amp;[Education]" c="Education"/>
        <s v="[AIC Outcome].[AIC Part1].&amp;[Housing]" c="Housing"/>
        <s v="[AIC Outcome].[AIC Part1].&amp;[Health &amp; community care]" c="Health &amp; community care"/>
        <s v="[AIC Outcome].[AIC Part1].&amp;[Utilities &amp; communications]" c="Utilities &amp; communications"/>
        <s v="[AIC Outcome].[AIC Part1].&amp;[Legal]" c="Legal"/>
        <s v="[AIC Outcome].[AIC Part1].&amp;[Other]" c="Other"/>
        <s v="[AIC Outcome].[AIC Part1].&amp;[Immigration &amp; asylum]" c="Immigration &amp; asylum"/>
        <s v="[AIC Outcome].[AIC Part1].&amp;[Not recorded/not applicable]" c="Not recorded/not applicable"/>
      </sharedItems>
    </cacheField>
    <cacheField name="[AIC Outcome].[AIC Part2].[AIC Part2]" caption="AIC Part2" numFmtId="0" hierarchy="3" level="1">
      <sharedItems count="223">
        <s v="[AIC Outcome].[AIC Part2].&amp;[Financial services &amp; capability]&amp;[01 Discrimination]" c="01 Discrimination"/>
        <s v="[AIC Outcome].[AIC Part2].&amp;[Employment]&amp;[99 Other]" c="99 Other"/>
        <s v="[AIC Outcome].[AIC Part2].&amp;[Housing]&amp;[08 Private sector rented property]" c="08 Private sector rented property"/>
        <s v="[AIC Outcome].[AIC Part2].&amp;[Relationships &amp; family]&amp;[06 Divorce, separation, dissolution]" c="06 Divorce, separation, dissolution"/>
        <s v="[AIC Outcome].[AIC Part2].&amp;[Utilities &amp; communications]&amp;[01 Discrimination]" c="01 Discrimination"/>
        <s v="[AIC Outcome].[AIC Part2].&amp;[Legal]&amp;[11 Personal-related court proceedings]" c="11 Personal-related court proceedings"/>
        <s v="[AIC Outcome].[AIC Part2].&amp;[Travel &amp; transport]&amp;[01 Discrimination]" c="01 Discrimination"/>
        <s v="[AIC Outcome].[AIC Part2].&amp;[Benefits &amp; tax credits]&amp;[03 Pension Credit]" c="03 Pension Credit"/>
        <s v="[AIC Outcome].[AIC Part2].&amp;[Financial services &amp; capability]&amp;[13 Buildings &amp; house contents insurance]" c="13 Buildings &amp; house contents insurance"/>
        <s v="[AIC Outcome].[AIC Part2].&amp;[Benefits &amp; tax credits]&amp;[05 Social Fund Loans-Budgeting]" c="05 Social Fund Loans-Budgeting"/>
        <s v="[AIC Outcome].[AIC Part2].&amp;[Debt]&amp;[13 Credit, store &amp; charge card debts]" c="13 Credit, store &amp; charge card debts"/>
        <s v="[AIC Outcome].[AIC Part2].&amp;[Relationships &amp; family]&amp;[Not recorded/not applicable]" c="Not recorded/not applicable"/>
        <s v="[AIC Outcome].[AIC Part2].&amp;[Benefits &amp; tax credits]&amp;[24 Benefit cap]" c="24 Benefit cap"/>
        <s v="[AIC Outcome].[AIC Part2].&amp;[Debt]&amp;[41 Private Bailiffs]" c="41 Private Bailiffs"/>
        <s v="[AIC Outcome].[AIC Part2].&amp;[Legal]&amp;[06 Solicitors/barristers]" c="06 Solicitors/barristers"/>
        <s v="[AIC Outcome].[AIC Part2].&amp;[Relationships &amp; family]&amp;[07 Children]" c="07 Children"/>
        <s v="[AIC Outcome].[AIC Part2].&amp;[Housing]&amp;[07 Housing association property]" c="07 Housing association property"/>
        <s v="[AIC Outcome].[AIC Part2].&amp;[Debt]&amp;[03 County &amp; High Court proceedings]" c="03 County &amp; High Court proceedings"/>
        <s v="[AIC Outcome].[AIC Part2].&amp;[Consumer goods &amp; services]&amp;[01 Discrimination]" c="01 Discrimination"/>
        <s v="[AIC Outcome].[AIC Part2].&amp;[Health &amp; community care]&amp;[Not recorded/not applicable]" c="Not recorded/not applicable"/>
        <s v="[AIC Outcome].[AIC Part2].&amp;[Travel &amp; transport]&amp;[02 Public transport]" c="02 Public transport"/>
        <s v="[AIC Outcome].[AIC Part2].&amp;[Benefits &amp; tax credits]&amp;[19 Employment Support Allowance]" c="19 Employment Support Allowance"/>
        <s v="[AIC Outcome].[AIC Part2].&amp;[Housing]&amp;[02 Fuel (gas, electricity, oil, coal etc.)]" c="02 Fuel (gas, electricity, oil, coal etc.)"/>
        <s v="[AIC Outcome].[AIC Part2].&amp;[Consumer goods &amp; services]&amp;[13 Vehicle repairs/servicing]" c="13 Vehicle repairs/servicing"/>
        <s v="[AIC Outcome].[AIC Part2].&amp;[Immigration &amp; asylum]&amp;[04 Family, dependents &amp; partners]" c="04 Family, dependents &amp; partners"/>
        <s v="[AIC Outcome].[AIC Part2].&amp;[Benefits &amp; tax credits]&amp;[06 SF Community Care grants]" c="06 SF Community Care grants"/>
        <s v="[AIC Outcome].[AIC Part2].&amp;[Debt]&amp;[50 Bankruptcy]" c="50 Bankruptcy"/>
        <s v="[AIC Outcome].[AIC Part2].&amp;[Immigration &amp; asylum]&amp;[09 Failed asylum seekers]" c="09 Failed asylum seekers"/>
        <s v="[AIC Outcome].[AIC Part2].&amp;[Legal]&amp;[99 Other]" c="99 Other"/>
        <s v="[AIC Outcome].[AIC Part2].&amp;[Consumer goods &amp; services]&amp;[99 Other goods &amp; services]" c="99 Other goods &amp; services"/>
        <s v="[AIC Outcome].[AIC Part2].&amp;[Education]&amp;[03 Schools, non-advanced education]" c="03 Schools, non-advanced education"/>
        <s v="[AIC Outcome].[AIC Part2].&amp;[Relationships &amp; family]&amp;[04 Family, dependents &amp; partners]" c="04 Family, dependents &amp; partners"/>
        <s v="[AIC Outcome].[AIC Part2].&amp;[Travel &amp; transport]&amp;[08 Passports]" c="08 Passports"/>
        <s v="[AIC Outcome].[AIC Part2].&amp;[Consumer goods &amp; services]&amp;[05 Furnishings &amp; floor coverings]" c="05 Furnishings &amp; floor coverings"/>
        <s v="[AIC Outcome].[AIC Part2].&amp;[Debt]&amp;[06 Rent arrears - LAs or ALMOs]" c="06 Rent arrears - LAs or ALMOs"/>
        <s v="[AIC Outcome].[AIC Part2].&amp;[Debt]&amp;[51 Other legal remedies]" c="51 Other legal remedies"/>
        <s v="[AIC Outcome].[AIC Part2].&amp;[Financial services &amp; capability]&amp;[04 Mortgages &amp; secured loans]" c="04 Mortgages &amp; secured loans"/>
        <s v="[AIC Outcome].[AIC Part2].&amp;[Debt]&amp;[22 Payday loan debts]" c="22 Payday loan debts"/>
        <s v="[AIC Outcome].[AIC Part2].&amp;[Benefits &amp; tax credits]&amp;[14 Incapacity Benefit]" c="14 Incapacity Benefit"/>
        <s v="[AIC Outcome].[AIC Part2].&amp;[Benefits &amp; tax credits]&amp;[02 Income Tax]" c="02 Income Tax"/>
        <s v="[AIC Outcome].[AIC Part2].&amp;[Consumer goods &amp; services]&amp;[06 Electrical appliances &amp; repairs]" c="06 Electrical appliances &amp; repairs"/>
        <s v="[AIC Outcome].[AIC Part2].&amp;[Employment]&amp;[06 Health &amp; Safety]" c="06 Health &amp; Safety"/>
        <s v="[AIC Outcome].[AIC Part2].&amp;[Immigration &amp; asylum]&amp;[03 Refugees]" c="03 Refugees"/>
        <s v="[AIC Outcome].[AIC Part2].&amp;[Other]&amp;[04 Elected Representatives]" c="04 Elected Representatives"/>
        <s v="[AIC Outcome].[AIC Part2].&amp;[Benefits &amp; tax credits]&amp;[10 Working &amp; Child Tax Credits]" c="10 Working &amp; Child Tax Credits"/>
        <s v="[AIC Outcome].[AIC Part2].&amp;[Housing]&amp;[01 Discrimination]" c="01 Discrimination"/>
        <s v="[AIC Outcome].[AIC Part2].&amp;[Benefits &amp; tax credits]&amp;[12 National Insurance]" c="12 National Insurance"/>
        <s v="[AIC Outcome].[AIC Part2].&amp;[Consumer goods &amp; services]&amp;[11 New vehicles]" c="11 New vehicles"/>
        <s v="[AIC Outcome].[AIC Part2].&amp;[Tax]&amp;[99 Other Tax Issues]" c="99 Other Tax Issues"/>
        <s v="[AIC Outcome].[AIC Part2].&amp;[Education]&amp;[04 Further Education/6th form colleges]" c="04 Further Education/6th form colleges"/>
        <s v="[AIC Outcome].[AIC Part2].&amp;[Health &amp; community care]&amp;[03 Hospital Services (non-MH)]" c="03 Hospital Services (non-MH)"/>
        <s v="[AIC Outcome].[AIC Part2].&amp;[Debt]&amp;[40 3rd party debt collection excl. bailiffs]" c="40 3rd party debt collection excl. bailiffs"/>
        <s v="[AIC Outcome].[AIC Part2].&amp;[Health &amp; community care]&amp;[80 Health Watch - General]" c="80 Health Watch - General"/>
        <s v="[AIC Outcome].[AIC Part2].&amp;[Other]&amp;[05 Animals]" c="05 Animals"/>
        <s v="[AIC Outcome].[AIC Part2].&amp;[Other]&amp;[03 Elections &amp; Electoral Roll]" c="03 Elections &amp; Electoral Roll"/>
        <s v="[AIC Outcome].[AIC Part2].&amp;[Utilities &amp; communications]&amp;[03 Water &amp; sewerage]" c="03 Water &amp; sewerage"/>
        <s v="[AIC Outcome].[AIC Part2].&amp;[Financial services &amp; capability]&amp;[17 Credit Reference Agencies]" c="17 Credit Reference Agencies"/>
        <s v="[AIC Outcome].[AIC Part2].&amp;[Benefits &amp; tax credits]&amp;[99 Other benefits issues]" c="99 Other benefits issues"/>
        <s v="[AIC Outcome].[AIC Part2].&amp;[Immigration &amp; asylum]&amp;[99 Other issues]" c="99 Other issues"/>
        <s v="[AIC Outcome].[AIC Part2].&amp;[Debt]&amp;[18 Overpayments of WTC &amp; CTC]" c="18 Overpayments of WTC &amp; CTC"/>
        <s v="[AIC Outcome].[AIC Part2].&amp;[Legal]&amp;[02 Magistrates Court proceedings]" c="02 Magistrates Court proceedings"/>
        <s v="[AIC Outcome].[AIC Part2].&amp;[Housing]&amp;[05 Access to &amp; provision of accomm.]" c="05 Access to &amp; provision of accomm."/>
        <s v="[AIC Outcome].[AIC Part2].&amp;[Consumer goods &amp; services]&amp;[10 Disability aids &amp; adaptations]" c="10 Disability aids &amp; adaptations"/>
        <s v="[AIC Outcome].[AIC Part2].&amp;[Housing]&amp;[Not recorded/not applicable]" c="Not recorded/not applicable"/>
        <s v="[AIC Outcome].[AIC Part2].&amp;[Benefits &amp; tax credits]&amp;[01 Discrimination]" c="01 Discrimination"/>
        <s v="[AIC Outcome].[AIC Part2].&amp;[Consumer goods &amp; services]&amp;[08 Clothing &amp; footwear]" c="08 Clothing &amp; footwear"/>
        <s v="[AIC Outcome].[AIC Part2].&amp;[Health &amp; community care]&amp;[10 NHS costs/charges]" c="10 NHS costs/charges"/>
        <s v="[AIC Outcome].[AIC Part2].&amp;[Consumer goods &amp; services]&amp;[Not recorded/not applicable]" c="Not recorded/not applicable"/>
        <s v="[AIC Outcome].[AIC Part2].&amp;[Housing]&amp;[99 Other housing issues]" c="99 Other housing issues"/>
        <s v="[AIC Outcome].[AIC Part2].&amp;[Legal]&amp;[07 Police]" c="07 Police"/>
        <s v="[AIC Outcome].[AIC Part2].&amp;[Travel &amp; transport]&amp;[07 Timeshare &amp; Vacation Clubs]" c="07 Timeshare &amp; Vacation Clubs"/>
        <s v="[AIC Outcome].[AIC Part2].&amp;[Employment]&amp;[04 Applying for jobs]" c="04 Applying for jobs"/>
        <s v="[AIC Outcome].[AIC Part2].&amp;[Debt]&amp;[03 Council Tax]" c="03 Council Tax"/>
        <s v="[AIC Outcome].[AIC Part2].&amp;[Relationships &amp; family]&amp;[05 Social Services &amp; support]" c="05 Social Services &amp; support"/>
        <s v="[AIC Outcome].[AIC Part2].&amp;[Travel &amp; transport]&amp;[03 Driving]" c="03 Driving"/>
        <s v="[AIC Outcome].[AIC Part2].&amp;[Consumer goods &amp; services]&amp;[19 Green Deal energy efficiency measures]" c="19 Green Deal energy efficiency measures"/>
        <s v="[AIC Outcome].[AIC Part2].&amp;[Financial services &amp; capability]&amp;[18 Personal Pensions]" c="18 Personal Pensions"/>
        <s v="[AIC Outcome].[AIC Part2].&amp;[Debt]&amp;[21 Social Fund debts]" c="21 Social Fund debts"/>
        <s v="[AIC Outcome].[AIC Part2].&amp;[Consumer goods &amp; services]&amp;[02 Fuel (gas, electricity, oil, coal etc.)]" c="02 Fuel (gas, electricity, oil, coal etc.)"/>
        <s v="[AIC Outcome].[AIC Part2].&amp;[Benefits &amp; tax credits]&amp;[09 Council Tax Benefit]" c="09 Council Tax Benefit"/>
        <s v="[AIC Outcome].[AIC Part2].&amp;[Employment]&amp;[10 Resignation]" c="10 Resignation"/>
        <s v="[AIC Outcome].[AIC Part2].&amp;[Benefits &amp; tax credits]&amp;[17 Attendance Allowance]" c="17 Attendance Allowance"/>
        <s v="[AIC Outcome].[AIC Part2].&amp;[Utilities &amp; communications]&amp;[05 Mobile phones]" c="05 Mobile phones"/>
        <s v="[AIC Outcome].[AIC Part2].&amp;[Legal]&amp;[09 Compensation Redress]" c="09 Compensation Redress"/>
        <s v="[AIC Outcome].[AIC Part2].&amp;[Employment]&amp;[11 Dismissal]" c="11 Dismissal"/>
        <s v="[AIC Outcome].[AIC Part2].&amp;[Consumer goods &amp; services]&amp;[16 Competitions &amp; prize draws]" c="16 Competitions &amp; prize draws"/>
        <s v="[AIC Outcome].[AIC Part2].&amp;[Housing]&amp;[03 Threatened homelessness]" c="03 Threatened homelessness"/>
        <s v="[AIC Outcome].[AIC Part2].&amp;[Legal]&amp;[04 Family, dependents &amp; partners]" c="04 Family, dependents &amp; partners"/>
        <s v="[AIC Outcome].[AIC Part2].&amp;[Consumer goods &amp; services]&amp;[04 Double glazing &amp; associated products]" c="04 Double glazing &amp; associated products"/>
        <s v="[AIC Outcome].[AIC Part2].&amp;[Utilities &amp; communications]&amp;[06 TV including cable, digital &amp; satellite]" c="06 TV including cable, digital &amp; satellite"/>
        <s v="[AIC Outcome].[AIC Part2].&amp;[Consumer goods &amp; services]&amp;[14 Food &amp; Drink]" c="14 Food &amp; Drink"/>
        <s v="[AIC Outcome].[AIC Part2].&amp;[Employment]&amp;[03 Self Employment/Business]" c="03 Self Employment/Business"/>
        <s v="[AIC Outcome].[AIC Part2].&amp;[Financial services &amp; capability]&amp;[11 Holiday/travel insurance]" c="11 Holiday/travel insurance"/>
        <s v="[AIC Outcome].[AIC Part2].&amp;[Tax]&amp;[02 Income Tax]" c="02 Income Tax"/>
        <s v="[AIC Outcome].[AIC Part2].&amp;[Legal]&amp;[08 Victims of crime]" c="08 Victims of crime"/>
        <s v="[AIC Outcome].[AIC Part2].&amp;[Debt]&amp;[49 Debt Relief Order]" c="49 Debt Relief Order"/>
        <s v="[AIC Outcome].[AIC Part2].&amp;[Benefits &amp; tax credits]&amp;[13 State Retirement Pension]" c="13 State Retirement Pension"/>
        <s v="[AIC Outcome].[AIC Part2].&amp;[Tax]&amp;[Not recorded/not applicable]" c="Not recorded/not applicable"/>
        <s v="[AIC Outcome].[AIC Part2].&amp;[Health &amp; community care]&amp;[09 Dentists]" c="09 Dentists"/>
        <s v="[AIC Outcome].[AIC Part2].&amp;[Benefits &amp; tax credits]&amp;[25 Welfare reform benefit loss]" c="25 Welfare reform benefit loss"/>
        <s v="[AIC Outcome].[AIC Part2].&amp;[Debt]&amp;[12 Bank &amp; building society overdrafts]" c="12 Bank &amp; building society overdrafts"/>
        <s v="[AIC Outcome].[AIC Part2].&amp;[Benefits &amp; tax credits]&amp;[02 Actual homelessness]" c="02 Actual homelessness"/>
        <s v="[AIC Outcome].[AIC Part2].&amp;[Education]&amp;[01 Discrimination]" c="01 Discrimination"/>
        <s v="[AIC Outcome].[AIC Part2].&amp;[Tax]&amp;[01 Discrimination]" c="01 Discrimination"/>
        <s v="[AIC Outcome].[AIC Part2].&amp;[Health &amp; community care]&amp;[82 Health Watch - Social Care Service]" c="82 Health Watch - Social Care Service"/>
        <s v="[AIC Outcome].[AIC Part2].&amp;[Legal]&amp;[03 County &amp; High Court proceedings]" c="03 County &amp; High Court proceedings"/>
        <s v="[AIC Outcome].[AIC Part2].&amp;[Financial services &amp; capability]&amp;[14 Life Insurance]" c="14 Life Insurance"/>
        <s v="[AIC Outcome].[AIC Part2].&amp;[Benefits &amp; tax credits]&amp;[18 Carers Allowance]" c="18 Carers Allowance"/>
        <s v="[AIC Outcome].[AIC Part2].&amp;[Debt]&amp;[99 Other]" c="99 Other"/>
        <s v="[AIC Outcome].[AIC Part2].&amp;[Education]&amp;[06 Adult education]" c="06 Adult education"/>
        <s v="[AIC Outcome].[AIC Part2].&amp;[Financial services &amp; capability]&amp;[10 Payment protection insurance]" c="10 Payment protection insurance"/>
        <s v="[AIC Outcome].[AIC Part2].&amp;[Immigration &amp; asylum]&amp;[02 Asylum seekers]" c="02 Asylum seekers"/>
        <s v="[AIC Outcome].[AIC Part2].&amp;[Education]&amp;[05 Higher Education]" c="05 Higher Education"/>
        <s v="[AIC Outcome].[AIC Part2].&amp;[Benefits &amp; tax credits]&amp;[03 Council Tax]" c="03 Council Tax"/>
        <s v="[AIC Outcome].[AIC Part2].&amp;[Benefits &amp; tax credits]&amp;[04 Social Fund Loans-Crisis]" c="04 Social Fund Loans-Crisis"/>
        <s v="[AIC Outcome].[AIC Part2].&amp;[Immigration &amp; asylum]&amp;[06 Workers]" c="06 Workers"/>
        <s v="[AIC Outcome].[AIC Part2].&amp;[Consumer goods &amp; services]&amp;[03 Building repairs &amp; improvements]" c="03 Building repairs &amp; improvements"/>
        <s v="[AIC Outcome].[AIC Part2].&amp;[Relationships &amp; family]&amp;[01 Discrimination]" c="01 Discrimination"/>
        <s v="[AIC Outcome].[AIC Part2].&amp;[Immigration &amp; asylum]&amp;[01 Discrimination]" c="01 Discrimination"/>
        <s v="[AIC Outcome].[AIC Part2].&amp;[Utilities &amp; communications]&amp;[02 Fuel (gas, electricity, oil, coal etc.)]" c="02 Fuel (gas, electricity, oil, coal etc.)"/>
        <s v="[AIC Outcome].[AIC Part2].&amp;[Health &amp; community care]&amp;[07 Community Care (non-MH)]" c="07 Community Care (non-MH)"/>
        <s v="[AIC Outcome].[AIC Part2].&amp;[Other]&amp;[99 Other]" c="99 Other"/>
        <s v="[AIC Outcome].[AIC Part2].&amp;[Financial services &amp; capability]&amp;[99 Other credit, fin. &amp; insurance issues]" c="99 Other credit, fin. &amp; insurance issues"/>
        <s v="[AIC Outcome].[AIC Part2].&amp;[Relationships &amp; family]&amp;[10 Death &amp; Bereavement]" c="10 Death &amp; Bereavement"/>
        <s v="[AIC Outcome].[AIC Part2].&amp;[Education]&amp;[99 Other education issues]" c="99 Other education issues"/>
        <s v="[AIC Outcome].[AIC Part2].&amp;[Housing]&amp;[06 Local Authority housing]" c="06 Local Authority housing"/>
        <s v="[AIC Outcome].[AIC Part2].&amp;[Housing]&amp;[02 Actual homelessness]" c="02 Actual homelessness"/>
        <s v="[AIC Outcome].[AIC Part2].&amp;[Legal]&amp;[Not recorded/not applicable]" c="Not recorded/not applicable"/>
        <s v="[AIC Outcome].[AIC Part2].&amp;[Debt]&amp;[15 Catalogue &amp; mail order debts]" c="15 Catalogue &amp; mail order debts"/>
        <s v="[AIC Outcome].[AIC Part2].&amp;[Debt]&amp;[16 Water supply &amp; sewerage debts]" c="16 Water supply &amp; sewerage debts"/>
        <s v="[AIC Outcome].[AIC Part2].&amp;[Health &amp; community care]&amp;[99 Other health &amp; community care issues]" c="99 Other health &amp; community care issues"/>
        <s v="[AIC Outcome].[AIC Part2].&amp;[Employment]&amp;[02 Schemes for the unemployed]" c="02 Schemes for the unemployed"/>
        <s v="[AIC Outcome].[AIC Part2].&amp;[Debt]&amp;[Not recorded/not applicable]" c="Not recorded/not applicable"/>
        <s v="[AIC Outcome].[AIC Part2].&amp;[Other]&amp;[02 Census]" c="02 Census"/>
        <s v="[AIC Outcome].[AIC Part2].&amp;[Legal]&amp;[01 Discrimination]" c="01 Discrimination"/>
        <s v="[AIC Outcome].[AIC Part2].&amp;[Consumer goods &amp; services]&amp;[17 Fraud and scams]" c="17 Fraud and scams"/>
        <s v="[AIC Outcome].[AIC Part2].&amp;[Debt]&amp;[07 Rent arrears -  housing associations]" c="07 Rent arrears -  housing associations"/>
        <s v="[AIC Outcome].[AIC Part2].&amp;[Debt]&amp;[04 Fuel debts]" c="04 Fuel debts"/>
        <s v="[AIC Outcome].[AIC Part2].&amp;[Debt]&amp;[03 Credit/store/charge cards]" c="03 Credit/store/charge cards"/>
        <s v="[AIC Outcome].[AIC Part2].&amp;[Employment]&amp;[08  Parental &amp; Carers rights]" c="08  Parental &amp; Carers rights"/>
        <s v="[AIC Outcome].[AIC Part2].&amp;[Financial services &amp; capability]&amp;[21 Claims management services]" c="21 Claims management services"/>
        <s v="[AIC Outcome].[AIC Part2].&amp;[Debt]&amp;[05 Telephone &amp; broadband debts]" c="05 Telephone &amp; broadband debts"/>
        <s v="[AIC Outcome].[AIC Part2].&amp;[Other]&amp;[07 Charitable support]" c="07 Charitable support"/>
        <s v="[AIC Outcome].[AIC Part2].&amp;[Housing]&amp;[03 County &amp; High Court proceedings]" c="03 County &amp; High Court proceedings"/>
        <s v="[AIC Outcome].[AIC Part2].&amp;[Health &amp; community care]&amp;[01 Discrimination]" c="01 Discrimination"/>
        <s v="[AIC Outcome].[AIC Part2].&amp;[Benefits &amp; tax credits]&amp;[20 Universal credit]" c="20 Universal credit"/>
        <s v="[AIC Outcome].[AIC Part2].&amp;[Other]&amp;[01 Discrimination]" c="01 Discrimination"/>
        <s v="[AIC Outcome].[AIC Part2].&amp;[Benefits &amp; tax credits]&amp;[02 Income Support]" c="02 Income Support"/>
        <s v="[AIC Outcome].[AIC Part2].&amp;[Relationships &amp; family]&amp;[03 Domestic violence]" c="03 Domestic violence"/>
        <s v="[AIC Outcome].[AIC Part2].&amp;[Legal]&amp;[05 Legal aid]" c="05 Legal aid"/>
        <s v="[AIC Outcome].[AIC Part2].&amp;[Benefits &amp; tax credits]&amp;[11 Jobseekers Allowance]" c="11 Jobseekers Allowance"/>
        <s v="[AIC Outcome].[AIC Part2].&amp;[Benefits &amp; tax credits]&amp;[22 Localised social welfare]" c="22 Localised social welfare"/>
        <s v="[AIC Outcome].[AIC Part2].&amp;[Legal]&amp;[04 Crown Court proceedings]" c="04 Crown Court proceedings"/>
        <s v="[AIC Outcome].[AIC Part2].&amp;[Tax]&amp;[03 Council Tax]" c="03 Council Tax"/>
        <s v="[AIC Outcome].[AIC Part2].&amp;[Relationships &amp; family]&amp;[99 Other]" c="99 Other"/>
        <s v="[AIC Outcome].[AIC Part2].&amp;[Other]&amp;[Not recorded/not applicable]" c="Not recorded/not applicable"/>
        <s v="[AIC Outcome].[AIC Part2].&amp;[Benefits &amp; tax credits]&amp;[16 DLA-Mobility Component]" c="16 DLA-Mobility Component"/>
        <s v="[AIC Outcome].[AIC Part2].&amp;[Financial services &amp; capability]&amp;[08 Financial advisers/brokers/intermeds.]" c="08 Financial advisers/brokers/intermeds."/>
        <s v="[AIC Outcome].[AIC Part2].&amp;[Housing]&amp;[04 LA homelessness service]" c="04 LA homelessness service"/>
        <s v="[AIC Outcome].[AIC Part2].&amp;[Debt]&amp;[14 Unsecured personal loan debts]" c="14 Unsecured personal loan debts"/>
        <s v="[AIC Outcome].[AIC Part2].&amp;[Benefits &amp; tax credits]&amp;[21 Personal independence payment]" c="21 Personal independence payment"/>
        <s v="[AIC Outcome].[AIC Part2].&amp;[Financial services &amp; capability]&amp;[03 Credit/store/charge cards]" c="03 Credit/store/charge cards"/>
        <s v="[AIC Outcome].[AIC Part2].&amp;[Travel &amp; transport]&amp;[05 Parking &amp; Congestion]" c="05 Parking &amp; Congestion"/>
        <s v="[AIC Outcome].[AIC Part2].&amp;[Employment]&amp;[01 Discrimination]" c="01 Discrimination"/>
        <s v="[AIC Outcome].[AIC Part2].&amp;[Debt]&amp;[02 Mortgage &amp; secured loan arrears]" c="02 Mortgage &amp; secured loan arrears"/>
        <s v="[AIC Outcome].[AIC Part2].&amp;[Employment]&amp;[13 Employment tribunals &amp; appeals]" c="13 Employment tribunals &amp; appeals"/>
        <s v="[AIC Outcome].[AIC Part2].&amp;[Immigration &amp; asylum]&amp;[05 Visitors]" c="05 Visitors"/>
        <s v="[AIC Outcome].[AIC Part2].&amp;[Health &amp; community care]&amp;[83 Health Watch - Other Service]" c="83 Health Watch - Other Service"/>
        <s v="[AIC Outcome].[AIC Part2].&amp;[Financial services &amp; capability]&amp;[12 Vehicle insurance]" c="12 Vehicle insurance"/>
        <s v="[AIC Outcome].[AIC Part2].&amp;[Consumer goods &amp; services]&amp;[02 Private sales &amp; internet auctions]" c="02 Private sales &amp; internet auctions"/>
        <s v="[AIC Outcome].[AIC Part2].&amp;[Travel &amp; transport]&amp;[06 Package holidays]" c="06 Package holidays"/>
        <s v="[AIC Outcome].[AIC Part2].&amp;[Financial services &amp; capability]&amp;[05 Loans - unsecured]" c="05 Loans - unsecured"/>
        <s v="[AIC Outcome].[AIC Part2].&amp;[Travel &amp; transport]&amp;[Not recorded/not applicable]" c="Not recorded/not applicable"/>
        <s v="[AIC Outcome].[AIC Part2].&amp;[Health &amp; community care]&amp;[81 Health Watch - Hospital Service]" c="81 Health Watch - Hospital Service"/>
        <s v="[AIC Outcome].[AIC Part2].&amp;[Travel &amp; transport]&amp;[09 Parking on private land]" c="09 Parking on private land"/>
        <s v="[AIC Outcome].[AIC Part2].&amp;[Health &amp; community care]&amp;[84 Health Watch - Childrens Services]" c="84 Health Watch - Childrens Services"/>
        <s v="[AIC Outcome].[AIC Part2].&amp;[Consumer goods &amp; services]&amp;[09 Personal Development Courses (incl IT)]" c="09 Personal Development Courses (incl IT)"/>
        <s v="[AIC Outcome].[AIC Part2].&amp;[Debt]&amp;[20 Overpts. Housing &amp; Council Tax Bens.]" c="20 Overpts. Housing &amp; Council Tax Bens."/>
        <s v="[AIC Outcome].[AIC Part2].&amp;[Financial services &amp; capability]&amp;[20 Financial capability]" c="20 Financial capability"/>
        <s v="[AIC Outcome].[AIC Part2].&amp;[Consumer goods &amp; services]&amp;[03 County &amp; High Court proceedings]" c="03 County &amp; High Court proceedings"/>
        <s v="[AIC Outcome].[AIC Part2].&amp;[Financial services &amp; capability]&amp;[19 Savings and investments]" c="19 Savings and investments"/>
        <s v="[AIC Outcome].[AIC Part2].&amp;[Travel &amp; transport]&amp;[99 Other travel, transport &amp; holiday]" c="99 Other travel, transport &amp; holiday"/>
        <s v="[AIC Outcome].[AIC Part2].&amp;[Benefits &amp; tax credits]&amp;[08 Child Benefit]" c="08 Child Benefit"/>
        <s v="[AIC Outcome].[AIC Part2].&amp;[Immigration &amp; asylum]&amp;[08 Nationality/citizenship]" c="08 Nationality/citizenship"/>
        <s v="[AIC Outcome].[AIC Part2].&amp;[Financial services &amp; capability]&amp;[7 Pensions, savings &amp; investments]" c="7 Pensions, savings &amp; investments"/>
        <s v="[AIC Outcome].[AIC Part2].&amp;[Housing]&amp;[03 Building repairs &amp; improvements]" c="03 Building repairs &amp; improvements"/>
        <s v="[AIC Outcome].[AIC Part2].&amp;[Utilities &amp; communications]&amp;[99 Other communications &amp; utility issues]" c="99 Other communications &amp; utility issues"/>
        <s v="[AIC Outcome].[AIC Part2].&amp;[Debt]&amp;[05 Loans - unsecured]" c="05 Loans - unsecured"/>
        <s v="[AIC Outcome].[AIC Part2].&amp;[Debt]&amp;[08 Rent arrears - private landlords]" c="08 Rent arrears - private landlords"/>
        <s v="[AIC Outcome].[AIC Part2].&amp;[Benefits &amp; tax credits]&amp;[Not recorded/not applicable]" c="Not recorded/not applicable"/>
        <s v="[AIC Outcome].[AIC Part2].&amp;[Relationships &amp; family]&amp;[11 Certificates &amp; proofs of identity]" c="11 Certificates &amp; proofs of identity"/>
        <s v="[AIC Outcome].[AIC Part2].&amp;[Utilities &amp; communications]&amp;[07 Internet &amp; broadband]" c="07 Internet &amp; broadband"/>
        <s v="[AIC Outcome].[AIC Part2].&amp;[Financial services &amp; capability]&amp;[Not recorded/not applicable]" c="Not recorded/not applicable"/>
        <s v="[AIC Outcome].[AIC Part2].&amp;[Debt]&amp;[02 Bank/Building &amp; P/O Accounts]" c="02 Bank/Building &amp; P/O Accounts"/>
        <s v="[AIC Outcome].[AIC Part2].&amp;[Employment]&amp;[12 Redundancy]" c="12 Redundancy"/>
        <s v="[AIC Outcome].[AIC Part2].&amp;[Health &amp; community care]&amp;[06 Residential Care]" c="06 Residential Care"/>
        <s v="[AIC Outcome].[AIC Part2].&amp;[Legal]&amp;[03 Driving]" c="03 Driving"/>
        <s v="[AIC Outcome].[AIC Part2].&amp;[Debt]&amp;[10 Mag. Cts. - fines &amp; comp.ord. arrears]" c="10 Mag. Cts. - fines &amp; comp.ord. arrears"/>
        <s v="[AIC Outcome].[AIC Part2].&amp;[Financial services &amp; capability]&amp;[02 Bank/Building &amp; P/O Accounts]" c="02 Bank/Building &amp; P/O Accounts"/>
        <s v="[AIC Outcome].[AIC Part2].&amp;[Health &amp; community care]&amp;[08 Community Care - Mental Health]" c="08 Community Care - Mental Health"/>
        <s v="[AIC Outcome].[AIC Part2].&amp;[Employment]&amp;[09 Dispute resolution]" c="09 Dispute resolution"/>
        <s v="[AIC Outcome].[AIC Part2].&amp;[Health &amp; community care]&amp;[05 General Medical Practice]" c="05 General Medical Practice"/>
        <s v="[AIC Outcome].[AIC Part2].&amp;[Employment]&amp;[05 Terms &amp; Conditions of Employment]" c="05 Terms &amp; Conditions of Employment"/>
        <s v="[AIC Outcome].[AIC Part2].&amp;[Education]&amp;[Not recorded/not applicable]" c="Not recorded/not applicable"/>
        <s v="[AIC Outcome].[AIC Part2].&amp;[Employment]&amp;[07 Pay &amp; Entitlements]" c="07 Pay &amp; Entitlements"/>
        <s v="[AIC Outcome].[AIC Part2].&amp;[Immigration &amp; asylum]&amp;[07 Students]" c="07 Students"/>
        <s v="[AIC Outcome].[AIC Part2].&amp;[Consumer goods &amp; services]&amp;[18 Energy company obligation (ECO)]" c="18 Energy company obligation (ECO)"/>
        <s v="[AIC Outcome].[AIC Part2].&amp;[Debt]&amp;[01 Discrimination]" c="01 Discrimination"/>
        <s v="[AIC Outcome].[AIC Part2].&amp;[Employment]&amp;[Not recorded/not applicable]" c="Not recorded/not applicable"/>
        <s v="[AIC Outcome].[AIC Part2].&amp;[Financial services &amp; capability]&amp;[06 HP &amp; conditional sale]" c="06 HP &amp; conditional sale"/>
        <s v="[AIC Outcome].[AIC Part2].&amp;[Benefits &amp; tax credits]&amp;[07 Housing Benefit]" c="07 Housing Benefit"/>
        <s v="[AIC Outcome].[AIC Part2].&amp;[Benefits &amp; tax credits]&amp;[04 Family, dependents &amp; partners]" c="04 Family, dependents &amp; partners"/>
        <s v="[AIC Outcome].[AIC Part2].&amp;[Immigration &amp; asylum]&amp;[Not recorded/not applicable]" c="Not recorded/not applicable"/>
        <s v="[AIC Outcome].[AIC Part2].&amp;[Health &amp; community care]&amp;[04 Hospital services - Mental Health]" c="04 Hospital services - Mental Health"/>
        <s v="[AIC Outcome].[AIC Part2].&amp;[Utilities &amp; communications]&amp;[Not recorded/not applicable]" c="Not recorded/not applicable"/>
        <s v="[AIC Outcome].[AIC Part2].&amp;[Debt]&amp;[03 Hire purchase arrears]" c="03 Hire purchase arrears"/>
        <s v="[AIC Outcome].[AIC Part2].&amp;[Housing]&amp;[10 Environmental &amp; neighbour issues]" c="10 Environmental &amp; neighbour issues"/>
        <s v="[AIC Outcome].[AIC Part2].&amp;[Debt]&amp;[17 Unpaid parking penalty &amp; cong. chgs.]" c="17 Unpaid parking penalty &amp; cong. chgs."/>
        <s v="[AIC Outcome].[AIC Part2].&amp;[Consumer goods &amp; services]&amp;[07 Computer hardware &amp; software]" c="07 Computer hardware &amp; software"/>
        <s v="[AIC Outcome].[AIC Part2].&amp;[Housing]&amp;[09 Owner occupier property]" c="09 Owner occupier property"/>
        <s v="[AIC Outcome].[AIC Part2].&amp;[Consumer goods &amp; services]&amp;[12 Second hand vehicles]" c="12 Second hand vehicles"/>
        <s v="[AIC Outcome].[AIC Part2].&amp;[Relationships &amp; family]&amp;[02 Marriage, cohabitation, civil partnership]" c="02 Marriage, cohabitation, civil partnership"/>
        <s v="[AIC Outcome].[AIC Part2].&amp;[Consumer goods &amp; services]&amp;[03 Driving]" c="03 Driving"/>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unt="1">
        <s v="[Local Organisation].[CAB].[Member].&amp;[York (member)]&amp;[Yorkshire &amp; the Humber]" c="York (member)"/>
      </sharedItems>
    </cacheField>
    <cacheField name="[AIC Outcome].[AIC].[AIC Part1]" caption="AIC Part1" numFmtId="0" hierarchy="1" level="1">
      <sharedItems count="1">
        <s v="[AIC Outcome].[AIC].[AIC Part1].&amp;[Discrimination]" c="Discrimination"/>
      </sharedItems>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0"/>
      </fieldsUsage>
    </cacheHierarchy>
    <cacheHierarchy uniqueName="[AIC Outcome].[AIC]" caption="AIC" defaultMemberUniqueName="[AIC Outcome].[AIC].[All]" allUniqueName="[AIC Outcome].[AIC].[All]" dimensionUniqueName="[AIC Outcome]" displayFolder="" count="4" unbalanced="0">
      <fieldsUsage count="2">
        <fieldUsage x="-1"/>
        <fieldUsage x="7"/>
      </fieldsUsage>
    </cacheHierarchy>
    <cacheHierarchy uniqueName="[AIC Outcome].[AIC Part1]" caption="AIC Part1" attribute="1" defaultMemberUniqueName="[AIC Outcome].[AIC Part1].[All]" allUniqueName="[AIC Outcome].[AIC Part1].[All]" allCaption="All" dimensionUniqueName="[AIC Outcome]" displayFolder="" count="2" unbalanced="0">
      <fieldsUsage count="2">
        <fieldUsage x="-1"/>
        <fieldUsage x="3"/>
      </fieldsUsage>
    </cacheHierarchy>
    <cacheHierarchy uniqueName="[AIC Outcome].[AIC Part2]" caption="AIC Part2" attribute="1" defaultMemberUniqueName="[AIC Outcome].[AIC Part2].[All]" allUniqueName="[AIC Outcome].[AIC Part2].[All]" dimensionUniqueName="[AIC Outcome]" displayFolder="" count="2" unbalanced="0">
      <fieldsUsage count="2">
        <fieldUsage x="-1"/>
        <fieldUsage x="4"/>
      </fieldsUsage>
    </cacheHierarchy>
    <cacheHierarchy uniqueName="[AIC Outcome].[AIC Part3]" caption="AIC Part3" attribute="1" defaultMemberUniqueName="[AIC Outcome].[AIC Part3].[All]" allUniqueName="[AIC Outcome].[AIC Part3].[All]" dimensionUniqueName="[AIC Outcome]" displayFolder="" count="2" unbalanced="0"/>
    <cacheHierarchy uniqueName="[Client Geography].[Census Output Area]" caption="Census Output Area" attribute="1" defaultMemberUniqueName="[Client Geography].[Census Output Area].[All]" allUniqueName="[Client Geography].[Census Output Area].[All]" dimensionUniqueName="[Client Geography]" displayFolder="" count="2" unbalanced="0"/>
    <cacheHierarchy uniqueName="[Client Geography].[CensusOutputArea]" caption="CensusOutputArea" defaultMemberUniqueName="[Client Geography].[CensusOutputArea].[All]" allUniqueName="[Client Geography].[CensusOutputArea].[All]" dimensionUniqueName="[Client Geography]" displayFolder="" count="2" unbalanced="0"/>
    <cacheHierarchy uniqueName="[Client Geography].[ClientCounty]" caption="ClientCounty" defaultMemberUniqueName="[Client Geography].[ClientCounty].[All]" allUniqueName="[Client Geography].[ClientCounty].[All]" dimensionUniqueName="[Client Geography]" displayFolder="" count="2" unbalanced="0"/>
    <cacheHierarchy uniqueName="[Client Geography].[ClientParish]" caption="ClientParish" defaultMemberUniqueName="[Client Geography].[ClientParish].[All]" allUniqueName="[Client Geography].[ClientParish].[All]" dimensionUniqueName="[Client Geography]" displayFolder="" count="2"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2"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2" unbalanced="0"/>
    <cacheHierarchy uniqueName="[Client Geography].[County]" caption="County" attribute="1" defaultMemberUniqueName="[Client Geography].[County].[All]" allUniqueName="[Client Geography].[County].[All]" dimensionUniqueName="[Client Geography]" displayFolder="" count="2" unbalanced="0"/>
    <cacheHierarchy uniqueName="[Client Geography].[Local Authority]" caption="Local Authority" attribute="1" defaultMemberUniqueName="[Client Geography].[Local Authority].[All]" allUniqueName="[Client Geography].[Local Authority].[All]" dimensionUniqueName="[Client Geography]" displayFolder="" count="2"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2" unbalanced="0"/>
    <cacheHierarchy uniqueName="[Client Geography].[Local council]" caption="Local council" defaultMemberUniqueName="[Client Geography].[Local council].[All]" allUniqueName="[Client Geography].[Local council].[All]" dimensionUniqueName="[Client Geography]" displayFolder="" count="3"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2" unbalanced="0"/>
    <cacheHierarchy uniqueName="[Client Geography].[LowerSuperOutputArea]" caption="LowerSuperOutputArea" defaultMemberUniqueName="[Client Geography].[LowerSuperOutputArea].[All]" allUniqueName="[Client Geography].[LowerSuperOutputArea].[All]" dimensionUniqueName="[Client Geography]" displayFolder="" count="2" unbalanced="0"/>
    <cacheHierarchy uniqueName="[Client Geography].[Parish]" caption="Parish" attribute="1" defaultMemberUniqueName="[Client Geography].[Parish].[All]" allUniqueName="[Client Geography].[Parish].[All]" dimensionUniqueName="[Client Geography]" displayFolder="" count="2"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2" unbalanced="0"/>
    <cacheHierarchy uniqueName="[Client Geography].[Political]" caption="Political" defaultMemberUniqueName="[Client Geography].[Political].[All]" allUniqueName="[Client Geography].[Political].[All]" dimensionUniqueName="[Client Geography]" displayFolder="" count="3" unbalanced="0"/>
    <cacheHierarchy uniqueName="[Client Geography].[Political Party]" caption="Political Party" attribute="1" defaultMemberUniqueName="[Client Geography].[Political Party].[All]" allUniqueName="[Client Geography].[Political Party].[All]" dimensionUniqueName="[Client Geography]" displayFolder="" count="2" unbalanced="0"/>
    <cacheHierarchy uniqueName="[Client Geography].[Primary care]" caption="Primary care" defaultMemberUniqueName="[Client Geography].[Primary care].[All]" allUniqueName="[Client Geography].[Primary care].[All]" dimensionUniqueName="[Client Geography]" displayFolder="" count="2" unbalanced="0"/>
    <cacheHierarchy uniqueName="[Client Geography].[Primary Care Trust]" caption="Primary Care Trust" attribute="1" defaultMemberUniqueName="[Client Geography].[Primary Care Trust].[All]" allUniqueName="[Client Geography].[Primary Care Trust].[All]" dimensionUniqueName="[Client Geography]" displayFolder="" count="2"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2"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2"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2"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2" unbalanced="0"/>
    <cacheHierarchy uniqueName="[Client Profile].[Age]" caption="Age" attribute="1" defaultMemberUniqueName="[Client Profile].[Age].[All]" allUniqueName="[Client Profile].[Age].[All]" dimensionUniqueName="[Client Profile]" displayFolder="" count="2" unbalanced="0"/>
    <cacheHierarchy uniqueName="[Client Profile].[Age Group]" caption="Age Group" attribute="1" defaultMemberUniqueName="[Client Profile].[Age Group].[All]" allUniqueName="[Client Profile].[Age Group].[All]" dimensionUniqueName="[Client Profile]" displayFolder="" count="2" unbalanced="0"/>
    <cacheHierarchy uniqueName="[Client Profile].[Anonymous]" caption="Anonymous" attribute="1" defaultMemberUniqueName="[Client Profile].[Anonymous].[All]" allUniqueName="[Client Profile].[Anonymous].[All]" dimensionUniqueName="[Client Profile]" displayFolder="" count="2"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2"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2"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2"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2" unbalanced="0"/>
    <cacheHierarchy uniqueName="[Client Profile].[Ethnic Origin]" caption="Ethnic Origin" attribute="1" defaultMemberUniqueName="[Client Profile].[Ethnic Origin].[All]" allUniqueName="[Client Profile].[Ethnic Origin].[All]" dimensionUniqueName="[Client Profile]" displayFolder="" count="2" unbalanced="0"/>
    <cacheHierarchy uniqueName="[Client Profile].[First Language]" caption="First Language" attribute="1" defaultMemberUniqueName="[Client Profile].[First Language].[All]" allUniqueName="[Client Profile].[First Language].[All]" dimensionUniqueName="[Client Profile]" displayFolder="" count="2"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2" unbalanced="0"/>
    <cacheHierarchy uniqueName="[Client Profile].[Gender]" caption="Gender" attribute="1" defaultMemberUniqueName="[Client Profile].[Gender].[All]" allUniqueName="[Client Profile].[Gender].[All]" dimensionUniqueName="[Client Profile]" displayFolder="" count="2" unbalanced="0"/>
    <cacheHierarchy uniqueName="[Client Profile].[Household Type]" caption="Household Type" attribute="1" defaultMemberUniqueName="[Client Profile].[Household Type].[All]" allUniqueName="[Client Profile].[Household Type].[All]" dimensionUniqueName="[Client Profile]" displayFolder="" count="2" unbalanced="0"/>
    <cacheHierarchy uniqueName="[Client Profile].[Housing Tenure]" caption="Housing Tenure" attribute="1" defaultMemberUniqueName="[Client Profile].[Housing Tenure].[All]" allUniqueName="[Client Profile].[Housing Tenure].[All]" dimensionUniqueName="[Client Profile]" displayFolder="" count="2" unbalanced="0"/>
    <cacheHierarchy uniqueName="[Client Profile].[Incomes Profile]" caption="Incomes Profile" attribute="1" defaultMemberUniqueName="[Client Profile].[Incomes Profile].[All]" allUniqueName="[Client Profile].[Incomes Profile].[All]" dimensionUniqueName="[Client Profile]" displayFolder="" count="2" unbalanced="0"/>
    <cacheHierarchy uniqueName="[Client Profile].[Local Code A Set 1]" caption="Local Code A Set 1" attribute="1" defaultMemberUniqueName="[Client Profile].[Local Code A Set 1].[All]" allUniqueName="[Client Profile].[Local Code A Set 1].[All]" dimensionUniqueName="[Client Profile]" displayFolder="" count="2" unbalanced="0"/>
    <cacheHierarchy uniqueName="[Client Profile].[Local Code A Set 2]" caption="Local Code A Set 2" attribute="1" defaultMemberUniqueName="[Client Profile].[Local Code A Set 2].[All]" allUniqueName="[Client Profile].[Local Code A Set 2].[All]" dimensionUniqueName="[Client Profile]" displayFolder="" count="2" unbalanced="0"/>
    <cacheHierarchy uniqueName="[Client Profile].[Local Code A Set 3]" caption="Local Code A Set 3" attribute="1" defaultMemberUniqueName="[Client Profile].[Local Code A Set 3].[All]" allUniqueName="[Client Profile].[Local Code A Set 3].[All]" dimensionUniqueName="[Client Profile]" displayFolder="" count="2" unbalanced="0"/>
    <cacheHierarchy uniqueName="[Client Profile].[Local Code B Set 1]" caption="Local Code B Set 1" attribute="1" defaultMemberUniqueName="[Client Profile].[Local Code B Set 1].[All]" allUniqueName="[Client Profile].[Local Code B Set 1].[All]" dimensionUniqueName="[Client Profile]" displayFolder="" count="2" unbalanced="0"/>
    <cacheHierarchy uniqueName="[Client Profile].[Local Code B Set 2]" caption="Local Code B Set 2" attribute="1" defaultMemberUniqueName="[Client Profile].[Local Code B Set 2].[All]" allUniqueName="[Client Profile].[Local Code B Set 2].[All]" dimensionUniqueName="[Client Profile]" displayFolder="" count="2" unbalanced="0"/>
    <cacheHierarchy uniqueName="[Client Profile].[Local Code B Set 3]" caption="Local Code B Set 3" attribute="1" defaultMemberUniqueName="[Client Profile].[Local Code B Set 3].[All]" allUniqueName="[Client Profile].[Local Code B Set 3].[All]" dimensionUniqueName="[Client Profile]" displayFolder="" count="2" unbalanced="0"/>
    <cacheHierarchy uniqueName="[Client Profile].[Marital Status]" caption="Marital Status" attribute="1" defaultMemberUniqueName="[Client Profile].[Marital Status].[All]" allUniqueName="[Client Profile].[Marital Status].[All]" dimensionUniqueName="[Client Profile]" displayFolder="" count="2" unbalanced="0"/>
    <cacheHierarchy uniqueName="[Client Profile].[Nationality]" caption="Nationality" attribute="1" defaultMemberUniqueName="[Client Profile].[Nationality].[All]" allUniqueName="[Client Profile].[Nationality].[All]" dimensionUniqueName="[Client Profile]" displayFolder="" count="2" unbalanced="0"/>
    <cacheHierarchy uniqueName="[Client Profile].[Occupation]" caption="Occupation" attribute="1" defaultMemberUniqueName="[Client Profile].[Occupation].[All]" allUniqueName="[Client Profile].[Occupation].[All]" dimensionUniqueName="[Client Profile]" displayFolder="" count="2"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2" unbalanced="0"/>
    <cacheHierarchy uniqueName="[Client Profile].[RBL]" caption="RBL" attribute="1" defaultMemberUniqueName="[Client Profile].[RBL].[All]" allUniqueName="[Client Profile].[RBL].[All]" dimensionUniqueName="[Client Profile]" displayFolder="" count="2" unbalanced="0"/>
    <cacheHierarchy uniqueName="[Client Profile].[Religion or Belief]" caption="Religion or Belief" attribute="1" defaultMemberUniqueName="[Client Profile].[Religion or Belief].[All]" allUniqueName="[Client Profile].[Religion or Belief].[All]" dimensionUniqueName="[Client Profile]" displayFolder="" count="2" unbalanced="0"/>
    <cacheHierarchy uniqueName="[Client Profile].[Second Language]" caption="Second Language" attribute="1" defaultMemberUniqueName="[Client Profile].[Second Language].[All]" allUniqueName="[Client Profile].[Second Language].[All]" dimensionUniqueName="[Client Profile]" displayFolder="" count="2" unbalanced="0"/>
    <cacheHierarchy uniqueName="[Client Profile].[Sexual Orientation]" caption="Sexual Orientation" attribute="1" defaultMemberUniqueName="[Client Profile].[Sexual Orientation].[All]" allUniqueName="[Client Profile].[Sexual Orientation].[All]" dimensionUniqueName="[Client Profile]" displayFolder="" count="2"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2"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2" unbalanced="0"/>
    <cacheHierarchy uniqueName="[Event Profile].[Channel]" caption="Channel" attribute="1" defaultMemberUniqueName="[Event Profile].[Channel].[All]" allUniqueName="[Event Profile].[Channel].[All]" dimensionUniqueName="[Event Profile]" displayFolder="" count="2"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2"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2"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2" unbalanced="0"/>
    <cacheHierarchy uniqueName="[Event Profile].[Enquiry Status]" caption="Enquiry Status" attribute="1" defaultMemberUniqueName="[Event Profile].[Enquiry Status].[All]" allUniqueName="[Event Profile].[Enquiry Status].[All]" dimensionUniqueName="[Event Profile]" displayFolder="" count="2" unbalanced="0"/>
    <cacheHierarchy uniqueName="[Event Profile].[Enquiry Type]" caption="Enquiry Type" attribute="1" defaultMemberUniqueName="[Event Profile].[Enquiry Type].[All]" allUniqueName="[Event Profile].[Enquiry Type].[All]" dimensionUniqueName="[Event Profile]" displayFolder="" count="2"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2"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2"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2" unbalanced="0"/>
    <cacheHierarchy uniqueName="[Event Profile].[Next Step]" caption="Next Step" attribute="1" defaultMemberUniqueName="[Event Profile].[Next Step].[All]" allUniqueName="[Event Profile].[Next Step].[All]" dimensionUniqueName="[Event Profile]" displayFolder="" count="2" unbalanced="0"/>
    <cacheHierarchy uniqueName="[Event Profile].[No Bank Account]" caption="No Bank Account" attribute="1" defaultMemberUniqueName="[Event Profile].[No Bank Account].[All]" allUniqueName="[Event Profile].[No Bank Account].[All]" dimensionUniqueName="[Event Profile]" displayFolder="" count="2"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2" unbalanced="0"/>
    <cacheHierarchy uniqueName="[Event Profile].[No Savings Held]" caption="No Savings Held" attribute="1" defaultMemberUniqueName="[Event Profile].[No Savings Held].[All]" allUniqueName="[Event Profile].[No Savings Held].[All]" dimensionUniqueName="[Event Profile]" displayFolder="" count="2" unbalanced="0"/>
    <cacheHierarchy uniqueName="[Event Profile].[Parent Enquiry]" caption="Parent Enquiry" attribute="1" defaultMemberUniqueName="[Event Profile].[Parent Enquiry].[All]" allUniqueName="[Event Profile].[Parent Enquiry].[All]" dimensionUniqueName="[Event Profile]" displayFolder="" count="2" unbalanced="0"/>
    <cacheHierarchy uniqueName="[Event Profile].[Parent Gateway]" caption="Parent Gateway" attribute="1" defaultMemberUniqueName="[Event Profile].[Parent Gateway].[All]" allUniqueName="[Event Profile].[Parent Gateway].[All]" dimensionUniqueName="[Event Profile]" displayFolder="" count="2" unbalanced="0"/>
    <cacheHierarchy uniqueName="[Event Profile].[Priority Debts Owed]" caption="Priority Debts Owed" attribute="1" defaultMemberUniqueName="[Event Profile].[Priority Debts Owed].[All]" allUniqueName="[Event Profile].[Priority Debts Owed].[All]" dimensionUniqueName="[Event Profile]" displayFolder="" count="2" unbalanced="0"/>
    <cacheHierarchy uniqueName="[Event Profile].[Receives Benefit]" caption="Receives Benefit" attribute="1" defaultMemberUniqueName="[Event Profile].[Receives Benefit].[All]" allUniqueName="[Event Profile].[Receives Benefit].[All]" dimensionUniqueName="[Event Profile]" displayFolder="" count="2" unbalanced="0"/>
    <cacheHierarchy uniqueName="[Event Profile].[Referral Details]" caption="Referral Details" attribute="1" defaultMemberUniqueName="[Event Profile].[Referral Details].[All]" allUniqueName="[Event Profile].[Referral Details].[All]" dimensionUniqueName="[Event Profile]" displayFolder="" count="2" unbalanced="0"/>
    <cacheHierarchy uniqueName="[Event Profile].[Referred By]" caption="Referred By" attribute="1" defaultMemberUniqueName="[Event Profile].[Referred By].[All]" allUniqueName="[Event Profile].[Referred By].[All]" dimensionUniqueName="[Event Profile]" displayFolder="" count="2" unbalanced="0"/>
    <cacheHierarchy uniqueName="[Event Profile].[Signposted Details]" caption="Signposted Details" attribute="1" defaultMemberUniqueName="[Event Profile].[Signposted Details].[All]" allUniqueName="[Event Profile].[Signposted Details].[All]" dimensionUniqueName="[Event Profile]" displayFolder="" count="2" unbalanced="0"/>
    <cacheHierarchy uniqueName="[Event Profile].[Signposted To]" caption="Signposted To" attribute="1" defaultMemberUniqueName="[Event Profile].[Signposted To].[All]" allUniqueName="[Event Profile].[Signposted To].[All]" dimensionUniqueName="[Event Profile]" displayFolder="" count="2"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2"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2" unbalanced="0"/>
    <cacheHierarchy uniqueName="[Event Profile].[Total Numberof Debts]" caption="Total Numberof Debts" attribute="1" defaultMemberUniqueName="[Event Profile].[Total Numberof Debts].[All]" allUniqueName="[Event Profile].[Total Numberof Debts].[All]" dimensionUniqueName="[Event Profile]" displayFolder="" count="2"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2" unbalanced="0"/>
    <cacheHierarchy uniqueName="[Event Profile].[Universal Credit]" caption="Universal Credit" attribute="1" defaultMemberUniqueName="[Event Profile].[Universal Credit].[All]" allUniqueName="[Event Profile].[Universal Credit].[All]" dimensionUniqueName="[Event Profile]" displayFolder="" count="2" unbalanced="0"/>
    <cacheHierarchy uniqueName="[Event Profile].[Urgency]" caption="Urgency" attribute="1" defaultMemberUniqueName="[Event Profile].[Urgency].[All]" allUniqueName="[Event Profile].[Urgency].[All]" dimensionUniqueName="[Event Profile]" displayFolder="" count="2"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2" unbalanced="0"/>
    <cacheHierarchy uniqueName="[Local Funder].[Funder]" caption="Funder" attribute="1" defaultMemberUniqueName="[Local Funder].[Funder].[All]" allUniqueName="[Local Funder].[Funder].[All]" dimensionUniqueName="[Local Funder]" displayFolder="" count="2" unbalanced="0"/>
    <cacheHierarchy uniqueName="[Local Funder].[Funder ID]" caption="Funder ID" attribute="1" keyAttribute="1" defaultMemberUniqueName="[Local Funder].[Funder ID].[All]" allUniqueName="[Local Funder].[Funder ID].[All]" dimensionUniqueName="[Local Funder]" displayFolder="" count="2" unbalanced="0"/>
    <cacheHierarchy uniqueName="[Local Organisation].[Bureau]" caption="Bureau" attribute="1" defaultMemberUniqueName="[Local Organisation].[Bureau].[All]" allUniqueName="[Local Organisation].[Bureau].[All]" dimensionUniqueName="[Local Organisation]" displayFolder="" count="2" unbalanced="0"/>
    <cacheHierarchy uniqueName="[Local Organisation].[CAB]" caption="CAB" defaultMemberUniqueName="[Local Organisation].[CAB].[All]" allUniqueName="[Local Organisation].[CAB].[All]" dimensionUniqueName="[Local Organisation]" displayFolder="" count="5" unbalanced="0">
      <fieldsUsage count="3">
        <fieldUsage x="-1"/>
        <fieldUsage x="5"/>
        <fieldUsage x="6"/>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2" unbalanced="0"/>
    <cacheHierarchy uniqueName="[Local Organisation].[Member]" caption="Member" attribute="1" defaultMemberUniqueName="[Local Organisation].[Member].[All]" allUniqueName="[Local Organisation].[Member].[All]" dimensionUniqueName="[Local Organisation]" displayFolder="" count="2" unbalanced="0"/>
    <cacheHierarchy uniqueName="[Local Organisation].[Outreach]" caption="Outreach" attribute="1" defaultMemberUniqueName="[Local Organisation].[Outreach].[All]" allUniqueName="[Local Organisation].[Outreach].[All]" dimensionUniqueName="[Local Organisation]" displayFolder="" count="2" unbalanced="0"/>
    <cacheHierarchy uniqueName="[Measures]" caption="Measures" attribute="1" keyAttribute="1" defaultMemberUniqueName="[Measures].[Number of Advice Events]" dimensionUniqueName="[Measures]" displayFolder="" measures="1" count="1" unbalanced="0">
      <fieldsUsage count="1">
        <fieldUsage x="2"/>
      </fieldsUsage>
    </cacheHierarchy>
    <cacheHierarchy uniqueName="[Monthly Calendar].[Financial]" caption="Financial" time="1" defaultMemberUniqueName="[Monthly Calendar].[Financial].[All]" allUniqueName="[Monthly Calendar].[Financial].[All]" dimensionUniqueName="[Monthly Calendar]" displayFolder="" count="4" unbalanced="0">
      <fieldsUsage count="2">
        <fieldUsage x="-1"/>
        <fieldUsage x="1"/>
      </fieldsUsage>
    </cacheHierarchy>
    <cacheHierarchy uniqueName="[Monthly Calendar].[Month Name]" caption="Month Name" attribute="1" time="1" defaultMemberUniqueName="[Monthly Calendar].[Month Name].[All]" allUniqueName="[Monthly Calendar].[Month Name].[All]" dimensionUniqueName="[Monthly Calendar]" displayFolder="" count="2" unbalanced="0"/>
    <cacheHierarchy uniqueName="[Monthly Calendar].[Month Number]" caption="Month Number" attribute="1" time="1" defaultMemberUniqueName="[Monthly Calendar].[Month Number].[All]" allUniqueName="[Monthly Calendar].[Month Number].[All]" dimensionUniqueName="[Monthly Calendar]" displayFolder="" count="2" unbalanced="0"/>
    <cacheHierarchy uniqueName="[Monthly Calendar].[Quarter]" caption="Quarter" attribute="1" time="1" defaultMemberUniqueName="[Monthly Calendar].[Quarter].[All]" allUniqueName="[Monthly Calendar].[Quarter].[All]" dimensionUniqueName="[Monthly Calendar]" displayFolder="" count="2" unbalanced="0"/>
    <cacheHierarchy uniqueName="[Monthly Calendar].[Year]" caption="Year" attribute="1" time="1" defaultMemberUniqueName="[Monthly Calendar].[Year].[All]" allUniqueName="[Monthly Calendar].[Year].[All]" dimensionUniqueName="[Monthly Calendar]" displayFolder="" count="2" unbalanced="0"/>
    <cacheHierarchy uniqueName="[National Funder].[Funder]" caption="Funder" attribute="1" defaultMemberUniqueName="[National Funder].[Funder].[All]" allUniqueName="[National Funder].[Funder].[All]" allCaption="All" dimensionUniqueName="[National Funder]" displayFolder="" count="2" unbalanced="0"/>
    <cacheHierarchy uniqueName="[National Funder].[Funder ID]" caption="Funder ID" attribute="1" keyAttribute="1" defaultMemberUniqueName="[National Funder].[Funder ID].[All]" allUniqueName="[National Funder].[Funder ID].[All]" dimensionUniqueName="[National Funder]" displayFolder="" count="2" unbalanced="0"/>
    <cacheHierarchy uniqueName="[National Funder].[Funder Type]" caption="Funder Type" attribute="1" defaultMemberUniqueName="[National Funder].[Funder Type].[All]" allUniqueName="[National Funder].[Funder Type].[All]" dimensionUniqueName="[National Funder]" displayFolder="" count="2" unbalanced="0"/>
    <cacheHierarchy uniqueName="[Work Level].[Work Level]" caption="Work Level" attribute="1" defaultMemberUniqueName="[Work Level].[Work Level].[All]" allUniqueName="[Work Level].[Work Level].[All]" dimensionUniqueName="[Work Level]" displayFolder="" count="2" unbalanced="0"/>
    <cacheHierarchy uniqueName="[Work Type].[Work Type]" caption="Work Type" attribute="1" defaultMemberUniqueName="[Work Type].[Work Type].[All]" allUniqueName="[Work Type].[Work Type].[All]" dimensionUniqueName="[Work Type]" displayFolder="" count="2"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2" unbalanced="0" hidden="1"/>
    <cacheHierarchy uniqueName="[AIC Outcome].[AIC Outcome ID]" caption="AIC Outcome ID" attribute="1" keyAttribute="1" defaultMemberUniqueName="[AIC Outcome].[AIC Outcome ID].[All]" allUniqueName="[AIC Outcome].[AIC Outcome ID].[All]" dimensionUniqueName="[AIC Outcome]" displayFolder="" count="2"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2"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2" unbalanced="0" hidden="1"/>
    <cacheHierarchy uniqueName="[Event Profile].[Event Profile ID]" caption="Event Profile ID" attribute="1" keyAttribute="1" defaultMemberUniqueName="[Event Profile].[Event Profile ID].[All]" allUniqueName="[Event Profile].[Event Profile ID].[All]" dimensionUniqueName="[Event Profile]" displayFolder="" count="2" unbalanced="0" hidden="1"/>
    <cacheHierarchy uniqueName="[Local Funder].[Funder Type]" caption="Funder Type" attribute="1" defaultMemberUniqueName="[Local Funder].[Funder Type].[All]" allUniqueName="[Local Funder].[Funder Type].[All]" dimensionUniqueName="[Local Funder]" displayFolder="" count="2"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2" unbalanced="0" hidden="1"/>
    <cacheHierarchy uniqueName="[Monthly Calendar].[Date ID]" caption="Date ID" attribute="1" time="1" keyAttribute="1" defaultMemberUniqueName="[Monthly Calendar].[Date ID].[All]" allUniqueName="[Monthly Calendar].[Date ID].[All]" dimensionUniqueName="[Monthly Calendar]" displayFolder="" count="2" unbalanced="0" hidden="1"/>
    <cacheHierarchy uniqueName="[Work Level].[Work Level ID]" caption="Work Level ID" attribute="1" keyAttribute="1" defaultMemberUniqueName="[Work Level].[Work Level ID].[All]" allUniqueName="[Work Level].[Work Level ID].[All]" dimensionUniqueName="[Work Level]" displayFolder="" count="2" unbalanced="0" hidden="1"/>
    <cacheHierarchy uniqueName="[Work Type].[Work Type ID]" caption="Work Type ID" attribute="1" keyAttribute="1" defaultMemberUniqueName="[Work Type].[Work Type ID].[All]" allUniqueName="[Work Type].[Work Type ID].[All]" dimensionUniqueName="[Work Type]" displayFolder="" count="2"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cacheHierarchies>
  <kpis count="0"/>
  <tupleCache>
    <entries count="285">
      <n v="2014">
        <tpls c="5">
          <tpl fld="0" item="0"/>
          <tpl hier="88" item="5"/>
          <tpl hier="92" item="4294967295"/>
          <tpl hier="93" item="1"/>
          <tpl hier="98" item="3"/>
        </tpls>
      </n>
      <n v="10804">
        <tpls c="5">
          <tpl fld="0" item="2"/>
          <tpl hier="88" item="5"/>
          <tpl hier="92" item="4294967295"/>
          <tpl hier="93" item="1"/>
          <tpl hier="98" item="3"/>
        </tpls>
      </n>
      <n v="1280">
        <tpls c="5">
          <tpl fld="0" item="0"/>
          <tpl hier="88" item="5"/>
          <tpl fld="2" item="1"/>
          <tpl hier="93" item="1"/>
          <tpl hier="98" item="3"/>
        </tpls>
      </n>
      <n v="3746">
        <tpls c="5">
          <tpl hier="0" item="0"/>
          <tpl hier="88" item="5"/>
          <tpl fld="2" item="1"/>
          <tpl hier="93" item="1"/>
          <tpl hier="98" item="3"/>
        </tpls>
      </n>
      <n v="12818">
        <tpls c="5">
          <tpl hier="0" item="0"/>
          <tpl hier="88" item="5"/>
          <tpl hier="92" item="4294967295"/>
          <tpl hier="93" item="1"/>
          <tpl hier="98" item="3"/>
        </tpls>
      </n>
      <n v="14371">
        <tpls c="5">
          <tpl hier="0" item="4"/>
          <tpl hier="88" item="5"/>
          <tpl hier="92" item="4294967295"/>
          <tpl hier="93" item="1"/>
          <tpl hier="98" item="3"/>
        </tpls>
      </n>
      <n v="1553">
        <tpls c="5">
          <tpl fld="0" item="1"/>
          <tpl hier="88" item="5"/>
          <tpl hier="92" item="4294967295"/>
          <tpl hier="93" item="1"/>
          <tpl hier="98" item="3"/>
        </tpls>
      </n>
      <n v="3747">
        <tpls c="5">
          <tpl hier="0" item="4"/>
          <tpl hier="88" item="5"/>
          <tpl fld="2" item="1"/>
          <tpl hier="93" item="1"/>
          <tpl hier="98" item="3"/>
        </tpls>
      </n>
      <n v="2925">
        <tpls c="5">
          <tpl fld="0" item="2"/>
          <tpl hier="88" item="5"/>
          <tpl fld="2" item="1"/>
          <tpl hier="93" item="1"/>
          <tpl hier="98" item="3"/>
        </tpls>
      </n>
      <n v="1">
        <tpls c="5">
          <tpl fld="0" item="1"/>
          <tpl hier="88" item="5"/>
          <tpl fld="2" item="1"/>
          <tpl hier="93" item="1"/>
          <tpl hier="98" item="3"/>
        </tpls>
      </n>
      <n v="34">
        <tpls c="6">
          <tpl fld="0" item="3"/>
          <tpl fld="3" item="3"/>
          <tpl hier="88" item="5"/>
          <tpl hier="92" item="4294967295"/>
          <tpl hier="93" item="1"/>
          <tpl hier="98" item="3"/>
        </tpls>
      </n>
      <n v="100">
        <tpls c="6">
          <tpl hier="0" item="2"/>
          <tpl fld="3" item="4"/>
          <tpl hier="88" item="5"/>
          <tpl fld="2" item="1"/>
          <tpl hier="93" item="1"/>
          <tpl hier="98" item="3"/>
        </tpls>
      </n>
      <n v="608">
        <tpls c="6">
          <tpl hier="0" item="2"/>
          <tpl fld="3" item="5"/>
          <tpl hier="88" item="5"/>
          <tpl hier="92" item="4294967295"/>
          <tpl hier="93" item="1"/>
          <tpl hier="98" item="3"/>
        </tpls>
      </n>
      <n v="339">
        <tpls c="6">
          <tpl hier="0" item="2"/>
          <tpl fld="3" item="6"/>
          <tpl hier="88" item="5"/>
          <tpl hier="92" item="4294967295"/>
          <tpl hier="93" item="1"/>
          <tpl hier="98" item="3"/>
        </tpls>
      </n>
      <n v="146">
        <tpls c="6">
          <tpl hier="0" item="2"/>
          <tpl fld="3" item="4"/>
          <tpl hier="88" item="5"/>
          <tpl hier="92" item="4294967295"/>
          <tpl hier="93" item="1"/>
          <tpl hier="98" item="3"/>
        </tpls>
      </n>
      <n v="360">
        <tpls c="6">
          <tpl hier="0" item="2"/>
          <tpl fld="3" item="5"/>
          <tpl hier="88" item="5"/>
          <tpl fld="2" item="1"/>
          <tpl hier="93" item="1"/>
          <tpl hier="98" item="3"/>
        </tpls>
      </n>
      <n v="137">
        <tpls c="6">
          <tpl hier="0" item="2"/>
          <tpl fld="3" item="10"/>
          <tpl hier="88" item="5"/>
          <tpl fld="2" item="1"/>
          <tpl hier="93" item="1"/>
          <tpl hier="98" item="3"/>
        </tpls>
      </n>
      <n v="16">
        <tpls c="7">
          <tpl hier="0" item="2"/>
          <tpl fld="3" item="6"/>
          <tpl fld="4" item="33"/>
          <tpl hier="88" item="5"/>
          <tpl hier="92" item="4294967295"/>
          <tpl hier="93" item="1"/>
          <tpl hier="98" item="3"/>
        </tpls>
      </n>
      <n v="30">
        <tpls c="7">
          <tpl hier="0" item="2"/>
          <tpl fld="3" item="3"/>
          <tpl fld="4" item="80"/>
          <tpl hier="88" item="5"/>
          <tpl hier="92" item="4294967295"/>
          <tpl hier="93" item="1"/>
          <tpl hier="98" item="3"/>
        </tpls>
      </n>
      <n v="3">
        <tpls c="7">
          <tpl hier="0" item="2"/>
          <tpl fld="3" item="6"/>
          <tpl fld="4" item="62"/>
          <tpl hier="88" item="5"/>
          <tpl hier="92" item="4294967295"/>
          <tpl hier="93" item="1"/>
          <tpl hier="98" item="3"/>
        </tpls>
      </n>
      <m>
        <tpls c="7">
          <tpl hier="0" item="2"/>
          <tpl fld="3" item="6"/>
          <tpl fld="4" item="75"/>
          <tpl hier="88" item="5"/>
          <tpl hier="92" item="4294967295"/>
          <tpl hier="93" item="1"/>
          <tpl hier="98" item="3"/>
        </tpls>
      </m>
      <m>
        <tpls c="7">
          <tpl hier="0" item="2"/>
          <tpl fld="3" item="14"/>
          <tpl fld="4" item="42"/>
          <tpl hier="88" item="5"/>
          <tpl hier="92" item="4294967295"/>
          <tpl hier="93" item="1"/>
          <tpl hier="98" item="3"/>
        </tpls>
      </m>
      <n v="18">
        <tpls c="6">
          <tpl fld="0" item="3"/>
          <tpl fld="3" item="11"/>
          <tpl hier="88" item="5"/>
          <tpl hier="92" item="4294967295"/>
          <tpl hier="93" item="1"/>
          <tpl hier="98" item="3"/>
        </tpls>
      </n>
      <n v="14371">
        <tpls c="6">
          <tpl hier="0" item="2"/>
          <tpl hier="2" item="4294967295"/>
          <tpl hier="88" item="5"/>
          <tpl hier="92" item="4294967295"/>
          <tpl hier="93" item="1"/>
          <tpl hier="98" item="3"/>
        </tpls>
      </n>
      <n v="143">
        <tpls c="6">
          <tpl hier="0" item="2"/>
          <tpl fld="3" item="14"/>
          <tpl hier="88" item="5"/>
          <tpl fld="2" item="1"/>
          <tpl hier="93" item="1"/>
          <tpl hier="98" item="3"/>
        </tpls>
      </n>
      <n v="31">
        <tpls c="6">
          <tpl hier="0" item="2"/>
          <tpl fld="3" item="8"/>
          <tpl hier="88" item="5"/>
          <tpl fld="2" item="1"/>
          <tpl hier="93" item="1"/>
          <tpl hier="98" item="3"/>
        </tpls>
      </n>
      <n v="47">
        <tpls c="6">
          <tpl hier="0" item="2"/>
          <tpl fld="3" item="7"/>
          <tpl hier="88" item="5"/>
          <tpl hier="92" item="4294967295"/>
          <tpl hier="93" item="1"/>
          <tpl hier="98" item="3"/>
        </tpls>
      </n>
      <n v="7">
        <tpls c="6">
          <tpl fld="0" item="3"/>
          <tpl fld="3" item="12"/>
          <tpl hier="88" item="5"/>
          <tpl hier="92" item="4294967295"/>
          <tpl hier="93" item="1"/>
          <tpl hier="98" item="3"/>
        </tpls>
      </n>
      <n v="7">
        <tpls c="6">
          <tpl fld="0" item="3"/>
          <tpl fld="3" item="4"/>
          <tpl hier="88" item="5"/>
          <tpl hier="92" item="4294967295"/>
          <tpl hier="93" item="1"/>
          <tpl hier="98" item="3"/>
        </tpls>
      </n>
      <n v="299">
        <tpls c="6">
          <tpl hier="0" item="2"/>
          <tpl fld="3" item="14"/>
          <tpl hier="88" item="5"/>
          <tpl hier="92" item="4294967295"/>
          <tpl hier="93" item="1"/>
          <tpl hier="98" item="3"/>
        </tpls>
      </n>
      <n v="202">
        <tpls c="6">
          <tpl hier="0" item="2"/>
          <tpl fld="3" item="10"/>
          <tpl hier="88" item="5"/>
          <tpl hier="92" item="4294967295"/>
          <tpl hier="93" item="1"/>
          <tpl hier="98" item="3"/>
        </tpls>
      </n>
      <n v="8">
        <tpls c="6">
          <tpl fld="0" item="3"/>
          <tpl fld="3" item="6"/>
          <tpl hier="88" item="5"/>
          <tpl hier="92" item="4294967295"/>
          <tpl hier="93" item="1"/>
          <tpl hier="98" item="3"/>
        </tpls>
      </n>
      <n v="88">
        <tpls c="7">
          <tpl hier="0" item="2"/>
          <tpl fld="3" item="2"/>
          <tpl fld="4" item="147"/>
          <tpl hier="88" item="5"/>
          <tpl hier="92" item="4294967295"/>
          <tpl hier="93" item="1"/>
          <tpl hier="98" item="3"/>
        </tpls>
      </n>
      <n v="268">
        <tpls c="6">
          <tpl hier="0" item="2"/>
          <tpl fld="3" item="13"/>
          <tpl hier="88" item="5"/>
          <tpl fld="2" item="1"/>
          <tpl hier="93" item="1"/>
          <tpl hier="98" item="3"/>
        </tpls>
      </n>
      <m>
        <tpls c="7">
          <tpl hier="0" item="2"/>
          <tpl fld="3" item="6"/>
          <tpl fld="4" item="85"/>
          <tpl hier="88" item="5"/>
          <tpl hier="92" item="4294967295"/>
          <tpl hier="93" item="1"/>
          <tpl hier="98" item="3"/>
        </tpls>
      </m>
      <n v="129">
        <tpls c="7">
          <tpl hier="0" item="2"/>
          <tpl fld="3" item="0"/>
          <tpl fld="4" item="108"/>
          <tpl hier="88" item="5"/>
          <tpl hier="92" item="4294967295"/>
          <tpl hier="93" item="1"/>
          <tpl hier="98" item="3"/>
        </tpls>
      </n>
      <n v="8">
        <tpls c="7">
          <tpl hier="0" item="2"/>
          <tpl fld="3" item="10"/>
          <tpl fld="4" item="50"/>
          <tpl hier="88" item="5"/>
          <tpl hier="92" item="4294967295"/>
          <tpl hier="93" item="1"/>
          <tpl hier="98" item="3"/>
        </tpls>
      </n>
      <n v="18">
        <tpls c="7">
          <tpl hier="0" item="2"/>
          <tpl fld="3" item="11"/>
          <tpl fld="4" item="55"/>
          <tpl hier="88" item="5"/>
          <tpl hier="92" item="4294967295"/>
          <tpl hier="93" item="1"/>
          <tpl hier="98" item="3"/>
        </tpls>
      </n>
      <m>
        <tpls c="7">
          <tpl hier="0" item="2"/>
          <tpl fld="3" item="13"/>
          <tpl fld="4" item="133"/>
          <tpl hier="88" item="5"/>
          <tpl hier="92" item="4294967295"/>
          <tpl hier="93" item="1"/>
          <tpl hier="98" item="3"/>
        </tpls>
      </m>
      <n v="40">
        <tpls c="7">
          <tpl hier="0" item="2"/>
          <tpl fld="3" item="9"/>
          <tpl fld="4" item="126"/>
          <tpl hier="88" item="5"/>
          <tpl hier="92" item="4294967295"/>
          <tpl hier="93" item="1"/>
          <tpl hier="98" item="3"/>
        </tpls>
      </n>
      <n v="11">
        <tpls c="7">
          <tpl hier="0" item="2"/>
          <tpl fld="3" item="6"/>
          <tpl fld="4" item="40"/>
          <tpl hier="88" item="5"/>
          <tpl hier="92" item="4294967295"/>
          <tpl hier="93" item="1"/>
          <tpl hier="98" item="3"/>
        </tpls>
      </n>
      <n v="6">
        <tpls c="7">
          <tpl hier="0" item="2"/>
          <tpl fld="3" item="1"/>
          <tpl fld="4" item="56"/>
          <tpl hier="88" item="5"/>
          <tpl hier="92" item="4294967295"/>
          <tpl hier="93" item="1"/>
          <tpl hier="98" item="3"/>
        </tpls>
      </n>
      <m>
        <tpls c="7">
          <tpl hier="0" item="2"/>
          <tpl fld="3" item="0"/>
          <tpl fld="4" item="17"/>
          <tpl hier="88" item="5"/>
          <tpl hier="92" item="4294967295"/>
          <tpl hier="93" item="1"/>
          <tpl hier="98" item="3"/>
        </tpls>
      </m>
      <n v="176">
        <tpls c="7">
          <tpl hier="0" item="2"/>
          <tpl fld="3" item="9"/>
          <tpl fld="4" item="2"/>
          <tpl hier="88" item="5"/>
          <tpl hier="92" item="4294967295"/>
          <tpl hier="93" item="1"/>
          <tpl hier="98" item="3"/>
        </tpls>
      </n>
      <m>
        <tpls c="7">
          <tpl hier="0" item="2"/>
          <tpl fld="3" item="7"/>
          <tpl fld="4" item="6"/>
          <tpl hier="88" item="5"/>
          <tpl hier="92" item="4294967295"/>
          <tpl hier="93" item="1"/>
          <tpl hier="98" item="3"/>
        </tpls>
      </m>
      <n v="232">
        <tpls c="7">
          <tpl hier="0" item="2"/>
          <tpl fld="3" item="11"/>
          <tpl fld="4" item="119"/>
          <tpl hier="88" item="5"/>
          <tpl hier="92" item="4294967295"/>
          <tpl hier="93" item="1"/>
          <tpl hier="98" item="3"/>
        </tpls>
      </n>
      <n v="6">
        <tpls c="7">
          <tpl hier="0" item="2"/>
          <tpl fld="3" item="8"/>
          <tpl fld="4" item="109"/>
          <tpl hier="88" item="5"/>
          <tpl hier="92" item="4294967295"/>
          <tpl hier="93" item="1"/>
          <tpl hier="98" item="3"/>
        </tpls>
      </n>
      <n v="44">
        <tpls c="7">
          <tpl hier="0" item="2"/>
          <tpl fld="3" item="2"/>
          <tpl fld="4" item="96"/>
          <tpl hier="88" item="5"/>
          <tpl hier="92" item="4294967295"/>
          <tpl hier="93" item="1"/>
          <tpl hier="98" item="3"/>
        </tpls>
      </n>
      <m>
        <tpls c="7">
          <tpl hier="0" item="2"/>
          <tpl fld="3" item="5"/>
          <tpl fld="4" item="117"/>
          <tpl hier="88" item="5"/>
          <tpl hier="92" item="4294967295"/>
          <tpl hier="93" item="1"/>
          <tpl hier="98" item="3"/>
        </tpls>
      </m>
      <n v="32">
        <tpls c="7">
          <tpl hier="0" item="2"/>
          <tpl fld="3" item="5"/>
          <tpl fld="4" item="123"/>
          <tpl hier="88" item="5"/>
          <tpl hier="92" item="4294967295"/>
          <tpl hier="93" item="1"/>
          <tpl hier="98" item="3"/>
        </tpls>
      </n>
      <n v="40">
        <tpls c="7">
          <tpl hier="0" item="2"/>
          <tpl fld="3" item="9"/>
          <tpl fld="4" item="68"/>
          <tpl hier="88" item="5"/>
          <tpl hier="92" item="4294967295"/>
          <tpl hier="93" item="1"/>
          <tpl hier="98" item="3"/>
        </tpls>
      </n>
      <n v="8">
        <tpls c="7">
          <tpl hier="0" item="2"/>
          <tpl fld="3" item="8"/>
          <tpl fld="4" item="30"/>
          <tpl hier="88" item="5"/>
          <tpl hier="92" item="4294967295"/>
          <tpl hier="93" item="1"/>
          <tpl hier="98" item="3"/>
        </tpls>
      </n>
      <n v="502">
        <tpls c="7">
          <tpl hier="0" item="2"/>
          <tpl fld="3" item="13"/>
          <tpl fld="4" item="142"/>
          <tpl hier="88" item="5"/>
          <tpl hier="92" item="4294967295"/>
          <tpl hier="93" item="1"/>
          <tpl hier="98" item="3"/>
        </tpls>
      </n>
      <n v="18">
        <tpls c="7">
          <tpl hier="0" item="2"/>
          <tpl fld="3" item="12"/>
          <tpl fld="4" item="149"/>
          <tpl hier="88" item="5"/>
          <tpl hier="92" item="4294967295"/>
          <tpl hier="93" item="1"/>
          <tpl hier="98" item="3"/>
        </tpls>
      </n>
      <n v="136">
        <tpls c="7">
          <tpl hier="0" item="2"/>
          <tpl fld="3" item="5"/>
          <tpl fld="4" item="15"/>
          <tpl hier="88" item="5"/>
          <tpl hier="92" item="4294967295"/>
          <tpl hier="93" item="1"/>
          <tpl hier="98" item="3"/>
        </tpls>
      </n>
      <n v="20">
        <tpls c="6">
          <tpl fld="0" item="3"/>
          <tpl fld="3" item="9"/>
          <tpl hier="88" item="5"/>
          <tpl hier="92" item="4294967295"/>
          <tpl hier="93" item="1"/>
          <tpl hier="98" item="3"/>
        </tpls>
      </n>
      <n v="5">
        <tpls c="6">
          <tpl fld="0" item="3"/>
          <tpl fld="3" item="7"/>
          <tpl hier="88" item="5"/>
          <tpl hier="92" item="4294967295"/>
          <tpl hier="93" item="1"/>
          <tpl hier="98" item="3"/>
        </tpls>
      </n>
      <n v="9">
        <tpls c="7">
          <tpl hier="0" item="2"/>
          <tpl fld="3" item="3"/>
          <tpl fld="4" item="71"/>
          <tpl hier="88" item="5"/>
          <tpl hier="92" item="4294967295"/>
          <tpl hier="93" item="1"/>
          <tpl hier="98" item="3"/>
        </tpls>
      </n>
      <m>
        <tpls c="7">
          <tpl hier="0" item="2"/>
          <tpl fld="3" item="0"/>
          <tpl fld="4" item="72"/>
          <tpl hier="88" item="5"/>
          <tpl hier="92" item="4294967295"/>
          <tpl hier="93" item="1"/>
          <tpl hier="98" item="3"/>
        </tpls>
      </m>
      <m>
        <tpls c="7">
          <tpl hier="0" item="2"/>
          <tpl fld="3" item="12"/>
          <tpl fld="4" item="83"/>
          <tpl hier="88" item="5"/>
          <tpl hier="92" item="4294967295"/>
          <tpl hier="93" item="1"/>
          <tpl hier="98" item="3"/>
        </tpls>
      </m>
      <n v="23">
        <tpls c="7">
          <tpl hier="0" item="2"/>
          <tpl fld="3" item="5"/>
          <tpl fld="4" item="154"/>
          <tpl hier="88" item="5"/>
          <tpl hier="92" item="4294967295"/>
          <tpl hier="93" item="1"/>
          <tpl hier="98" item="3"/>
        </tpls>
      </n>
      <n v="225">
        <tpls c="7">
          <tpl hier="0" item="2"/>
          <tpl fld="3" item="5"/>
          <tpl fld="4" item="3"/>
          <tpl hier="88" item="5"/>
          <tpl hier="92" item="4294967295"/>
          <tpl hier="93" item="1"/>
          <tpl hier="98" item="3"/>
        </tpls>
      </n>
      <n v="570">
        <tpls c="7">
          <tpl hier="0" item="2"/>
          <tpl fld="3" item="2"/>
          <tpl fld="4" item="57"/>
          <tpl hier="88" item="5"/>
          <tpl hier="92" item="4294967295"/>
          <tpl hier="93" item="1"/>
          <tpl hier="98" item="3"/>
        </tpls>
      </n>
      <n v="19">
        <tpls c="7">
          <tpl hier="0" item="2"/>
          <tpl fld="3" item="4"/>
          <tpl fld="4" item="97"/>
          <tpl hier="88" item="5"/>
          <tpl hier="92" item="4294967295"/>
          <tpl hier="93" item="1"/>
          <tpl hier="98" item="3"/>
        </tpls>
      </n>
      <n v="9">
        <tpls c="7">
          <tpl hier="0" item="2"/>
          <tpl fld="3" item="10"/>
          <tpl fld="4" item="104"/>
          <tpl hier="88" item="5"/>
          <tpl hier="92" item="4294967295"/>
          <tpl hier="93" item="1"/>
          <tpl hier="98" item="3"/>
        </tpls>
      </n>
      <n v="77">
        <tpls c="7">
          <tpl hier="0" item="2"/>
          <tpl fld="3" item="12"/>
          <tpl fld="4" item="105"/>
          <tpl hier="88" item="5"/>
          <tpl hier="92" item="4294967295"/>
          <tpl hier="93" item="1"/>
          <tpl hier="98" item="3"/>
        </tpls>
      </n>
      <n v="2">
        <tpls c="7">
          <tpl hier="0" item="2"/>
          <tpl fld="3" item="2"/>
          <tpl fld="4" item="38"/>
          <tpl hier="88" item="5"/>
          <tpl hier="92" item="4294967295"/>
          <tpl hier="93" item="1"/>
          <tpl hier="98" item="3"/>
        </tpls>
      </n>
      <m>
        <tpls c="7">
          <tpl hier="0" item="2"/>
          <tpl fld="3" item="2"/>
          <tpl fld="4" item="114"/>
          <tpl hier="88" item="5"/>
          <tpl hier="92" item="4294967295"/>
          <tpl hier="93" item="1"/>
          <tpl hier="98" item="3"/>
        </tpls>
      </m>
      <n v="1">
        <tpls c="7">
          <tpl hier="0" item="2"/>
          <tpl fld="3" item="10"/>
          <tpl fld="4" item="167"/>
          <tpl hier="88" item="5"/>
          <tpl hier="92" item="4294967295"/>
          <tpl hier="93" item="1"/>
          <tpl hier="98" item="3"/>
        </tpls>
      </n>
      <m>
        <tpls c="7">
          <tpl hier="0" item="2"/>
          <tpl fld="3" item="2"/>
          <tpl fld="4" item="64"/>
          <tpl hier="88" item="5"/>
          <tpl hier="92" item="4294967295"/>
          <tpl hier="93" item="1"/>
          <tpl hier="98" item="3"/>
        </tpls>
      </m>
      <n v="169">
        <tpls c="6">
          <tpl hier="0" item="2"/>
          <tpl fld="3" item="6"/>
          <tpl hier="88" item="5"/>
          <tpl fld="2" item="1"/>
          <tpl hier="93" item="1"/>
          <tpl hier="98" item="3"/>
        </tpls>
      </n>
      <n v="313">
        <tpls c="6">
          <tpl fld="0" item="3"/>
          <tpl hier="2" item="4294967295"/>
          <tpl hier="88" item="5"/>
          <tpl hier="92" item="4294967295"/>
          <tpl hier="93" item="1"/>
          <tpl hier="98" item="3"/>
        </tpls>
      </n>
      <n v="538">
        <tpls c="6">
          <tpl hier="0" item="2"/>
          <tpl fld="3" item="12"/>
          <tpl hier="88" item="5"/>
          <tpl hier="92" item="4294967295"/>
          <tpl hier="93" item="1"/>
          <tpl hier="98" item="3"/>
        </tpls>
      </n>
      <n v="3">
        <tpls c="7">
          <tpl hier="0" item="2"/>
          <tpl fld="3" item="1"/>
          <tpl fld="4" item="171"/>
          <tpl hier="88" item="5"/>
          <tpl hier="92" item="4294967295"/>
          <tpl hier="93" item="1"/>
          <tpl hier="98" item="3"/>
        </tpls>
      </n>
      <n v="8">
        <tpls c="7">
          <tpl hier="0" item="2"/>
          <tpl fld="3" item="7"/>
          <tpl fld="4" item="172"/>
          <tpl hier="88" item="5"/>
          <tpl hier="92" item="4294967295"/>
          <tpl hier="93" item="1"/>
          <tpl hier="98" item="3"/>
        </tpls>
      </n>
      <n v="948">
        <tpls c="6">
          <tpl hier="0" item="2"/>
          <tpl fld="3" item="3"/>
          <tpl hier="88" item="5"/>
          <tpl hier="92" item="4294967295"/>
          <tpl hier="93" item="1"/>
          <tpl hier="98" item="3"/>
        </tpls>
      </n>
      <n v="42">
        <tpls c="6">
          <tpl hier="0" item="2"/>
          <tpl fld="3" item="8"/>
          <tpl hier="88" item="5"/>
          <tpl hier="92" item="4294967295"/>
          <tpl hier="93" item="1"/>
          <tpl hier="98" item="3"/>
        </tpls>
      </n>
      <n v="268">
        <tpls c="6">
          <tpl hier="0" item="2"/>
          <tpl fld="3" item="1"/>
          <tpl hier="88" item="5"/>
          <tpl fld="2" item="1"/>
          <tpl hier="93" item="1"/>
          <tpl hier="98" item="3"/>
        </tpls>
      </n>
      <m>
        <tpls c="7">
          <tpl hier="0" item="2"/>
          <tpl fld="3" item="0"/>
          <tpl fld="4" item="35"/>
          <tpl hier="88" item="5"/>
          <tpl hier="92" item="4294967295"/>
          <tpl hier="93" item="1"/>
          <tpl hier="98" item="3"/>
        </tpls>
      </m>
      <n v="908">
        <tpls c="6">
          <tpl hier="0" item="2"/>
          <tpl fld="3" item="9"/>
          <tpl hier="88" item="5"/>
          <tpl hier="92" item="4294967295"/>
          <tpl hier="93" item="1"/>
          <tpl hier="98" item="3"/>
        </tpls>
      </n>
      <n v="19">
        <tpls c="7">
          <tpl hier="0" item="2"/>
          <tpl fld="3" item="12"/>
          <tpl fld="4" item="5"/>
          <tpl hier="88" item="5"/>
          <tpl hier="92" item="4294967295"/>
          <tpl hier="93" item="1"/>
          <tpl hier="98" item="3"/>
        </tpls>
      </n>
      <n v="73">
        <tpls c="7">
          <tpl hier="0" item="2"/>
          <tpl fld="3" item="9"/>
          <tpl fld="4" item="61"/>
          <tpl hier="88" item="5"/>
          <tpl hier="92" item="4294967295"/>
          <tpl hier="93" item="1"/>
          <tpl hier="98" item="3"/>
        </tpls>
      </n>
      <n v="257">
        <tpls c="7">
          <tpl hier="0" item="2"/>
          <tpl fld="3" item="0"/>
          <tpl fld="4" item="10"/>
          <tpl hier="88" item="5"/>
          <tpl hier="92" item="4294967295"/>
          <tpl hier="93" item="1"/>
          <tpl hier="98" item="3"/>
        </tpls>
      </n>
      <m>
        <tpls c="7">
          <tpl hier="0" item="2"/>
          <tpl fld="3" item="2"/>
          <tpl fld="4" item="156"/>
          <tpl hier="88" item="5"/>
          <tpl hier="92" item="4294967295"/>
          <tpl hier="93" item="1"/>
          <tpl hier="98" item="3"/>
        </tpls>
      </m>
      <n v="23">
        <tpls c="7">
          <tpl hier="0" item="2"/>
          <tpl fld="3" item="0"/>
          <tpl fld="4" item="51"/>
          <tpl hier="88" item="5"/>
          <tpl hier="92" item="4294967295"/>
          <tpl hier="93" item="1"/>
          <tpl hier="98" item="3"/>
        </tpls>
      </n>
      <n v="30">
        <tpls c="7">
          <tpl hier="0" item="2"/>
          <tpl fld="3" item="3"/>
          <tpl fld="4" item="1"/>
          <tpl hier="88" item="5"/>
          <tpl hier="92" item="4294967295"/>
          <tpl hier="93" item="1"/>
          <tpl hier="98" item="3"/>
        </tpls>
      </n>
      <n v="2">
        <tpls c="7">
          <tpl hier="0" item="2"/>
          <tpl fld="3" item="6"/>
          <tpl fld="4" item="90"/>
          <tpl hier="88" item="5"/>
          <tpl hier="92" item="4294967295"/>
          <tpl hier="93" item="1"/>
          <tpl hier="98" item="3"/>
        </tpls>
      </n>
      <n v="24">
        <tpls c="7">
          <tpl hier="0" item="2"/>
          <tpl fld="3" item="10"/>
          <tpl fld="4" item="19"/>
          <tpl hier="88" item="5"/>
          <tpl hier="92" item="4294967295"/>
          <tpl hier="93" item="1"/>
          <tpl hier="98" item="3"/>
        </tpls>
      </n>
      <n v="5">
        <tpls c="7">
          <tpl hier="0" item="2"/>
          <tpl fld="3" item="7"/>
          <tpl fld="4" item="20"/>
          <tpl hier="88" item="5"/>
          <tpl hier="92" item="4294967295"/>
          <tpl hier="93" item="1"/>
          <tpl hier="98" item="3"/>
        </tpls>
      </n>
      <n v="4">
        <tpls c="7">
          <tpl hier="0" item="2"/>
          <tpl fld="3" item="1"/>
          <tpl fld="4" item="92"/>
          <tpl hier="88" item="5"/>
          <tpl hier="92" item="4294967295"/>
          <tpl hier="93" item="1"/>
          <tpl hier="98" item="3"/>
        </tpls>
      </n>
      <n v="75">
        <tpls c="7">
          <tpl hier="0" item="2"/>
          <tpl fld="3" item="13"/>
          <tpl fld="4" item="155"/>
          <tpl hier="88" item="5"/>
          <tpl hier="92" item="4294967295"/>
          <tpl hier="93" item="1"/>
          <tpl hier="98" item="3"/>
        </tpls>
      </n>
      <n v="34">
        <tpls c="7">
          <tpl hier="0" item="2"/>
          <tpl fld="3" item="13"/>
          <tpl fld="4" item="121"/>
          <tpl hier="88" item="5"/>
          <tpl hier="92" item="4294967295"/>
          <tpl hier="93" item="1"/>
          <tpl hier="98" item="3"/>
        </tpls>
      </n>
      <n v="17">
        <tpls c="6">
          <tpl fld="0" item="3"/>
          <tpl fld="3" item="10"/>
          <tpl hier="88" item="5"/>
          <tpl hier="92" item="4294967295"/>
          <tpl hier="93" item="1"/>
          <tpl hier="98" item="3"/>
        </tpls>
      </n>
      <n v="9">
        <tpls c="7">
          <tpl hier="0" item="2"/>
          <tpl fld="3" item="7"/>
          <tpl fld="4" item="174"/>
          <tpl hier="88" item="5"/>
          <tpl hier="92" item="4294967295"/>
          <tpl hier="93" item="1"/>
          <tpl hier="98" item="3"/>
        </tpls>
      </n>
      <n v="5">
        <tpls c="7">
          <tpl hier="0" item="2"/>
          <tpl fld="3" item="2"/>
          <tpl fld="4" item="12"/>
          <tpl hier="88" item="5"/>
          <tpl hier="92" item="4294967295"/>
          <tpl hier="93" item="1"/>
          <tpl hier="98" item="3"/>
        </tpls>
      </n>
      <m>
        <tpls c="7">
          <tpl hier="0" item="2"/>
          <tpl fld="3" item="6"/>
          <tpl fld="4" item="47"/>
          <tpl hier="88" item="5"/>
          <tpl hier="92" item="4294967295"/>
          <tpl hier="93" item="1"/>
          <tpl hier="98" item="3"/>
        </tpls>
      </m>
      <n v="33">
        <tpls c="7">
          <tpl hier="0" item="2"/>
          <tpl fld="3" item="4"/>
          <tpl fld="4" item="153"/>
          <tpl hier="88" item="5"/>
          <tpl hier="92" item="4294967295"/>
          <tpl hier="93" item="1"/>
          <tpl hier="98" item="3"/>
        </tpls>
      </n>
      <m>
        <tpls c="7">
          <tpl hier="0" item="2"/>
          <tpl fld="3" item="8"/>
          <tpl fld="4" item="102"/>
          <tpl hier="88" item="5"/>
          <tpl hier="92" item="4294967295"/>
          <tpl hier="93" item="1"/>
          <tpl hier="98" item="3"/>
        </tpls>
      </m>
      <n v="45">
        <tpls c="7">
          <tpl hier="0" item="2"/>
          <tpl fld="3" item="0"/>
          <tpl fld="4" item="37"/>
          <tpl hier="88" item="5"/>
          <tpl hier="92" item="4294967295"/>
          <tpl hier="93" item="1"/>
          <tpl hier="98" item="3"/>
        </tpls>
      </n>
      <m>
        <tpls c="7">
          <tpl hier="0" item="2"/>
          <tpl fld="3" item="6"/>
          <tpl fld="4" item="78"/>
          <tpl hier="88" item="5"/>
          <tpl hier="92" item="4294967295"/>
          <tpl hier="93" item="1"/>
          <tpl hier="98" item="3"/>
        </tpls>
      </m>
      <n v="20">
        <tpls c="7">
          <tpl hier="0" item="2"/>
          <tpl fld="3" item="14"/>
          <tpl fld="4" item="115"/>
          <tpl hier="88" item="5"/>
          <tpl hier="92" item="4294967295"/>
          <tpl hier="93" item="1"/>
          <tpl hier="98" item="3"/>
        </tpls>
      </n>
      <n v="81">
        <tpls c="7">
          <tpl hier="0" item="2"/>
          <tpl fld="3" item="14"/>
          <tpl fld="4" item="24"/>
          <tpl hier="88" item="5"/>
          <tpl hier="92" item="4294967295"/>
          <tpl hier="93" item="1"/>
          <tpl hier="98" item="3"/>
        </tpls>
      </n>
      <n v="41">
        <tpls c="7">
          <tpl hier="0" item="2"/>
          <tpl fld="3" item="9"/>
          <tpl fld="4" item="16"/>
          <tpl hier="88" item="5"/>
          <tpl hier="92" item="4294967295"/>
          <tpl hier="93" item="1"/>
          <tpl hier="98" item="3"/>
        </tpls>
      </n>
      <m>
        <tpls c="7">
          <tpl hier="0" item="2"/>
          <tpl fld="3" item="0"/>
          <tpl fld="4" item="141"/>
          <tpl hier="88" item="5"/>
          <tpl hier="92" item="4294967295"/>
          <tpl hier="93" item="1"/>
          <tpl hier="98" item="3"/>
        </tpls>
      </m>
      <m>
        <tpls c="7">
          <tpl hier="0" item="2"/>
          <tpl fld="3" item="1"/>
          <tpl fld="4" item="157"/>
          <tpl hier="88" item="5"/>
          <tpl hier="92" item="4294967295"/>
          <tpl hier="93" item="1"/>
          <tpl hier="98" item="3"/>
        </tpls>
      </m>
      <m>
        <tpls c="7">
          <tpl hier="0" item="2"/>
          <tpl fld="3" item="11"/>
          <tpl fld="4" item="4"/>
          <tpl hier="88" item="5"/>
          <tpl hier="92" item="4294967295"/>
          <tpl hier="93" item="1"/>
          <tpl hier="98" item="3"/>
        </tpls>
      </m>
      <n v="191">
        <tpls c="7">
          <tpl hier="0" item="2"/>
          <tpl fld="3" item="9"/>
          <tpl fld="4" item="125"/>
          <tpl hier="88" item="5"/>
          <tpl hier="92" item="4294967295"/>
          <tpl hier="93" item="1"/>
          <tpl hier="98" item="3"/>
        </tpls>
      </n>
      <n v="192">
        <tpls c="7">
          <tpl hier="0" item="2"/>
          <tpl fld="3" item="9"/>
          <tpl fld="4" item="63"/>
          <tpl hier="88" item="5"/>
          <tpl hier="92" item="4294967295"/>
          <tpl hier="93" item="1"/>
          <tpl hier="98" item="3"/>
        </tpls>
      </n>
      <n v="50">
        <tpls c="7">
          <tpl hier="0" item="2"/>
          <tpl fld="3" item="2"/>
          <tpl fld="4" item="151"/>
          <tpl hier="88" item="5"/>
          <tpl hier="92" item="4294967295"/>
          <tpl hier="93" item="1"/>
          <tpl hier="98" item="3"/>
        </tpls>
      </n>
      <n v="3">
        <tpls c="7">
          <tpl hier="0" item="2"/>
          <tpl fld="3" item="1"/>
          <tpl fld="4" item="106"/>
          <tpl hier="88" item="5"/>
          <tpl hier="92" item="4294967295"/>
          <tpl hier="93" item="1"/>
          <tpl hier="98" item="3"/>
        </tpls>
      </n>
      <m>
        <tpls c="7">
          <tpl hier="0" item="2"/>
          <tpl fld="3" item="9"/>
          <tpl fld="4" item="22"/>
          <tpl hier="88" item="5"/>
          <tpl hier="92" item="4294967295"/>
          <tpl hier="93" item="1"/>
          <tpl hier="98" item="3"/>
        </tpls>
      </m>
      <n v="394">
        <tpls c="7">
          <tpl hier="0" item="2"/>
          <tpl fld="3" item="0"/>
          <tpl fld="4" item="95"/>
          <tpl hier="88" item="5"/>
          <tpl hier="92" item="4294967295"/>
          <tpl hier="93" item="1"/>
          <tpl hier="98" item="3"/>
        </tpls>
      </n>
      <n v="82">
        <tpls c="7">
          <tpl hier="0" item="2"/>
          <tpl fld="3" item="12"/>
          <tpl fld="4" item="28"/>
          <tpl hier="88" item="5"/>
          <tpl hier="92" item="4294967295"/>
          <tpl hier="93" item="1"/>
          <tpl hier="98" item="3"/>
        </tpls>
      </n>
      <m>
        <tpls c="7">
          <tpl hier="0" item="2"/>
          <tpl fld="3" item="5"/>
          <tpl fld="4" item="148"/>
          <tpl hier="88" item="5"/>
          <tpl hier="92" item="4294967295"/>
          <tpl hier="93" item="1"/>
          <tpl hier="98" item="3"/>
        </tpls>
      </m>
      <n v="88">
        <tpls c="7">
          <tpl hier="0" item="2"/>
          <tpl fld="3" item="2"/>
          <tpl fld="4" item="107"/>
          <tpl hier="88" item="5"/>
          <tpl hier="92" item="4294967295"/>
          <tpl hier="93" item="1"/>
          <tpl hier="98" item="3"/>
        </tpls>
      </n>
      <n v="26">
        <tpls c="7">
          <tpl hier="0" item="2"/>
          <tpl fld="3" item="10"/>
          <tpl fld="4" item="66"/>
          <tpl hier="88" item="5"/>
          <tpl hier="92" item="4294967295"/>
          <tpl hier="93" item="1"/>
          <tpl hier="98" item="3"/>
        </tpls>
      </n>
      <n v="4">
        <tpls c="7">
          <tpl hier="0" item="2"/>
          <tpl fld="3" item="8"/>
          <tpl fld="4" item="124"/>
          <tpl hier="88" item="5"/>
          <tpl hier="92" item="4294967295"/>
          <tpl hier="93" item="1"/>
          <tpl hier="98" item="3"/>
        </tpls>
      </n>
      <n v="68">
        <tpls c="7">
          <tpl hier="0" item="2"/>
          <tpl fld="3" item="9"/>
          <tpl fld="4" item="86"/>
          <tpl hier="88" item="5"/>
          <tpl hier="92" item="4294967295"/>
          <tpl hier="93" item="1"/>
          <tpl hier="98" item="3"/>
        </tpls>
      </n>
      <n v="17">
        <tpls c="7">
          <tpl hier="0" item="2"/>
          <tpl fld="3" item="1"/>
          <tpl fld="4" item="110"/>
          <tpl hier="88" item="5"/>
          <tpl hier="92" item="4294967295"/>
          <tpl hier="93" item="1"/>
          <tpl hier="98" item="3"/>
        </tpls>
      </n>
      <n v="6">
        <tpls c="7">
          <tpl hier="0" item="2"/>
          <tpl fld="3" item="10"/>
          <tpl fld="4" item="98"/>
          <tpl hier="88" item="5"/>
          <tpl hier="92" item="4294967295"/>
          <tpl hier="93" item="1"/>
          <tpl hier="98" item="3"/>
        </tpls>
      </n>
      <n v="4">
        <tpls c="7">
          <tpl hier="0" item="2"/>
          <tpl fld="3" item="1"/>
          <tpl fld="4" item="168"/>
          <tpl hier="88" item="5"/>
          <tpl hier="92" item="4294967295"/>
          <tpl hier="93" item="1"/>
          <tpl hier="98" item="3"/>
        </tpls>
      </n>
      <n v="102">
        <tpls c="7">
          <tpl hier="0" item="2"/>
          <tpl fld="3" item="14"/>
          <tpl fld="4" item="183"/>
          <tpl hier="88" item="5"/>
          <tpl hier="92" item="4294967295"/>
          <tpl hier="93" item="1"/>
          <tpl hier="98" item="3"/>
        </tpls>
      </n>
      <n v="8">
        <tpls c="7">
          <tpl hier="0" item="2"/>
          <tpl fld="3" item="14"/>
          <tpl fld="4" item="166"/>
          <tpl hier="88" item="5"/>
          <tpl hier="92" item="4294967295"/>
          <tpl hier="93" item="1"/>
          <tpl hier="98" item="3"/>
        </tpls>
      </n>
      <m>
        <tpls c="7">
          <tpl hier="0" item="2"/>
          <tpl fld="3" item="0"/>
          <tpl fld="4" item="187"/>
          <tpl hier="88" item="5"/>
          <tpl hier="92" item="4294967295"/>
          <tpl hier="93" item="1"/>
          <tpl hier="98" item="3"/>
        </tpls>
      </m>
      <n v="105">
        <tpls c="7">
          <tpl hier="0" item="2"/>
          <tpl fld="3" item="2"/>
          <tpl fld="4" item="145"/>
          <tpl hier="88" item="5"/>
          <tpl hier="92" item="4294967295"/>
          <tpl hier="93" item="1"/>
          <tpl hier="98" item="3"/>
        </tpls>
      </n>
      <n v="313">
        <tpls c="5">
          <tpl fld="0" item="3"/>
          <tpl hier="88" item="5"/>
          <tpl hier="92" item="4294967295"/>
          <tpl hier="93" item="1"/>
          <tpl hier="98" item="3"/>
        </tpls>
      </n>
      <n v="68">
        <tpls c="7">
          <tpl hier="0" item="2"/>
          <tpl fld="3" item="0"/>
          <tpl fld="4" item="188"/>
          <tpl hier="88" item="5"/>
          <tpl hier="92" item="4294967295"/>
          <tpl hier="93" item="1"/>
          <tpl hier="98" item="3"/>
        </tpls>
      </n>
      <m>
        <tpls c="7">
          <tpl hier="0" item="2"/>
          <tpl fld="3" item="1"/>
          <tpl fld="4" item="0"/>
          <tpl hier="88" item="5"/>
          <tpl hier="92" item="4294967295"/>
          <tpl hier="93" item="1"/>
          <tpl hier="98" item="3"/>
        </tpls>
      </m>
      <n v="28">
        <tpls c="7">
          <tpl hier="0" item="2"/>
          <tpl fld="3" item="1"/>
          <tpl fld="4" item="192"/>
          <tpl hier="88" item="5"/>
          <tpl hier="92" item="4294967295"/>
          <tpl hier="93" item="1"/>
          <tpl hier="98" item="3"/>
        </tpls>
      </n>
      <n v="32">
        <tpls c="6">
          <tpl hier="0" item="2"/>
          <tpl fld="3" item="7"/>
          <tpl hier="88" item="5"/>
          <tpl fld="2" item="1"/>
          <tpl hier="93" item="1"/>
          <tpl hier="98" item="3"/>
        </tpls>
      </n>
      <n v="5">
        <tpls c="7">
          <tpl hier="0" item="2"/>
          <tpl fld="3" item="7"/>
          <tpl fld="4" item="170"/>
          <tpl hier="88" item="5"/>
          <tpl hier="92" item="4294967295"/>
          <tpl hier="93" item="1"/>
          <tpl hier="98" item="3"/>
        </tpls>
      </n>
      <n v="1">
        <tpls c="7">
          <tpl hier="0" item="2"/>
          <tpl fld="3" item="10"/>
          <tpl fld="4" item="173"/>
          <tpl hier="88" item="5"/>
          <tpl hier="92" item="4294967295"/>
          <tpl hier="93" item="1"/>
          <tpl hier="98" item="3"/>
        </tpls>
      </n>
      <m>
        <tpls c="7">
          <tpl hier="0" item="2"/>
          <tpl fld="3" item="0"/>
          <tpl fld="4" item="138"/>
          <tpl hier="88" item="5"/>
          <tpl hier="92" item="4294967295"/>
          <tpl hier="93" item="1"/>
          <tpl hier="98" item="3"/>
        </tpls>
      </m>
      <n v="1">
        <tpls c="7">
          <tpl hier="0" item="2"/>
          <tpl fld="3" item="10"/>
          <tpl fld="4" item="52"/>
          <tpl hier="88" item="5"/>
          <tpl hier="92" item="4294967295"/>
          <tpl hier="93" item="1"/>
          <tpl hier="98" item="3"/>
        </tpls>
      </n>
      <n v="7">
        <tpls c="7">
          <tpl hier="0" item="2"/>
          <tpl fld="3" item="7"/>
          <tpl fld="4" item="74"/>
          <tpl hier="88" item="5"/>
          <tpl hier="92" item="4294967295"/>
          <tpl hier="93" item="1"/>
          <tpl hier="98" item="3"/>
        </tpls>
      </n>
      <n v="20">
        <tpls c="7">
          <tpl hier="0" item="2"/>
          <tpl fld="3" item="6"/>
          <tpl fld="4" item="135"/>
          <tpl hier="88" item="5"/>
          <tpl hier="92" item="4294967295"/>
          <tpl hier="93" item="1"/>
          <tpl hier="98" item="3"/>
        </tpls>
      </n>
      <n v="266">
        <tpls c="7">
          <tpl hier="0" item="2"/>
          <tpl fld="3" item="1"/>
          <tpl fld="4" item="178"/>
          <tpl hier="88" item="5"/>
          <tpl hier="92" item="4294967295"/>
          <tpl hier="93" item="1"/>
          <tpl hier="98" item="3"/>
        </tpls>
      </n>
      <n v="44">
        <tpls c="7">
          <tpl hier="0" item="2"/>
          <tpl fld="3" item="2"/>
          <tpl fld="4" item="81"/>
          <tpl hier="88" item="5"/>
          <tpl hier="92" item="4294967295"/>
          <tpl hier="93" item="1"/>
          <tpl hier="98" item="3"/>
        </tpls>
      </n>
      <n v="5">
        <tpls c="7">
          <tpl hier="0" item="2"/>
          <tpl fld="3" item="5"/>
          <tpl fld="4" item="190"/>
          <tpl hier="88" item="5"/>
          <tpl hier="92" item="4294967295"/>
          <tpl hier="93" item="1"/>
          <tpl hier="98" item="3"/>
        </tpls>
      </n>
      <n v="46">
        <tpls c="7">
          <tpl hier="0" item="2"/>
          <tpl fld="3" item="12"/>
          <tpl fld="4" item="14"/>
          <tpl hier="88" item="5"/>
          <tpl hier="92" item="4294967295"/>
          <tpl hier="93" item="1"/>
          <tpl hier="98" item="3"/>
        </tpls>
      </n>
      <n v="17">
        <tpls c="7">
          <tpl hier="0" item="2"/>
          <tpl fld="3" item="11"/>
          <tpl fld="4" item="82"/>
          <tpl hier="88" item="5"/>
          <tpl hier="92" item="4294967295"/>
          <tpl hier="93" item="1"/>
          <tpl hier="98" item="3"/>
        </tpls>
      </n>
      <n v="126">
        <tpls c="7">
          <tpl hier="0" item="2"/>
          <tpl fld="3" item="3"/>
          <tpl fld="4" item="84"/>
          <tpl hier="88" item="5"/>
          <tpl hier="92" item="4294967295"/>
          <tpl hier="93" item="1"/>
          <tpl hier="98" item="3"/>
        </tpls>
      </n>
      <n v="23">
        <tpls c="7">
          <tpl hier="0" item="2"/>
          <tpl fld="3" item="12"/>
          <tpl fld="4" item="60"/>
          <tpl hier="88" item="5"/>
          <tpl hier="92" item="4294967295"/>
          <tpl hier="93" item="1"/>
          <tpl hier="98" item="3"/>
        </tpls>
      </n>
      <n v="5">
        <tpls c="7">
          <tpl hier="0" item="2"/>
          <tpl fld="3" item="8"/>
          <tpl fld="4" item="49"/>
          <tpl hier="88" item="5"/>
          <tpl hier="92" item="4294967295"/>
          <tpl hier="93" item="1"/>
          <tpl hier="98" item="3"/>
        </tpls>
      </n>
      <m>
        <tpls c="7">
          <tpl hier="0" item="2"/>
          <tpl fld="3" item="2"/>
          <tpl fld="4" item="39"/>
          <tpl hier="88" item="5"/>
          <tpl hier="92" item="4294967295"/>
          <tpl hier="93" item="1"/>
          <tpl hier="98" item="3"/>
        </tpls>
      </m>
      <m>
        <tpls c="7">
          <tpl hier="0" item="2"/>
          <tpl fld="3" item="6"/>
          <tpl fld="4" item="65"/>
          <tpl hier="88" item="5"/>
          <tpl hier="92" item="4294967295"/>
          <tpl hier="93" item="1"/>
          <tpl hier="98" item="3"/>
        </tpls>
      </m>
      <n v="24">
        <tpls c="7">
          <tpl hier="0" item="2"/>
          <tpl fld="3" item="10"/>
          <tpl fld="4" item="120"/>
          <tpl hier="88" item="5"/>
          <tpl hier="92" item="4294967295"/>
          <tpl hier="93" item="1"/>
          <tpl hier="98" item="3"/>
        </tpls>
      </n>
      <m>
        <tpls c="7">
          <tpl hier="0" item="2"/>
          <tpl fld="3" item="0"/>
          <tpl fld="4" item="13"/>
          <tpl hier="88" item="5"/>
          <tpl hier="92" item="4294967295"/>
          <tpl hier="93" item="1"/>
          <tpl hier="98" item="3"/>
        </tpls>
      </m>
      <n v="106">
        <tpls c="7">
          <tpl hier="0" item="2"/>
          <tpl fld="3" item="0"/>
          <tpl fld="4" item="59"/>
          <tpl hier="88" item="5"/>
          <tpl hier="92" item="4294967295"/>
          <tpl hier="93" item="1"/>
          <tpl hier="98" item="3"/>
        </tpls>
      </n>
      <n v="83">
        <tpls c="7">
          <tpl hier="0" item="2"/>
          <tpl fld="3" item="4"/>
          <tpl fld="4" item="93"/>
          <tpl hier="88" item="5"/>
          <tpl hier="92" item="4294967295"/>
          <tpl hier="93" item="1"/>
          <tpl hier="98" item="3"/>
        </tpls>
      </n>
      <m>
        <tpls c="7">
          <tpl hier="0" item="2"/>
          <tpl fld="3" item="3"/>
          <tpl fld="4" item="163"/>
          <tpl hier="88" item="5"/>
          <tpl hier="92" item="4294967295"/>
          <tpl hier="93" item="1"/>
          <tpl hier="98" item="3"/>
        </tpls>
      </m>
      <n v="54">
        <tpls c="7">
          <tpl hier="0" item="2"/>
          <tpl fld="3" item="0"/>
          <tpl fld="4" item="197"/>
          <tpl hier="88" item="5"/>
          <tpl hier="92" item="4294967295"/>
          <tpl hier="93" item="1"/>
          <tpl hier="98" item="3"/>
        </tpls>
      </n>
      <n v="18">
        <tpls c="7">
          <tpl hier="0" item="2"/>
          <tpl fld="3" item="1"/>
          <tpl fld="4" item="198"/>
          <tpl hier="88" item="5"/>
          <tpl hier="92" item="4294967295"/>
          <tpl hier="93" item="1"/>
          <tpl hier="98" item="3"/>
        </tpls>
      </n>
      <n v="117">
        <tpls c="7">
          <tpl hier="0" item="2"/>
          <tpl fld="3" item="6"/>
          <tpl fld="4" item="67"/>
          <tpl hier="88" item="5"/>
          <tpl hier="92" item="4294967295"/>
          <tpl hier="93" item="1"/>
          <tpl hier="98" item="3"/>
        </tpls>
      </n>
      <m>
        <tpls c="7">
          <tpl hier="0" item="2"/>
          <tpl fld="3" item="7"/>
          <tpl fld="4" item="32"/>
          <tpl hier="88" item="5"/>
          <tpl hier="92" item="4294967295"/>
          <tpl hier="93" item="1"/>
          <tpl hier="98" item="3"/>
        </tpls>
      </m>
      <m>
        <tpls c="7">
          <tpl hier="0" item="2"/>
          <tpl fld="3" item="7"/>
          <tpl fld="4" item="70"/>
          <tpl hier="88" item="5"/>
          <tpl hier="92" item="4294967295"/>
          <tpl hier="93" item="1"/>
          <tpl hier="98" item="3"/>
        </tpls>
      </m>
      <n v="5">
        <tpls c="7">
          <tpl hier="0" item="2"/>
          <tpl fld="3" item="6"/>
          <tpl fld="4" item="176"/>
          <tpl hier="88" item="5"/>
          <tpl hier="92" item="4294967295"/>
          <tpl hier="93" item="1"/>
          <tpl hier="98" item="3"/>
        </tpls>
      </n>
      <n v="80">
        <tpls c="7">
          <tpl hier="0" item="2"/>
          <tpl fld="3" item="0"/>
          <tpl fld="4" item="177"/>
          <tpl hier="88" item="5"/>
          <tpl hier="92" item="4294967295"/>
          <tpl hier="93" item="1"/>
          <tpl hier="98" item="3"/>
        </tpls>
      </n>
      <n v="9">
        <tpls c="7">
          <tpl hier="0" item="2"/>
          <tpl fld="3" item="14"/>
          <tpl fld="4" item="111"/>
          <tpl hier="88" item="5"/>
          <tpl hier="92" item="4294967295"/>
          <tpl hier="93" item="1"/>
          <tpl hier="98" item="3"/>
        </tpls>
      </n>
      <n v="41">
        <tpls c="7">
          <tpl hier="0" item="2"/>
          <tpl fld="3" item="10"/>
          <tpl fld="4" item="199"/>
          <tpl hier="88" item="5"/>
          <tpl hier="92" item="4294967295"/>
          <tpl hier="93" item="1"/>
          <tpl hier="98" item="3"/>
        </tpls>
      </n>
      <m>
        <tpls c="7">
          <tpl hier="0" item="2"/>
          <tpl fld="3" item="13"/>
          <tpl fld="4" item="53"/>
          <tpl hier="88" item="5"/>
          <tpl hier="92" item="4294967295"/>
          <tpl hier="93" item="1"/>
          <tpl hier="98" item="3"/>
        </tpls>
      </m>
      <m>
        <tpls c="7">
          <tpl hier="0" item="2"/>
          <tpl fld="3" item="4"/>
          <tpl fld="4" item="103"/>
          <tpl hier="88" item="5"/>
          <tpl hier="92" item="4294967295"/>
          <tpl hier="93" item="1"/>
          <tpl hier="98" item="3"/>
        </tpls>
      </m>
      <n v="101">
        <tpls c="7">
          <tpl hier="0" item="2"/>
          <tpl fld="3" item="0"/>
          <tpl fld="4" item="100"/>
          <tpl hier="88" item="5"/>
          <tpl hier="92" item="4294967295"/>
          <tpl hier="93" item="1"/>
          <tpl hier="98" item="3"/>
        </tpls>
      </n>
      <n v="14">
        <tpls c="7">
          <tpl hier="0" item="2"/>
          <tpl fld="3" item="11"/>
          <tpl fld="4" item="191"/>
          <tpl hier="88" item="5"/>
          <tpl hier="92" item="4294967295"/>
          <tpl hier="93" item="1"/>
          <tpl hier="98" item="3"/>
        </tpls>
      </n>
      <m>
        <tpls c="7">
          <tpl hier="0" item="2"/>
          <tpl fld="3" item="14"/>
          <tpl fld="4" item="118"/>
          <tpl hier="88" item="5"/>
          <tpl hier="92" item="4294967295"/>
          <tpl hier="93" item="1"/>
          <tpl hier="98" item="3"/>
        </tpls>
      </m>
      <m>
        <tpls c="7">
          <tpl hier="0" item="2"/>
          <tpl fld="3" item="2"/>
          <tpl fld="4" item="25"/>
          <tpl hier="88" item="5"/>
          <tpl hier="92" item="4294967295"/>
          <tpl hier="93" item="1"/>
          <tpl hier="98" item="3"/>
        </tpls>
      </m>
      <n v="11">
        <tpls c="7">
          <tpl hier="0" item="2"/>
          <tpl fld="3" item="8"/>
          <tpl fld="4" item="112"/>
          <tpl hier="88" item="5"/>
          <tpl hier="92" item="4294967295"/>
          <tpl hier="93" item="1"/>
          <tpl hier="98" item="3"/>
        </tpls>
      </n>
      <n v="38">
        <tpls c="7">
          <tpl hier="0" item="2"/>
          <tpl fld="3" item="3"/>
          <tpl fld="4" item="139"/>
          <tpl hier="88" item="5"/>
          <tpl hier="92" item="4294967295"/>
          <tpl hier="93" item="1"/>
          <tpl hier="98" item="3"/>
        </tpls>
      </n>
      <m>
        <tpls c="7">
          <tpl hier="0" item="2"/>
          <tpl fld="3" item="2"/>
          <tpl fld="4" item="101"/>
          <tpl hier="88" item="5"/>
          <tpl hier="92" item="4294967295"/>
          <tpl hier="93" item="1"/>
          <tpl hier="98" item="3"/>
        </tpls>
      </m>
      <n v="121">
        <tpls c="7">
          <tpl hier="0" item="2"/>
          <tpl fld="3" item="3"/>
          <tpl fld="4" item="200"/>
          <tpl hier="88" item="5"/>
          <tpl hier="92" item="4294967295"/>
          <tpl hier="93" item="1"/>
          <tpl hier="98" item="3"/>
        </tpls>
      </n>
      <n v="5259">
        <tpls c="6">
          <tpl hier="0" item="2"/>
          <tpl fld="3" item="2"/>
          <tpl hier="88" item="5"/>
          <tpl hier="92" item="4294967295"/>
          <tpl hier="93" item="1"/>
          <tpl hier="98" item="3"/>
        </tpls>
      </n>
      <n v="3634">
        <tpls c="6">
          <tpl hier="0" item="2"/>
          <tpl fld="3" item="0"/>
          <tpl hier="88" item="5"/>
          <tpl hier="92" item="4294967295"/>
          <tpl hier="93" item="1"/>
          <tpl hier="98" item="3"/>
        </tpls>
      </n>
      <n v="18">
        <tpls c="7">
          <tpl hier="0" item="2"/>
          <tpl fld="3" item="1"/>
          <tpl fld="4" item="76"/>
          <tpl hier="88" item="5"/>
          <tpl hier="92" item="4294967295"/>
          <tpl hier="93" item="1"/>
          <tpl hier="98" item="3"/>
        </tpls>
      </n>
      <n v="1288">
        <tpls c="7">
          <tpl hier="0" item="2"/>
          <tpl fld="3" item="2"/>
          <tpl fld="4" item="160"/>
          <tpl hier="88" item="5"/>
          <tpl hier="92" item="4294967295"/>
          <tpl hier="93" item="1"/>
          <tpl hier="98" item="3"/>
        </tpls>
      </n>
      <n v="328">
        <tpls c="6">
          <tpl hier="0" item="2"/>
          <tpl fld="3" item="11"/>
          <tpl hier="88" item="5"/>
          <tpl hier="92" item="4294967295"/>
          <tpl hier="93" item="1"/>
          <tpl hier="98" item="3"/>
        </tpls>
      </n>
      <n v="15">
        <tpls c="7">
          <tpl hier="0" item="2"/>
          <tpl fld="3" item="10"/>
          <tpl fld="4" item="201"/>
          <tpl hier="88" item="5"/>
          <tpl hier="92" item="4294967295"/>
          <tpl hier="93" item="1"/>
          <tpl hier="98" item="3"/>
        </tpls>
      </n>
      <n v="211">
        <tpls c="7">
          <tpl hier="0" item="2"/>
          <tpl fld="3" item="3"/>
          <tpl fld="4" item="204"/>
          <tpl hier="88" item="5"/>
          <tpl hier="92" item="4294967295"/>
          <tpl hier="93" item="1"/>
          <tpl hier="98" item="3"/>
        </tpls>
      </n>
      <n v="6">
        <tpls c="7">
          <tpl hier="0" item="2"/>
          <tpl fld="3" item="14"/>
          <tpl fld="4" item="205"/>
          <tpl hier="88" item="5"/>
          <tpl hier="92" item="4294967295"/>
          <tpl hier="93" item="1"/>
          <tpl hier="98" item="3"/>
        </tpls>
      </n>
      <n v="3">
        <tpls c="7">
          <tpl hier="0" item="2"/>
          <tpl fld="3" item="6"/>
          <tpl fld="4" item="206"/>
          <tpl hier="88" item="5"/>
          <tpl hier="92" item="4294967295"/>
          <tpl hier="93" item="1"/>
          <tpl hier="98" item="3"/>
        </tpls>
      </n>
      <n v="1">
        <tpls c="6">
          <tpl fld="0" item="3"/>
          <tpl fld="3" item="8"/>
          <tpl hier="88" item="5"/>
          <tpl hier="92" item="4294967295"/>
          <tpl hier="93" item="1"/>
          <tpl hier="98" item="3"/>
        </tpls>
      </n>
      <m>
        <tpls c="7">
          <tpl hier="0" item="2"/>
          <tpl fld="3" item="2"/>
          <tpl fld="4" item="113"/>
          <tpl hier="88" item="5"/>
          <tpl hier="92" item="4294967295"/>
          <tpl hier="93" item="1"/>
          <tpl hier="98" item="3"/>
        </tpls>
      </m>
      <n v="4">
        <tpls c="7">
          <tpl hier="0" item="2"/>
          <tpl fld="3" item="6"/>
          <tpl fld="4" item="88"/>
          <tpl hier="88" item="5"/>
          <tpl hier="92" item="4294967295"/>
          <tpl hier="93" item="1"/>
          <tpl hier="98" item="3"/>
        </tpls>
      </n>
      <m>
        <tpls c="7">
          <tpl hier="0" item="2"/>
          <tpl fld="3" item="12"/>
          <tpl fld="4" item="94"/>
          <tpl hier="88" item="5"/>
          <tpl hier="92" item="4294967295"/>
          <tpl hier="93" item="1"/>
          <tpl hier="98" item="3"/>
        </tpls>
      </m>
      <m>
        <tpls c="7">
          <tpl hier="0" item="2"/>
          <tpl fld="3" item="13"/>
          <tpl fld="4" item="146"/>
          <tpl hier="88" item="5"/>
          <tpl hier="92" item="4294967295"/>
          <tpl hier="93" item="1"/>
          <tpl hier="98" item="3"/>
        </tpls>
      </m>
      <n v="546">
        <tpls c="7">
          <tpl hier="0" item="2"/>
          <tpl fld="3" item="0"/>
          <tpl fld="4" item="34"/>
          <tpl hier="88" item="5"/>
          <tpl hier="92" item="4294967295"/>
          <tpl hier="93" item="1"/>
          <tpl hier="98" item="3"/>
        </tpls>
      </n>
      <m>
        <tpls c="7">
          <tpl hier="0" item="2"/>
          <tpl fld="3" item="12"/>
          <tpl fld="4" item="152"/>
          <tpl hier="88" item="5"/>
          <tpl hier="92" item="4294967295"/>
          <tpl hier="93" item="1"/>
          <tpl hier="98" item="3"/>
        </tpls>
      </m>
      <n v="243">
        <tpls c="7">
          <tpl hier="0" item="2"/>
          <tpl fld="3" item="12"/>
          <tpl fld="4" item="127"/>
          <tpl hier="88" item="5"/>
          <tpl hier="92" item="4294967295"/>
          <tpl hier="93" item="1"/>
          <tpl hier="98" item="3"/>
        </tpls>
      </n>
      <n v="40">
        <tpls c="7">
          <tpl hier="0" item="2"/>
          <tpl fld="3" item="3"/>
          <tpl fld="4" item="91"/>
          <tpl hier="88" item="5"/>
          <tpl hier="92" item="4294967295"/>
          <tpl hier="93" item="1"/>
          <tpl hier="98" item="3"/>
        </tpls>
      </n>
      <m>
        <tpls c="7">
          <tpl hier="0" item="2"/>
          <tpl fld="3" item="3"/>
          <tpl fld="4" item="131"/>
          <tpl hier="88" item="5"/>
          <tpl hier="92" item="4294967295"/>
          <tpl hier="93" item="1"/>
          <tpl hier="98" item="3"/>
        </tpls>
      </m>
      <n v="161">
        <tpls c="7">
          <tpl hier="0" item="2"/>
          <tpl fld="3" item="3"/>
          <tpl fld="4" item="208"/>
          <tpl hier="88" item="5"/>
          <tpl hier="92" item="4294967295"/>
          <tpl hier="93" item="1"/>
          <tpl hier="98" item="3"/>
        </tpls>
      </n>
      <n v="56">
        <tpls c="7">
          <tpl hier="0" item="2"/>
          <tpl fld="3" item="0"/>
          <tpl fld="4" item="26"/>
          <tpl hier="88" item="5"/>
          <tpl hier="92" item="4294967295"/>
          <tpl hier="93" item="1"/>
          <tpl hier="98" item="3"/>
        </tpls>
      </n>
      <m>
        <tpls c="7">
          <tpl hier="0" item="2"/>
          <tpl fld="3" item="7"/>
          <tpl fld="4" item="162"/>
          <tpl hier="88" item="5"/>
          <tpl hier="92" item="4294967295"/>
          <tpl hier="93" item="1"/>
          <tpl hier="98" item="3"/>
        </tpls>
      </m>
      <n v="38">
        <tpls c="7">
          <tpl hier="0" item="2"/>
          <tpl fld="3" item="6"/>
          <tpl fld="4" item="116"/>
          <tpl hier="88" item="5"/>
          <tpl hier="92" item="4294967295"/>
          <tpl hier="93" item="1"/>
          <tpl hier="98" item="3"/>
        </tpls>
      </n>
      <n v="875">
        <tpls c="7">
          <tpl hier="0" item="2"/>
          <tpl fld="3" item="2"/>
          <tpl fld="4" item="21"/>
          <tpl hier="88" item="5"/>
          <tpl hier="92" item="4294967295"/>
          <tpl hier="93" item="1"/>
          <tpl hier="98" item="3"/>
        </tpls>
      </n>
      <n v="7">
        <tpls c="7">
          <tpl hier="0" item="2"/>
          <tpl fld="3" item="8"/>
          <tpl fld="4" item="203"/>
          <tpl hier="88" item="5"/>
          <tpl hier="92" item="4294967295"/>
          <tpl hier="93" item="1"/>
          <tpl hier="98" item="3"/>
        </tpls>
      </n>
      <n v="15">
        <tpls c="7">
          <tpl hier="0" item="2"/>
          <tpl fld="3" item="2"/>
          <tpl fld="4" item="46"/>
          <tpl hier="88" item="5"/>
          <tpl hier="92" item="4294967295"/>
          <tpl hier="93" item="1"/>
          <tpl hier="98" item="3"/>
        </tpls>
      </n>
      <n v="5">
        <tpls c="7">
          <tpl hier="0" item="2"/>
          <tpl fld="3" item="10"/>
          <tpl fld="4" item="175"/>
          <tpl hier="88" item="5"/>
          <tpl hier="92" item="4294967295"/>
          <tpl hier="93" item="1"/>
          <tpl hier="98" item="3"/>
        </tpls>
      </n>
      <n v="10">
        <tpls c="6">
          <tpl fld="0" item="3"/>
          <tpl fld="3" item="0"/>
          <tpl hier="88" item="5"/>
          <tpl hier="92" item="4294967295"/>
          <tpl hier="93" item="1"/>
          <tpl hier="98" item="3"/>
        </tpls>
      </n>
      <n v="1779">
        <tpls c="6">
          <tpl hier="0" item="2"/>
          <tpl fld="3" item="2"/>
          <tpl hier="88" item="5"/>
          <tpl fld="2" item="1"/>
          <tpl hier="93" item="1"/>
          <tpl hier="98" item="3"/>
        </tpls>
      </n>
      <m>
        <tpls c="7">
          <tpl hier="0" item="2"/>
          <tpl fld="3" item="1"/>
          <tpl fld="4" item="140"/>
          <tpl hier="88" item="5"/>
          <tpl hier="92" item="4294967295"/>
          <tpl hier="93" item="1"/>
          <tpl hier="98" item="3"/>
        </tpls>
      </m>
      <m>
        <tpls c="7">
          <tpl hier="0" item="2"/>
          <tpl fld="3" item="2"/>
          <tpl fld="4" item="79"/>
          <tpl hier="88" item="5"/>
          <tpl hier="92" item="4294967295"/>
          <tpl hier="93" item="1"/>
          <tpl hier="98" item="3"/>
        </tpls>
      </m>
      <n v="98">
        <tpls c="7">
          <tpl hier="0" item="2"/>
          <tpl fld="3" item="0"/>
          <tpl fld="4" item="136"/>
          <tpl hier="88" item="5"/>
          <tpl hier="92" item="4294967295"/>
          <tpl hier="93" item="1"/>
          <tpl hier="98" item="3"/>
        </tpls>
      </n>
      <n v="43">
        <tpls c="7">
          <tpl hier="0" item="2"/>
          <tpl fld="3" item="0"/>
          <tpl fld="4" item="77"/>
          <tpl hier="88" item="5"/>
          <tpl hier="92" item="4294967295"/>
          <tpl hier="93" item="1"/>
          <tpl hier="98" item="3"/>
        </tpls>
      </n>
      <n v="87">
        <tpls c="7">
          <tpl hier="0" item="2"/>
          <tpl fld="3" item="2"/>
          <tpl fld="4" item="7"/>
          <tpl hier="88" item="5"/>
          <tpl hier="92" item="4294967295"/>
          <tpl hier="93" item="1"/>
          <tpl hier="98" item="3"/>
        </tpls>
      </n>
      <n v="169">
        <tpls c="7">
          <tpl hier="0" item="2"/>
          <tpl fld="3" item="2"/>
          <tpl fld="4" item="150"/>
          <tpl hier="88" item="5"/>
          <tpl hier="92" item="4294967295"/>
          <tpl hier="93" item="1"/>
          <tpl hier="98" item="3"/>
        </tpls>
      </n>
      <n v="262">
        <tpls c="6">
          <tpl hier="0" item="2"/>
          <tpl fld="3" item="12"/>
          <tpl hier="88" item="5"/>
          <tpl fld="2" item="1"/>
          <tpl hier="93" item="1"/>
          <tpl hier="98" item="3"/>
        </tpls>
      </n>
      <n v="12">
        <tpls c="7">
          <tpl hier="0" item="2"/>
          <tpl fld="3" item="1"/>
          <tpl fld="4" item="122"/>
          <tpl hier="88" item="5"/>
          <tpl hier="92" item="4294967295"/>
          <tpl hier="93" item="1"/>
          <tpl hier="98" item="3"/>
        </tpls>
      </n>
      <n v="932">
        <tpls c="6">
          <tpl hier="0" item="2"/>
          <tpl fld="3" item="0"/>
          <tpl hier="88" item="5"/>
          <tpl fld="2" item="1"/>
          <tpl hier="93" item="1"/>
          <tpl hier="98" item="3"/>
        </tpls>
      </n>
      <n v="106">
        <tpls c="7">
          <tpl hier="0" item="2"/>
          <tpl fld="3" item="0"/>
          <tpl fld="4" item="128"/>
          <tpl hier="88" item="5"/>
          <tpl hier="92" item="4294967295"/>
          <tpl hier="93" item="1"/>
          <tpl hier="98" item="3"/>
        </tpls>
      </n>
      <m>
        <tpls c="7">
          <tpl hier="0" item="2"/>
          <tpl fld="3" item="9"/>
          <tpl fld="4" item="45"/>
          <tpl hier="88" item="5"/>
          <tpl hier="92" item="4294967295"/>
          <tpl hier="93" item="1"/>
          <tpl hier="98" item="3"/>
        </tpls>
      </m>
      <n v="2">
        <tpls c="7">
          <tpl hier="0" item="2"/>
          <tpl fld="3" item="7"/>
          <tpl fld="4" item="181"/>
          <tpl hier="88" item="5"/>
          <tpl hier="92" item="4294967295"/>
          <tpl hier="93" item="1"/>
          <tpl hier="98" item="3"/>
        </tpls>
      </n>
      <n v="2">
        <tpls c="7">
          <tpl hier="0" item="2"/>
          <tpl fld="3" item="1"/>
          <tpl fld="4" item="161"/>
          <tpl hier="88" item="5"/>
          <tpl hier="92" item="4294967295"/>
          <tpl hier="93" item="1"/>
          <tpl hier="98" item="3"/>
        </tpls>
      </n>
      <n v="6">
        <tpls c="6">
          <tpl fld="0" item="3"/>
          <tpl fld="3" item="14"/>
          <tpl hier="88" item="5"/>
          <tpl hier="92" item="4294967295"/>
          <tpl hier="93" item="1"/>
          <tpl hier="98" item="3"/>
        </tpls>
      </n>
      <m>
        <tpls c="7">
          <tpl hier="0" item="2"/>
          <tpl fld="3" item="2"/>
          <tpl fld="4" item="211"/>
          <tpl hier="88" item="5"/>
          <tpl hier="92" item="4294967295"/>
          <tpl hier="93" item="1"/>
          <tpl hier="98" item="3"/>
        </tpls>
      </m>
      <n v="55">
        <tpls c="7">
          <tpl hier="0" item="2"/>
          <tpl fld="3" item="14"/>
          <tpl fld="4" item="212"/>
          <tpl hier="88" item="5"/>
          <tpl hier="92" item="4294967295"/>
          <tpl hier="93" item="1"/>
          <tpl hier="98" item="3"/>
        </tpls>
      </n>
      <n v="5">
        <tpls c="7">
          <tpl hier="0" item="2"/>
          <tpl fld="3" item="10"/>
          <tpl fld="4" item="213"/>
          <tpl hier="88" item="5"/>
          <tpl hier="92" item="4294967295"/>
          <tpl hier="93" item="1"/>
          <tpl hier="98" item="3"/>
        </tpls>
      </n>
      <n v="22">
        <tpls c="7">
          <tpl hier="0" item="2"/>
          <tpl fld="3" item="11"/>
          <tpl fld="4" item="214"/>
          <tpl hier="88" item="5"/>
          <tpl hier="92" item="4294967295"/>
          <tpl hier="93" item="1"/>
          <tpl hier="98" item="3"/>
        </tpls>
      </n>
      <m>
        <tpls c="7">
          <tpl hier="0" item="2"/>
          <tpl fld="3" item="12"/>
          <tpl fld="4" item="87"/>
          <tpl hier="88" item="5"/>
          <tpl hier="92" item="4294967295"/>
          <tpl hier="93" item="1"/>
          <tpl hier="98" item="3"/>
        </tpls>
      </m>
      <n v="59">
        <tpls c="7">
          <tpl hier="0" item="2"/>
          <tpl fld="3" item="6"/>
          <tpl fld="4" item="29"/>
          <tpl hier="88" item="5"/>
          <tpl hier="92" item="4294967295"/>
          <tpl hier="93" item="1"/>
          <tpl hier="98" item="3"/>
        </tpls>
      </n>
      <n v="6">
        <tpls c="7">
          <tpl hier="0" item="2"/>
          <tpl fld="3" item="1"/>
          <tpl fld="4" item="8"/>
          <tpl hier="88" item="5"/>
          <tpl hier="92" item="4294967295"/>
          <tpl hier="93" item="1"/>
          <tpl hier="98" item="3"/>
        </tpls>
      </n>
      <n v="10">
        <tpls c="7">
          <tpl hier="0" item="2"/>
          <tpl fld="3" item="1"/>
          <tpl fld="4" item="36"/>
          <tpl hier="88" item="5"/>
          <tpl hier="92" item="4294967295"/>
          <tpl hier="93" item="1"/>
          <tpl hier="98" item="3"/>
        </tpls>
      </n>
      <n v="11">
        <tpls c="7">
          <tpl hier="0" item="2"/>
          <tpl fld="3" item="4"/>
          <tpl fld="4" item="48"/>
          <tpl hier="88" item="5"/>
          <tpl hier="92" item="4294967295"/>
          <tpl hier="93" item="1"/>
          <tpl hier="98" item="3"/>
        </tpls>
      </n>
      <m>
        <tpls c="7">
          <tpl hier="0" item="2"/>
          <tpl fld="3" item="6"/>
          <tpl fld="4" item="18"/>
          <tpl hier="88" item="5"/>
          <tpl hier="92" item="4294967295"/>
          <tpl hier="93" item="1"/>
          <tpl hier="98" item="3"/>
        </tpls>
      </m>
      <n v="611">
        <tpls c="6">
          <tpl hier="0" item="2"/>
          <tpl fld="3" item="13"/>
          <tpl hier="88" item="5"/>
          <tpl hier="92" item="4294967295"/>
          <tpl hier="93" item="1"/>
          <tpl hier="98" item="3"/>
        </tpls>
      </n>
      <n v="1">
        <tpls c="7">
          <tpl hier="0" item="2"/>
          <tpl fld="3" item="1"/>
          <tpl fld="4" item="180"/>
          <tpl hier="88" item="5"/>
          <tpl hier="92" item="4294967295"/>
          <tpl hier="93" item="1"/>
          <tpl hier="98" item="3"/>
        </tpls>
      </n>
      <n v="8">
        <tpls c="7">
          <tpl hier="0" item="2"/>
          <tpl fld="3" item="12"/>
          <tpl fld="4" item="69"/>
          <tpl hier="88" item="5"/>
          <tpl hier="92" item="4294967295"/>
          <tpl hier="93" item="1"/>
          <tpl hier="98" item="3"/>
        </tpls>
      </n>
      <n v="25">
        <tpls c="7">
          <tpl hier="0" item="2"/>
          <tpl fld="3" item="9"/>
          <tpl fld="4" item="158"/>
          <tpl hier="88" item="5"/>
          <tpl hier="92" item="4294967295"/>
          <tpl hier="93" item="1"/>
          <tpl hier="98" item="3"/>
        </tpls>
      </n>
      <n v="12">
        <tpls c="7">
          <tpl hier="0" item="2"/>
          <tpl fld="3" item="0"/>
          <tpl fld="4" item="215"/>
          <tpl hier="88" item="5"/>
          <tpl hier="92" item="4294967295"/>
          <tpl hier="93" item="1"/>
          <tpl hier="98" item="3"/>
        </tpls>
      </n>
      <n v="11">
        <tpls c="7">
          <tpl hier="0" item="2"/>
          <tpl fld="3" item="5"/>
          <tpl fld="4" item="73"/>
          <tpl hier="88" item="5"/>
          <tpl hier="92" item="4294967295"/>
          <tpl hier="93" item="1"/>
          <tpl hier="98" item="3"/>
        </tpls>
      </n>
      <m>
        <tpls c="7">
          <tpl hier="0" item="2"/>
          <tpl fld="3" item="3"/>
          <tpl fld="4" item="41"/>
          <tpl hier="88" item="5"/>
          <tpl hier="92" item="4294967295"/>
          <tpl hier="93" item="1"/>
          <tpl hier="98" item="3"/>
        </tpls>
      </m>
      <n v="11">
        <tpls c="7">
          <tpl hier="0" item="2"/>
          <tpl fld="3" item="2"/>
          <tpl fld="4" item="9"/>
          <tpl hier="88" item="5"/>
          <tpl hier="92" item="4294967295"/>
          <tpl hier="93" item="1"/>
          <tpl hier="98" item="3"/>
        </tpls>
      </n>
      <n v="189">
        <tpls c="7">
          <tpl hier="0" item="2"/>
          <tpl fld="3" item="0"/>
          <tpl fld="4" item="129"/>
          <tpl hier="88" item="5"/>
          <tpl hier="92" item="4294967295"/>
          <tpl hier="93" item="1"/>
          <tpl hier="98" item="3"/>
        </tpls>
      </n>
      <n v="18">
        <tpls c="7">
          <tpl hier="0" item="2"/>
          <tpl fld="3" item="0"/>
          <tpl fld="4" item="217"/>
          <tpl hier="88" item="5"/>
          <tpl hier="92" item="4294967295"/>
          <tpl hier="93" item="1"/>
          <tpl hier="98" item="3"/>
        </tpls>
      </n>
      <n v="4">
        <tpls c="7">
          <tpl hier="0" item="2"/>
          <tpl fld="3" item="6"/>
          <tpl fld="4" item="218"/>
          <tpl hier="88" item="5"/>
          <tpl hier="92" item="4294967295"/>
          <tpl hier="93" item="1"/>
          <tpl hier="98" item="3"/>
        </tpls>
      </n>
      <n v="32">
        <tpls c="7">
          <tpl hier="0" item="2"/>
          <tpl fld="3" item="9"/>
          <tpl fld="4" item="219"/>
          <tpl hier="88" item="5"/>
          <tpl hier="92" item="4294967295"/>
          <tpl hier="93" item="1"/>
          <tpl hier="98" item="3"/>
        </tpls>
      </n>
      <n v="26">
        <tpls c="7">
          <tpl hier="0" item="2"/>
          <tpl fld="3" item="6"/>
          <tpl fld="4" item="220"/>
          <tpl hier="88" item="5"/>
          <tpl hier="92" item="4294967295"/>
          <tpl hier="93" item="1"/>
          <tpl hier="98" item="3"/>
        </tpls>
      </n>
      <n v="3">
        <tpls c="7">
          <tpl hier="0" item="2"/>
          <tpl fld="3" item="14"/>
          <tpl fld="4" item="27"/>
          <tpl hier="88" item="5"/>
          <tpl hier="92" item="4294967295"/>
          <tpl hier="93" item="1"/>
          <tpl hier="98" item="3"/>
        </tpls>
      </n>
      <m>
        <tpls c="7">
          <tpl hier="0" item="2"/>
          <tpl fld="3" item="5"/>
          <tpl fld="4" item="31"/>
          <tpl hier="88" item="5"/>
          <tpl hier="92" item="4294967295"/>
          <tpl hier="93" item="1"/>
          <tpl hier="98" item="3"/>
        </tpls>
      </m>
      <n v="8">
        <tpls c="7">
          <tpl hier="0" item="2"/>
          <tpl fld="3" item="6"/>
          <tpl fld="4" item="169"/>
          <tpl hier="88" item="5"/>
          <tpl hier="92" item="4294967295"/>
          <tpl hier="93" item="1"/>
          <tpl hier="98" item="3"/>
        </tpls>
      </n>
      <n v="492">
        <tpls c="7">
          <tpl hier="0" item="2"/>
          <tpl fld="3" item="2"/>
          <tpl fld="4" item="44"/>
          <tpl hier="88" item="5"/>
          <tpl hier="92" item="4294967295"/>
          <tpl hier="93" item="1"/>
          <tpl hier="98" item="3"/>
        </tpls>
      </n>
      <m>
        <tpls c="7">
          <tpl hier="0" item="2"/>
          <tpl fld="3" item="13"/>
          <tpl fld="4" item="43"/>
          <tpl hier="88" item="5"/>
          <tpl hier="92" item="4294967295"/>
          <tpl hier="93" item="1"/>
          <tpl hier="98" item="3"/>
        </tpls>
      </m>
      <m>
        <tpls c="7">
          <tpl hier="0" item="2"/>
          <tpl fld="3" item="9"/>
          <tpl fld="4" item="143"/>
          <tpl hier="88" item="5"/>
          <tpl hier="92" item="4294967295"/>
          <tpl hier="93" item="1"/>
          <tpl hier="98" item="3"/>
        </tpls>
      </m>
      <n v="3">
        <tpls c="7">
          <tpl hier="0" item="2"/>
          <tpl fld="3" item="11"/>
          <tpl fld="4" item="89"/>
          <tpl hier="88" item="5"/>
          <tpl hier="92" item="4294967295"/>
          <tpl hier="93" item="1"/>
          <tpl hier="98" item="3"/>
        </tpls>
      </n>
      <n v="206">
        <tpls c="7">
          <tpl hier="0" item="2"/>
          <tpl fld="3" item="0"/>
          <tpl fld="4" item="137"/>
          <tpl hier="88" item="5"/>
          <tpl hier="92" item="4294967295"/>
          <tpl hier="93" item="1"/>
          <tpl hier="98" item="3"/>
        </tpls>
      </n>
      <m>
        <tpls c="7">
          <tpl hier="0" item="2"/>
          <tpl fld="3" item="13"/>
          <tpl fld="4" item="54"/>
          <tpl hier="88" item="5"/>
          <tpl hier="92" item="4294967295"/>
          <tpl hier="93" item="1"/>
          <tpl hier="98" item="3"/>
        </tpls>
      </m>
      <m>
        <tpls c="7">
          <tpl hier="0" item="2"/>
          <tpl fld="3" item="6"/>
          <tpl fld="4" item="179"/>
          <tpl hier="88" item="5"/>
          <tpl hier="92" item="4294967295"/>
          <tpl hier="93" item="1"/>
          <tpl hier="98" item="3"/>
        </tpls>
      </m>
      <m>
        <tpls c="7">
          <tpl hier="0" item="2"/>
          <tpl fld="3" item="10"/>
          <tpl fld="4" item="144"/>
          <tpl hier="88" item="5"/>
          <tpl hier="92" item="4294967295"/>
          <tpl hier="93" item="1"/>
          <tpl hier="98" item="3"/>
        </tpls>
      </m>
      <n v="434">
        <tpls c="7">
          <tpl hier="0" item="2"/>
          <tpl fld="3" item="2"/>
          <tpl fld="4" item="189"/>
          <tpl hier="88" item="5"/>
          <tpl hier="92" item="4294967295"/>
          <tpl hier="93" item="1"/>
          <tpl hier="98" item="3"/>
        </tpls>
      </n>
      <n v="28">
        <tpls c="7">
          <tpl hier="0" item="2"/>
          <tpl fld="3" item="5"/>
          <tpl fld="4" item="221"/>
          <tpl hier="88" item="5"/>
          <tpl hier="92" item="4294967295"/>
          <tpl hier="93" item="1"/>
          <tpl hier="98" item="3"/>
        </tpls>
      </n>
      <n v="15">
        <tpls c="7">
          <tpl hier="0" item="2"/>
          <tpl fld="3" item="14"/>
          <tpl fld="4" item="58"/>
          <tpl hier="88" item="5"/>
          <tpl hier="92" item="4294967295"/>
          <tpl hier="93" item="1"/>
          <tpl hier="98" item="3"/>
        </tpls>
      </n>
      <m>
        <tpls c="7">
          <tpl hier="0" item="2"/>
          <tpl fld="3" item="12"/>
          <tpl fld="4" item="134"/>
          <tpl hier="88" item="5"/>
          <tpl hier="92" item="4294967295"/>
          <tpl hier="93" item="1"/>
          <tpl hier="98" item="3"/>
        </tpls>
      </m>
      <n v="87">
        <tpls c="7">
          <tpl hier="0" item="2"/>
          <tpl fld="3" item="2"/>
          <tpl fld="4" item="182"/>
          <tpl hier="88" item="5"/>
          <tpl hier="92" item="4294967295"/>
          <tpl hier="93" item="1"/>
          <tpl hier="98" item="3"/>
        </tpls>
      </n>
      <n v="83">
        <tpls c="7">
          <tpl hier="0" item="2"/>
          <tpl fld="3" item="5"/>
          <tpl fld="4" item="11"/>
          <tpl hier="88" item="5"/>
          <tpl hier="92" item="4294967295"/>
          <tpl hier="93" item="1"/>
          <tpl hier="98" item="3"/>
        </tpls>
      </n>
      <m>
        <tpls c="7">
          <tpl hier="0" item="2"/>
          <tpl fld="3" item="2"/>
          <tpl fld="4" item="99"/>
          <tpl hier="88" item="5"/>
          <tpl hier="92" item="4294967295"/>
          <tpl hier="93" item="1"/>
          <tpl hier="98" item="3"/>
        </tpls>
      </m>
      <n v="88">
        <tpls c="7">
          <tpl hier="0" item="2"/>
          <tpl fld="3" item="0"/>
          <tpl fld="4" item="132"/>
          <tpl hier="88" item="5"/>
          <tpl hier="92" item="4294967295"/>
          <tpl hier="93" item="1"/>
          <tpl hier="98" item="3"/>
        </tpls>
      </n>
      <n v="63">
        <tpls c="7">
          <tpl hier="0" item="2"/>
          <tpl fld="3" item="3"/>
          <tpl fld="4" item="194"/>
          <tpl hier="88" item="5"/>
          <tpl hier="92" item="4294967295"/>
          <tpl hier="93" item="1"/>
          <tpl hier="98" item="3"/>
        </tpls>
      </n>
      <n v="93">
        <tpls c="7">
          <tpl hier="0" item="2"/>
          <tpl fld="3" item="3"/>
          <tpl fld="4" item="202"/>
          <tpl hier="88" item="5"/>
          <tpl hier="92" item="4294967295"/>
          <tpl hier="93" item="1"/>
          <tpl hier="98" item="3"/>
        </tpls>
      </n>
      <n v="4">
        <tpls c="7">
          <tpl hier="0" item="2"/>
          <tpl fld="3" item="6"/>
          <tpl fld="4" item="23"/>
          <tpl hier="88" item="5"/>
          <tpl hier="92" item="4294967295"/>
          <tpl hier="93" item="1"/>
          <tpl hier="98" item="3"/>
        </tpls>
      </n>
      <n v="449">
        <tpls c="7">
          <tpl hier="0" item="2"/>
          <tpl fld="3" item="2"/>
          <tpl fld="4" item="210"/>
          <tpl hier="88" item="5"/>
          <tpl hier="92" item="4294967295"/>
          <tpl hier="93" item="1"/>
          <tpl hier="98" item="3"/>
        </tpls>
      </n>
      <n v="1">
        <tpls c="6">
          <tpl fld="0" item="3"/>
          <tpl fld="3" item="5"/>
          <tpl hier="88" item="5"/>
          <tpl hier="92" item="4294967295"/>
          <tpl hier="93" item="1"/>
          <tpl hier="98" item="3"/>
        </tpls>
      </n>
      <n v="2">
        <tpls c="7">
          <tpl hier="0" item="2"/>
          <tpl fld="3" item="11"/>
          <tpl fld="4" item="186"/>
          <tpl hier="88" item="5"/>
          <tpl hier="92" item="4294967295"/>
          <tpl hier="93" item="1"/>
          <tpl hier="98" item="3"/>
        </tpls>
      </n>
      <n v="21">
        <tpls c="7">
          <tpl hier="0" item="2"/>
          <tpl fld="3" item="3"/>
          <tpl fld="4" item="165"/>
          <tpl hier="88" item="5"/>
          <tpl hier="92" item="4294967295"/>
          <tpl hier="93" item="1"/>
          <tpl hier="98" item="3"/>
        </tpls>
      </n>
      <n v="51">
        <tpls c="7">
          <tpl hier="0" item="2"/>
          <tpl fld="3" item="0"/>
          <tpl fld="4" item="164"/>
          <tpl hier="88" item="5"/>
          <tpl hier="92" item="4294967295"/>
          <tpl hier="93" item="1"/>
          <tpl hier="98" item="3"/>
        </tpls>
      </n>
      <n v="404">
        <tpls c="6">
          <tpl hier="0" item="2"/>
          <tpl fld="3" item="1"/>
          <tpl hier="88" item="5"/>
          <tpl hier="92" item="4294967295"/>
          <tpl hier="93" item="1"/>
          <tpl hier="98" item="3"/>
        </tpls>
      </n>
      <m>
        <tpls c="7">
          <tpl hier="0" item="2"/>
          <tpl fld="3" item="6"/>
          <tpl fld="4" item="222"/>
          <tpl hier="88" item="5"/>
          <tpl hier="92" item="4294967295"/>
          <tpl hier="93" item="1"/>
          <tpl hier="98" item="3"/>
        </tpls>
      </m>
      <m>
        <tpls c="7">
          <tpl hier="0" item="2"/>
          <tpl fld="3" item="1"/>
          <tpl fld="4" item="209"/>
          <tpl hier="88" item="5"/>
          <tpl hier="92" item="4294967295"/>
          <tpl hier="93" item="1"/>
          <tpl hier="98" item="3"/>
        </tpls>
      </m>
      <m>
        <tpls c="7">
          <tpl hier="0" item="2"/>
          <tpl fld="3" item="12"/>
          <tpl fld="4" item="196"/>
          <tpl hier="88" item="5"/>
          <tpl hier="92" item="4294967295"/>
          <tpl hier="93" item="1"/>
          <tpl hier="98" item="3"/>
        </tpls>
      </m>
      <m>
        <tpls c="7">
          <tpl hier="0" item="2"/>
          <tpl fld="3" item="0"/>
          <tpl fld="4" item="193"/>
          <tpl hier="88" item="5"/>
          <tpl hier="92" item="4294967295"/>
          <tpl hier="93" item="1"/>
          <tpl hier="98" item="3"/>
        </tpls>
      </m>
      <m>
        <tpls c="7">
          <tpl hier="0" item="2"/>
          <tpl fld="3" item="9"/>
          <tpl fld="4" item="185"/>
          <tpl hier="88" item="5"/>
          <tpl hier="92" item="4294967295"/>
          <tpl hier="93" item="1"/>
          <tpl hier="98" item="3"/>
        </tpls>
      </m>
      <n v="494">
        <tpls c="6">
          <tpl hier="0" item="2"/>
          <tpl fld="3" item="9"/>
          <tpl hier="88" item="5"/>
          <tpl fld="2" item="1"/>
          <tpl hier="93" item="1"/>
          <tpl hier="98" item="3"/>
        </tpls>
      </n>
      <n v="11">
        <tpls c="7">
          <tpl hier="0" item="2"/>
          <tpl fld="3" item="10"/>
          <tpl fld="4" item="195"/>
          <tpl hier="88" item="5"/>
          <tpl hier="92" item="4294967295"/>
          <tpl hier="93" item="1"/>
          <tpl hier="98" item="3"/>
        </tpls>
      </n>
      <n v="30">
        <tpls c="7">
          <tpl hier="0" item="2"/>
          <tpl fld="3" item="9"/>
          <tpl fld="4" item="216"/>
          <tpl hier="88" item="5"/>
          <tpl hier="92" item="4294967295"/>
          <tpl hier="93" item="1"/>
          <tpl hier="98" item="3"/>
        </tpls>
      </n>
      <m>
        <tpls c="6">
          <tpl fld="0" item="3"/>
          <tpl fld="3" item="15"/>
          <tpl hier="88" item="5"/>
          <tpl hier="92" item="4294967295"/>
          <tpl hier="93" item="1"/>
          <tpl hier="98" item="3"/>
        </tpls>
      </m>
      <n v="1">
        <tpls c="6">
          <tpl fld="0" item="3"/>
          <tpl fld="3" item="13"/>
          <tpl hier="88" item="5"/>
          <tpl hier="92" item="4294967295"/>
          <tpl hier="93" item="1"/>
          <tpl hier="98" item="3"/>
        </tpls>
      </n>
      <n v="164">
        <tpls c="6">
          <tpl fld="0" item="3"/>
          <tpl fld="3" item="2"/>
          <tpl hier="88" item="5"/>
          <tpl hier="92" item="4294967295"/>
          <tpl hier="93" item="1"/>
          <tpl hier="98" item="3"/>
        </tpls>
      </n>
      <m>
        <tpls c="7">
          <tpl hier="0" item="2"/>
          <tpl fld="3" item="1"/>
          <tpl fld="4" item="184"/>
          <tpl hier="88" item="5"/>
          <tpl hier="92" item="4294967295"/>
          <tpl hier="93" item="1"/>
          <tpl hier="98" item="3"/>
        </tpls>
      </m>
      <m>
        <tpls c="7">
          <tpl hier="0" item="2"/>
          <tpl fld="3" item="0"/>
          <tpl fld="4" item="207"/>
          <tpl hier="88" item="5"/>
          <tpl hier="92" item="4294967295"/>
          <tpl hier="93" item="1"/>
          <tpl hier="98" item="3"/>
        </tpls>
      </m>
      <n v="186">
        <tpls c="6">
          <tpl hier="0" item="2"/>
          <tpl fld="3" item="11"/>
          <tpl hier="88" item="5"/>
          <tpl fld="2" item="1"/>
          <tpl hier="93" item="1"/>
          <tpl hier="98" item="3"/>
        </tpls>
      </n>
      <n v="481">
        <tpls c="6">
          <tpl hier="0" item="2"/>
          <tpl fld="3" item="3"/>
          <tpl hier="88" item="5"/>
          <tpl fld="2" item="1"/>
          <tpl hier="93" item="1"/>
          <tpl hier="98" item="3"/>
        </tpls>
      </n>
      <n v="25">
        <tpls c="7">
          <tpl hier="0" item="2"/>
          <tpl fld="3" item="10"/>
          <tpl fld="4" item="130"/>
          <tpl hier="88" item="5"/>
          <tpl hier="92" item="4294967295"/>
          <tpl hier="93" item="1"/>
          <tpl hier="98" item="3"/>
        </tpls>
      </n>
      <m>
        <tpls c="6">
          <tpl fld="0" item="3"/>
          <tpl fld="3" item="1"/>
          <tpl hier="88" item="5"/>
          <tpl hier="92" item="4294967295"/>
          <tpl hier="93" item="1"/>
          <tpl hier="98" item="3"/>
        </tpls>
      </m>
      <n v="3747">
        <tpls c="6">
          <tpl hier="0" item="2"/>
          <tpl hier="2" item="4294967295"/>
          <tpl hier="88" item="5"/>
          <tpl fld="2" item="1"/>
          <tpl hier="93" item="1"/>
          <tpl hier="98" item="3"/>
        </tpls>
      </n>
      <n v="254">
        <tpls c="7">
          <tpl hier="0" item="2"/>
          <tpl fld="3" item="0"/>
          <tpl fld="4" item="159"/>
          <tpl hier="88" item="5"/>
          <tpl hier="92" item="4294967295"/>
          <tpl hier="93" item="1"/>
          <tpl hier="98" item="3"/>
        </tpls>
      </n>
      <n v="58">
        <tpls c="6">
          <tpl hier="0" item="2"/>
          <tpl fld="7" item="0"/>
          <tpl hier="88" item="5"/>
          <tpl hier="92" item="4294967295"/>
          <tpl hier="93" item="1"/>
          <tpl hier="98" item="3"/>
        </tpls>
      </n>
      <n v="44">
        <tpls c="6">
          <tpl hier="0" item="2"/>
          <tpl fld="7" item="0"/>
          <tpl hier="88" item="5"/>
          <tpl fld="2" item="1"/>
          <tpl hier="93" item="1"/>
          <tpl hier="98" item="3"/>
        </tpls>
      </n>
    </entries>
    <sets count="6">
      <set count="2" maxRank="1" setDefinition="{[Advice Event Type].[Advice Event Type].&amp;[Gateway AIC Creation],[Advice Event Type].[Advice Event Type].&amp;[Enquiry AIC/Outcome Creation]}">
        <tpls c="1">
          <tpl fld="0" item="0"/>
        </tpls>
      </set>
      <set count="1" maxRank="1" setDefinition="{[Monthly Calendar].[Financial].[Year].&amp;[2016-17]}">
        <tpls c="1">
          <tpl fld="1" item="0"/>
        </tpls>
      </set>
      <set count="3" maxRank="1" setDefinition="{[Advice Event Type].[Advice Event Type].&amp;[Gateway AIC Creation],[Advice Event Type].[Advice Event Type].&amp;[Day sheet AIC Creation],[Advice Event Type].[Advice Event Type].&amp;[Enquiry AIC/Outcome Creation]}">
        <tpls c="1">
          <tpl fld="0" item="0"/>
        </tpls>
      </set>
      <set count="1" maxRank="1" setDefinition="{[National Funder].[Funder].[All]}">
        <tpls c="1">
          <tpl hier="98" item="4294967295"/>
        </tpls>
      </set>
      <set count="3" maxRank="1" setDefinition="{([Advice Event Type].[Advice Event Type].&amp;[Gateway AIC Creation]),([Advice Event Type].[Advice Event Type].&amp;[Enquiry AIC/Outcome Creation]),([Advice Event Type].[Advice Event Type].&amp;[Day sheet AIC Creation])}">
        <tpls c="1">
          <tpl fld="0" item="0"/>
        </tpls>
      </set>
      <set count="1" maxRank="1" setDefinition="{[Local Organisation].[CAB].[Member].&amp;[York (member)]&amp;[Yorkshire &amp; the Humber]}">
        <tpls c="1">
          <tpl fld="6" item="0"/>
        </tpls>
      </set>
    </sets>
    <queryCache count="316">
      <query mdx="[Measures].[Number of Advice Events]">
        <tpls c="1">
          <tpl hier="92" item="4294967295"/>
        </tpls>
      </query>
      <query mdx="[Advice Event Type].[Advice Event Type].&amp;[Gateway AIC Creation]">
        <tpls c="1">
          <tpl fld="0" item="0"/>
        </tpls>
      </query>
      <query mdx="[Advice Event Type].[Advice Event Type].&amp;[Day sheet AIC Creation]">
        <tpls c="1">
          <tpl fld="0" item="1"/>
        </tpls>
      </query>
      <query mdx="[Advice Event Type].[Advice Event Type].&amp;[Enquiry AIC/Outcome Creation]">
        <tpls c="1">
          <tpl fld="0" item="2"/>
        </tpls>
      </query>
      <query mdx="[Measures].[Unique Client Count]">
        <tpls c="1">
          <tpl fld="2" item="1"/>
        </tpls>
      </query>
      <query mdx="[AIC Outcome].[AIC Part1].&amp;[Debt]">
        <tpls c="1">
          <tpl fld="3" item="0"/>
        </tpls>
      </query>
      <query mdx="[AIC Outcome].[AIC Part2].&amp;[Debt]&amp;[11 Maintenance &amp; child support arrears]"/>
      <query mdx="[AIC Outcome].[AIC Part1].&amp;[Financial services &amp; capability]">
        <tpls c="1">
          <tpl fld="3" item="1"/>
        </tpls>
      </query>
      <query mdx="[AIC Outcome].[AIC Part2].&amp;[Financial services &amp; capability]&amp;[01 Discrimination]">
        <tpls c="1">
          <tpl fld="4" item="0"/>
        </tpls>
      </query>
      <query mdx="[AIC Outcome].[AIC Part2].&amp;[Financial services &amp; capability]&amp;[13 Vehicle repairs/servicing]"/>
      <query mdx="[AIC Outcome].[AIC Part1].&amp;[Benefits &amp; tax credits]">
        <tpls c="1">
          <tpl fld="3" item="2"/>
        </tpls>
      </query>
      <query mdx="[AIC Outcome].[AIC Part1].&amp;[Employment]">
        <tpls c="1">
          <tpl fld="3" item="3"/>
        </tpls>
      </query>
      <query mdx="[AIC Outcome].[AIC Part2].&amp;[Employment]&amp;[99 Other]">
        <tpls c="1">
          <tpl fld="4" item="1"/>
        </tpls>
      </query>
      <query mdx="[AIC Outcome].[AIC Part2].&amp;[Debt]&amp;[02 Income Support]"/>
      <query mdx="[AIC Outcome].[AIC Part1].&amp;[Tax]">
        <tpls c="1">
          <tpl fld="3" item="4"/>
        </tpls>
      </query>
      <query mdx="[AIC Outcome].[AIC Part1].&amp;[Relationships &amp; family]">
        <tpls c="1">
          <tpl fld="3" item="5"/>
        </tpls>
      </query>
      <query mdx="[AIC Outcome].[AIC Part1].&amp;[Consumer goods &amp; services]">
        <tpls c="1">
          <tpl fld="3" item="6"/>
        </tpls>
      </query>
      <query mdx="[AIC Outcome].[AIC Part1].&amp;[Travel &amp; transport]">
        <tpls c="1">
          <tpl fld="3" item="7"/>
        </tpls>
      </query>
      <query mdx="[AIC Outcome].[AIC Part1].&amp;[Education]">
        <tpls c="1">
          <tpl fld="3" item="8"/>
        </tpls>
      </query>
      <query mdx="[AIC Outcome].[AIC Part1].&amp;[Housing]">
        <tpls c="1">
          <tpl fld="3" item="9"/>
        </tpls>
      </query>
      <query mdx="[AIC Outcome].[AIC Part2].&amp;[Housing]&amp;[08 Private sector rented property]">
        <tpls c="1">
          <tpl fld="4" item="2"/>
        </tpls>
      </query>
      <query mdx="[AIC Outcome].[AIC Part1].&amp;[Health &amp; community care]">
        <tpls c="1">
          <tpl fld="3" item="10"/>
        </tpls>
      </query>
      <query mdx="[AIC Outcome].[AIC Part2].&amp;[Relationships &amp; family]&amp;[06 Divorce, separation, dissolution]">
        <tpls c="1">
          <tpl fld="4" item="3"/>
        </tpls>
      </query>
      <query mdx="[AIC Outcome].[AIC Part1].&amp;[Utilities &amp; communications]">
        <tpls c="1">
          <tpl fld="3" item="11"/>
        </tpls>
      </query>
      <query mdx="[AIC Outcome].[AIC Part2].&amp;[Utilities &amp; communications]&amp;[01 Discrimination]">
        <tpls c="1">
          <tpl fld="4" item="4"/>
        </tpls>
      </query>
      <query mdx="[AIC Outcome].[AIC Part1].&amp;[Legal]">
        <tpls c="1">
          <tpl fld="3" item="12"/>
        </tpls>
      </query>
      <query mdx="[AIC Outcome].[AIC Part2].&amp;[Legal]&amp;[11 Personal-related court proceedings]">
        <tpls c="1">
          <tpl fld="4" item="5"/>
        </tpls>
      </query>
      <query mdx="[AIC Outcome].[AIC Part2].&amp;[Travel &amp; transport]&amp;[01 Discrimination]">
        <tpls c="1">
          <tpl fld="4" item="6"/>
        </tpls>
      </query>
      <query mdx="[AIC Outcome].[AIC Part2].&amp;[Benefits &amp; tax credits]&amp;[03 Pension Credit]">
        <tpls c="1">
          <tpl fld="4" item="7"/>
        </tpls>
      </query>
      <query mdx="[AIC Outcome].[AIC Part2].&amp;[Financial services &amp; capability]&amp;[13 Buildings &amp; house contents insurance]">
        <tpls c="1">
          <tpl fld="4" item="8"/>
        </tpls>
      </query>
      <query mdx="[AIC Outcome].[AIC Part2].&amp;[Benefits &amp; tax credits]&amp;[05 Social Fund Loans-Budgeting]">
        <tpls c="1">
          <tpl fld="4" item="9"/>
        </tpls>
      </query>
      <query mdx="[AIC Outcome].[AIC Part2].&amp;[Debt]&amp;[13 Credit, store &amp; charge card debts]">
        <tpls c="1">
          <tpl fld="4" item="10"/>
        </tpls>
      </query>
      <query mdx="[AIC Outcome].[AIC Part1].&amp;[Other]">
        <tpls c="1">
          <tpl fld="3" item="13"/>
        </tpls>
      </query>
      <query mdx="[AIC Outcome].[AIC Part2].&amp;[Relationships &amp; family]&amp;[Not recorded/not applicable]">
        <tpls c="1">
          <tpl fld="4" item="11"/>
        </tpls>
      </query>
      <query mdx="[AIC Outcome].[AIC Part2].&amp;[Benefits &amp; tax credits]&amp;[24 Benefit cap]">
        <tpls c="1">
          <tpl fld="4" item="12"/>
        </tpls>
      </query>
      <query mdx="[AIC Outcome].[AIC Part2].&amp;[Debt]&amp;[41 Private Bailiffs]">
        <tpls c="1">
          <tpl fld="4" item="13"/>
        </tpls>
      </query>
      <query mdx="[AIC Outcome].[AIC Part2].&amp;[Legal]&amp;[06 Solicitors/barristers]">
        <tpls c="1">
          <tpl fld="4" item="14"/>
        </tpls>
      </query>
      <query mdx="[AIC Outcome].[AIC Part2].&amp;[Relationships &amp; family]&amp;[07 Children]">
        <tpls c="1">
          <tpl fld="4" item="15"/>
        </tpls>
      </query>
      <query mdx="[AIC Outcome].[AIC Part2].&amp;[Housing]&amp;[07 Housing association property]">
        <tpls c="1">
          <tpl fld="4" item="16"/>
        </tpls>
      </query>
      <query mdx="[AIC Outcome].[AIC Part2].&amp;[Housing]&amp;[04 Family, dependents &amp; partners]"/>
      <query mdx="[AIC Outcome].[AIC Part2].&amp;[Debt]&amp;[03 County &amp; High Court proceedings]">
        <tpls c="1">
          <tpl fld="4" item="17"/>
        </tpls>
      </query>
      <query mdx="[AIC Outcome].[AIC Part2].&amp;[Consumer goods &amp; services]&amp;[01 Discrimination]">
        <tpls c="1">
          <tpl fld="4" item="18"/>
        </tpls>
      </query>
      <query mdx="[AIC Outcome].[AIC Part1].&amp;[Immigration &amp; asylum]">
        <tpls c="1">
          <tpl fld="3" item="14"/>
        </tpls>
      </query>
      <query mdx="[AIC Outcome].[AIC Part2].&amp;[Health &amp; community care]&amp;[Not recorded/not applicable]">
        <tpls c="1">
          <tpl fld="4" item="19"/>
        </tpls>
      </query>
      <query mdx="[AIC Outcome].[AIC Part2].&amp;[Travel &amp; transport]&amp;[02 Public transport]">
        <tpls c="1">
          <tpl fld="4" item="20"/>
        </tpls>
      </query>
      <query mdx="[AIC Outcome].[AIC Part2].&amp;[Benefits &amp; tax credits]&amp;[19 Employment Support Allowance]">
        <tpls c="1">
          <tpl fld="4" item="21"/>
        </tpls>
      </query>
      <query mdx="[AIC Outcome].[AIC Part2].&amp;[Housing]&amp;[02 Fuel (gas, electricity, oil, coal etc.)]">
        <tpls c="1">
          <tpl fld="4" item="22"/>
        </tpls>
      </query>
      <query mdx="[AIC Outcome].[AIC Part2].&amp;[Consumer goods &amp; services]&amp;[13 Vehicle repairs/servicing]">
        <tpls c="1">
          <tpl fld="4" item="23"/>
        </tpls>
      </query>
      <query mdx="[AIC Outcome].[AIC Part2].&amp;[Immigration &amp; asylum]&amp;[04 Family, dependents &amp; partners]">
        <tpls c="1">
          <tpl fld="4" item="24"/>
        </tpls>
      </query>
      <query mdx="[AIC Outcome].[AIC Part2].&amp;[Benefits &amp; tax credits]&amp;[06 SF Community Care grants]">
        <tpls c="1">
          <tpl fld="4" item="25"/>
        </tpls>
      </query>
      <query mdx="[AIC Outcome].[AIC Part2].&amp;[Debt]&amp;[50 Bankruptcy]">
        <tpls c="1">
          <tpl fld="4" item="26"/>
        </tpls>
      </query>
      <query mdx="[AIC Outcome].[AIC Part2].&amp;[Immigration &amp; asylum]&amp;[09 Failed asylum seekers]">
        <tpls c="1">
          <tpl fld="4" item="27"/>
        </tpls>
      </query>
      <query mdx="[AIC Outcome].[AIC Part2].&amp;[Legal]&amp;[99 Other]">
        <tpls c="1">
          <tpl fld="4" item="28"/>
        </tpls>
      </query>
      <query mdx="[AIC Outcome].[AIC Part2].&amp;[Employment]&amp;[02 Income Tax]"/>
      <query mdx="[AIC Outcome].[AIC Part2].&amp;[Consumer goods &amp; services]&amp;[99 Other goods &amp; services]">
        <tpls c="1">
          <tpl fld="4" item="29"/>
        </tpls>
      </query>
      <query mdx="[AIC Outcome].[AIC Part2].&amp;[Benefits &amp; tax credits]&amp;[02 Schemes for the unemployed]"/>
      <query mdx="[AIC Outcome].[AIC Part2].&amp;[Housing]&amp;[11 Jobseekers Allowance]"/>
      <query mdx="[AIC Outcome].[AIC Part2].&amp;[Education]&amp;[03 Schools, non-advanced education]">
        <tpls c="1">
          <tpl fld="4" item="30"/>
        </tpls>
      </query>
      <query mdx="[AIC Outcome].[AIC Part2].&amp;[Relationships &amp; family]&amp;[04 Family, dependents &amp; partners]">
        <tpls c="1">
          <tpl fld="4" item="31"/>
        </tpls>
      </query>
      <query mdx="[AIC Outcome].[AIC Part2].&amp;[Travel &amp; transport]&amp;[08 Passports]">
        <tpls c="1">
          <tpl fld="4" item="32"/>
        </tpls>
      </query>
      <query mdx="[AIC Outcome].[AIC Part2].&amp;[Consumer goods &amp; services]&amp;[05 Furnishings &amp; floor coverings]">
        <tpls c="1">
          <tpl fld="4" item="33"/>
        </tpls>
      </query>
      <query mdx="[AIC Outcome].[AIC Part2].&amp;[Debt]&amp;[06 Rent arrears - LAs or ALMOs]">
        <tpls c="1">
          <tpl fld="4" item="34"/>
        </tpls>
      </query>
      <query mdx="[AIC Outcome].[AIC Part2].&amp;[Debt]&amp;[51 Other legal remedies]">
        <tpls c="1">
          <tpl fld="4" item="35"/>
        </tpls>
      </query>
      <query mdx="[AIC Outcome].[AIC Part2].&amp;[Relationships &amp; family]&amp;[09 Child support: non-res. parent &amp; family]"/>
      <query mdx="[AIC Outcome].[AIC Part2].&amp;[Financial services &amp; capability]&amp;[04 Mortgages &amp; secured loans]">
        <tpls c="1">
          <tpl fld="4" item="36"/>
        </tpls>
      </query>
      <query mdx="[AIC Outcome].[AIC Part2].&amp;[Debt]&amp;[22 Payday loan debts]">
        <tpls c="1">
          <tpl fld="4" item="37"/>
        </tpls>
      </query>
      <query mdx="[AIC Outcome].[AIC Part2].&amp;[Benefits &amp; tax credits]&amp;[14 Incapacity Benefit]">
        <tpls c="1">
          <tpl fld="4" item="38"/>
        </tpls>
      </query>
      <query mdx="[AIC Outcome].[AIC Part2].&amp;[Benefits &amp; tax credits]&amp;[02 Income Tax]">
        <tpls c="1">
          <tpl fld="4" item="39"/>
        </tpls>
      </query>
      <query mdx="[AIC Outcome].[AIC Part2].&amp;[Consumer goods &amp; services]&amp;[06 Electrical appliances &amp; repairs]">
        <tpls c="1">
          <tpl fld="4" item="40"/>
        </tpls>
      </query>
      <query mdx="[AIC Outcome].[AIC Part2].&amp;[Employment]&amp;[06 Health &amp; Safety]">
        <tpls c="1">
          <tpl fld="4" item="41"/>
        </tpls>
      </query>
      <query mdx="[AIC Outcome].[AIC Part2].&amp;[Utilities &amp; communications]&amp;[02 Private sales &amp; internet auctions]"/>
      <query mdx="[AIC Outcome].[AIC Part2].&amp;[Immigration &amp; asylum]&amp;[03 Refugees]">
        <tpls c="1">
          <tpl fld="4" item="42"/>
        </tpls>
      </query>
      <query mdx="[AIC Outcome].[AIC Part2].&amp;[Other]&amp;[04 Elected Representatives]">
        <tpls c="1">
          <tpl fld="4" item="43"/>
        </tpls>
      </query>
      <query mdx="[AIC Outcome].[AIC Part2].&amp;[Benefits &amp; tax credits]&amp;[10 Working &amp; Child Tax Credits]">
        <tpls c="1">
          <tpl fld="4" item="44"/>
        </tpls>
      </query>
      <query mdx="[AIC Outcome].[AIC Part2].&amp;[Housing]&amp;[01 Discrimination]">
        <tpls c="1">
          <tpl fld="4" item="45"/>
        </tpls>
      </query>
      <query mdx="[AIC Outcome].[AIC Part2].&amp;[Benefits &amp; tax credits]&amp;[12 National Insurance]">
        <tpls c="1">
          <tpl fld="4" item="46"/>
        </tpls>
      </query>
      <query mdx="[AIC Outcome].[AIC Part2].&amp;[Consumer goods &amp; services]&amp;[11 New vehicles]">
        <tpls c="1">
          <tpl fld="4" item="47"/>
        </tpls>
      </query>
      <query mdx="[AIC Outcome].[AIC Part2].&amp;[Tax]&amp;[99 Other Tax Issues]">
        <tpls c="1">
          <tpl fld="4" item="48"/>
        </tpls>
      </query>
      <query mdx="[AIC Outcome].[AIC Part2].&amp;[Education]&amp;[04 Further Education/6th form colleges]">
        <tpls c="1">
          <tpl fld="4" item="49"/>
        </tpls>
      </query>
      <query mdx="[AIC Outcome].[AIC Part2].&amp;[Health &amp; community care]&amp;[03 Hospital Services (non-MH)]">
        <tpls c="1">
          <tpl fld="4" item="50"/>
        </tpls>
      </query>
      <query mdx="[AIC Outcome].[AIC Part2].&amp;[Debt]&amp;[40 3rd party debt collection excl. bailiffs]">
        <tpls c="1">
          <tpl fld="4" item="51"/>
        </tpls>
      </query>
      <query mdx="[AIC Outcome].[AIC Part2].&amp;[Health &amp; community care]&amp;[80 Health Watch - General]">
        <tpls c="1">
          <tpl fld="4" item="52"/>
        </tpls>
      </query>
      <query mdx="[AIC Outcome].[AIC Part2].&amp;[Debt]&amp;[02 Public transport]"/>
      <query mdx="[AIC Outcome].[AIC Part2].&amp;[Other]&amp;[05 Animals]">
        <tpls c="1">
          <tpl fld="4" item="53"/>
        </tpls>
      </query>
      <query mdx="[AIC Outcome].[AIC Part2].&amp;[Other]&amp;[03 Elections &amp; Electoral Roll]">
        <tpls c="1">
          <tpl fld="4" item="54"/>
        </tpls>
      </query>
      <query mdx="[AIC Outcome].[AIC Part2].&amp;[Utilities &amp; communications]&amp;[03 Water &amp; sewerage]">
        <tpls c="1">
          <tpl fld="4" item="55"/>
        </tpls>
      </query>
      <query mdx="[AIC Outcome].[AIC Part2].&amp;[Financial services &amp; capability]&amp;[17 Credit Reference Agencies]">
        <tpls c="1">
          <tpl fld="4" item="56"/>
        </tpls>
      </query>
      <query mdx="[AIC Outcome].[AIC Part2].&amp;[Debt]&amp;[14 Food &amp; Drink]"/>
      <query mdx="[AIC Outcome].[AIC Part2].&amp;[Benefits &amp; tax credits]&amp;[99 Other benefits issues]">
        <tpls c="1">
          <tpl fld="4" item="57"/>
        </tpls>
      </query>
      <query mdx="[AIC Outcome].[AIC Part2].&amp;[Relationships &amp; family]&amp;[03 Schools, non-advanced education]"/>
      <query mdx="[AIC Outcome].[AIC Part2].&amp;[Immigration &amp; asylum]&amp;[99 Other issues]">
        <tpls c="1">
          <tpl fld="4" item="58"/>
        </tpls>
      </query>
      <query mdx="[AIC Outcome].[AIC Part2].&amp;[Debt]&amp;[18 Overpayments of WTC &amp; CTC]">
        <tpls c="1">
          <tpl fld="4" item="59"/>
        </tpls>
      </query>
      <query mdx="[AIC Outcome].[AIC Part2].&amp;[Legal]&amp;[02 Magistrates Court proceedings]">
        <tpls c="1">
          <tpl fld="4" item="60"/>
        </tpls>
      </query>
      <query mdx="[AIC Outcome].[AIC Part2].&amp;[Housing]&amp;[05 Access to &amp; provision of accomm.]">
        <tpls c="1">
          <tpl fld="4" item="61"/>
        </tpls>
      </query>
      <query mdx="[Advice Event Type].[Advice Event Type].&amp;[BEF AIC Creation]">
        <tpls c="1">
          <tpl fld="0" item="3"/>
        </tpls>
      </query>
      <query mdx="[AIC Outcome].[AIC Part2].&amp;[Consumer goods &amp; services]&amp;[10 Disability aids &amp; adaptations]">
        <tpls c="1">
          <tpl fld="4" item="62"/>
        </tpls>
      </query>
      <query mdx="[AIC Outcome].[AIC Part2].&amp;[Debt]&amp;[12 Second hand vehicles]"/>
      <query mdx="[AIC Outcome].[AIC Part2].&amp;[Housing]&amp;[Not recorded/not applicable]">
        <tpls c="1">
          <tpl fld="4" item="63"/>
        </tpls>
      </query>
      <query mdx="[AIC Outcome].[AIC Part2].&amp;[Benefits &amp; tax credits]&amp;[01 Discrimination]">
        <tpls c="1">
          <tpl fld="4" item="64"/>
        </tpls>
      </query>
      <query mdx="[AIC Outcome].[AIC Part2].&amp;[Consumer goods &amp; services]&amp;[08 Clothing &amp; footwear]">
        <tpls c="1">
          <tpl fld="4" item="65"/>
        </tpls>
      </query>
      <query mdx="[AIC Outcome].[AIC Part2].&amp;[Health &amp; community care]&amp;[10 NHS costs/charges]">
        <tpls c="1">
          <tpl fld="4" item="66"/>
        </tpls>
      </query>
      <query mdx="[AIC Outcome].[AIC Part2].&amp;[Relationships &amp; family]&amp;[03 County &amp; High Court proceedings]"/>
      <query mdx="[AIC Outcome].[AIC Part2].&amp;[Consumer goods &amp; services]&amp;[Not recorded/not applicable]">
        <tpls c="1">
          <tpl fld="4" item="67"/>
        </tpls>
      </query>
      <query mdx="[AIC Outcome].[AIC Part2].&amp;[Housing]&amp;[99 Other housing issues]">
        <tpls c="1">
          <tpl fld="4" item="68"/>
        </tpls>
      </query>
      <query mdx="[AIC Outcome].[AIC Part2].&amp;[Legal]&amp;[07 Police]">
        <tpls c="1">
          <tpl fld="4" item="69"/>
        </tpls>
      </query>
      <query mdx="[AIC Outcome].[AIC Part2].&amp;[Financial services &amp; capability]&amp;[09 Debt mgt. services &amp; credit repair]"/>
      <query mdx="[AIC Outcome].[AIC Part2].&amp;[Benefits &amp; tax credits]&amp;[03 Self Employment/Business]"/>
      <query mdx="[AIC Outcome].[AIC Part2].&amp;[Travel &amp; transport]&amp;[07 Timeshare &amp; Vacation Clubs]">
        <tpls c="1">
          <tpl fld="4" item="70"/>
        </tpls>
      </query>
      <query mdx="[AIC Outcome].[AIC Part2].&amp;[Employment]&amp;[04 Applying for jobs]">
        <tpls c="1">
          <tpl fld="4" item="71"/>
        </tpls>
      </query>
      <query mdx="[AIC Outcome].[AIC Part2].&amp;[Debt]&amp;[03 Council Tax]">
        <tpls c="1">
          <tpl fld="4" item="72"/>
        </tpls>
      </query>
      <query mdx="[AIC Outcome].[AIC Part2].&amp;[Relationships &amp; family]&amp;[05 Social Services &amp; support]">
        <tpls c="1">
          <tpl fld="4" item="73"/>
        </tpls>
      </query>
      <query mdx="[AIC Outcome].[AIC Part2].&amp;[Housing]&amp;[05 Social Fund Loans-Budgeting]"/>
      <query mdx="[AIC Outcome].[AIC Part2].&amp;[Immigration &amp; asylum]&amp;[02 Marriage, cohabitation, civil partnership]"/>
      <query mdx="[AIC Outcome].[AIC Part2].&amp;[Consumer goods &amp; services]&amp;[02 Bank/Building &amp; P/O Accounts]"/>
      <query mdx="[AIC Outcome].[AIC Part2].&amp;[Travel &amp; transport]&amp;[03 Driving]">
        <tpls c="1">
          <tpl fld="4" item="74"/>
        </tpls>
      </query>
      <query mdx="[AIC Outcome].[AIC Part2].&amp;[Consumer goods &amp; services]&amp;[19 Green Deal energy efficiency measures]">
        <tpls c="1">
          <tpl fld="4" item="75"/>
        </tpls>
      </query>
      <query mdx="[AIC Outcome].[AIC Part2].&amp;[Financial services &amp; capability]&amp;[18 Personal Pensions]">
        <tpls c="1">
          <tpl fld="4" item="76"/>
        </tpls>
      </query>
      <query mdx="[AIC Outcome].[AIC Part2].&amp;[Debt]&amp;[21 Social Fund debts]">
        <tpls c="1">
          <tpl fld="4" item="77"/>
        </tpls>
      </query>
      <query mdx="[AIC Outcome].[AIC Part2].&amp;[Consumer goods &amp; services]&amp;[02 Fuel (gas, electricity, oil, coal etc.)]">
        <tpls c="1">
          <tpl fld="4" item="78"/>
        </tpls>
      </query>
      <query mdx="[AIC Outcome].[AIC Part2].&amp;[Benefits &amp; tax credits]&amp;[09 Council Tax Benefit]">
        <tpls c="1">
          <tpl fld="4" item="79"/>
        </tpls>
      </query>
      <query mdx="[AIC Outcome].[AIC Part2].&amp;[Employment]&amp;[10 Resignation]">
        <tpls c="1">
          <tpl fld="4" item="80"/>
        </tpls>
      </query>
      <query mdx="[AIC Outcome].[AIC Part2].&amp;[Benefits &amp; tax credits]&amp;[17 Attendance Allowance]">
        <tpls c="1">
          <tpl fld="4" item="81"/>
        </tpls>
      </query>
      <query mdx="[AIC Outcome].[AIC Part2].&amp;[Utilities &amp; communications]&amp;[05 Mobile phones]">
        <tpls c="1">
          <tpl fld="4" item="82"/>
        </tpls>
      </query>
      <query mdx="[AIC Outcome].[AIC Part2].&amp;[Legal]&amp;[09 Compensation Redress]">
        <tpls c="1">
          <tpl fld="4" item="83"/>
        </tpls>
      </query>
      <query mdx="[AIC Outcome].[AIC Part2].&amp;[Employment]&amp;[11 Dismissal]">
        <tpls c="1">
          <tpl fld="4" item="84"/>
        </tpls>
      </query>
      <query mdx="[AIC Outcome].[AIC Part2].&amp;[Consumer goods &amp; services]&amp;[16 Competitions &amp; prize draws]">
        <tpls c="1">
          <tpl fld="4" item="85"/>
        </tpls>
      </query>
      <query mdx="[AIC Outcome].[AIC Part2].&amp;[Housing]&amp;[03 Threatened homelessness]">
        <tpls c="1">
          <tpl fld="4" item="86"/>
        </tpls>
      </query>
      <query mdx="[AIC Outcome].[AIC Part2].&amp;[Legal]&amp;[04 Family, dependents &amp; partners]">
        <tpls c="1">
          <tpl fld="4" item="87"/>
        </tpls>
      </query>
      <query mdx="[AIC Outcome].[AIC Part2].&amp;[Benefits &amp; tax credits]&amp;[03 Driving]"/>
      <query mdx="[AIC Outcome].[AIC Part2].&amp;[Consumer goods &amp; services]&amp;[04 Double glazing &amp; associated products]">
        <tpls c="1">
          <tpl fld="4" item="88"/>
        </tpls>
      </query>
      <query mdx="[AIC Outcome].[AIC Part2].&amp;[Utilities &amp; communications]&amp;[06 TV including cable, digital &amp; satellite]">
        <tpls c="1">
          <tpl fld="4" item="89"/>
        </tpls>
      </query>
      <query mdx="[AIC Outcome].[AIC Part2].&amp;[Consumer goods &amp; services]&amp;[14 Food &amp; Drink]">
        <tpls c="1">
          <tpl fld="4" item="90"/>
        </tpls>
      </query>
      <query mdx="[AIC Outcome].[AIC Part2].&amp;[Debt]&amp;[02 Income Tax]"/>
      <query mdx="[AIC Outcome].[AIC Part2].&amp;[Employment]&amp;[03 Self Employment/Business]">
        <tpls c="1">
          <tpl fld="4" item="91"/>
        </tpls>
      </query>
      <query mdx="[AIC Outcome].[AIC Part2].&amp;[Financial services &amp; capability]&amp;[11 Holiday/travel insurance]">
        <tpls c="1">
          <tpl fld="4" item="92"/>
        </tpls>
      </query>
      <query mdx="[AIC Outcome].[AIC Part2].&amp;[Legal]&amp;[10 Incapacity]"/>
      <query mdx="[AIC Outcome].[AIC Part2].&amp;[Tax]&amp;[02 Income Tax]">
        <tpls c="1">
          <tpl fld="4" item="93"/>
        </tpls>
      </query>
      <query mdx="[AIC Outcome].[AIC Part2].&amp;[Education]&amp;[02 Pre-school organisations]"/>
      <query mdx="[AIC Outcome].[AIC Part2].&amp;[Legal]&amp;[08 Victims of crime]">
        <tpls c="1">
          <tpl fld="4" item="94"/>
        </tpls>
      </query>
      <query mdx="[AIC Outcome].[AIC Part2].&amp;[Education]&amp;[02 Income Support]"/>
      <query mdx="[AIC Outcome].[AIC Part2].&amp;[Debt]&amp;[49 Debt Relief Order]">
        <tpls c="1">
          <tpl fld="4" item="95"/>
        </tpls>
      </query>
      <query mdx="[AIC Outcome].[AIC Part2].&amp;[Benefits &amp; tax credits]&amp;[13 State Retirement Pension]">
        <tpls c="1">
          <tpl fld="4" item="96"/>
        </tpls>
      </query>
      <query mdx="[AIC Outcome].[AIC Part2].&amp;[Tax]&amp;[Not recorded/not applicable]">
        <tpls c="1">
          <tpl fld="4" item="97"/>
        </tpls>
      </query>
      <query mdx="[AIC Outcome].[AIC Part2].&amp;[Health &amp; community care]&amp;[09 Dentists]">
        <tpls c="1">
          <tpl fld="4" item="98"/>
        </tpls>
      </query>
      <query mdx="[AIC Outcome].[AIC Part2].&amp;[Benefits &amp; tax credits]&amp;[25 Welfare reform benefit loss]">
        <tpls c="1">
          <tpl fld="4" item="99"/>
        </tpls>
      </query>
      <query mdx="[AIC Outcome].[AIC Part2].&amp;[Benefits &amp; tax credits]&amp;[13 Employment tribunals &amp; appeals]"/>
      <query mdx="[AIC Outcome].[AIC Part2].&amp;[Health &amp; community care]&amp;[02 Schemes for the unemployed]"/>
      <query mdx="[AIC Outcome].[AIC Part2].&amp;[Financial services &amp; capability]&amp;[99 Other]"/>
      <query mdx="[AIC Outcome].[AIC Part2].&amp;[Debt]&amp;[12 Bank &amp; building society overdrafts]">
        <tpls c="1">
          <tpl fld="4" item="100"/>
        </tpls>
      </query>
      <query mdx="[AIC Outcome].[AIC Part2].&amp;[Benefits &amp; tax credits]&amp;[15 DLA-Care Component]"/>
      <query mdx="[AIC Outcome].[AIC Part2].&amp;[Housing]&amp;[02 Marriage, cohabitation, civil partnership]"/>
      <query mdx="[AIC Outcome].[AIC Part2].&amp;[Benefits &amp; tax credits]&amp;[02 Actual homelessness]">
        <tpls c="1">
          <tpl fld="4" item="101"/>
        </tpls>
      </query>
      <query mdx="[AIC Outcome].[AIC Part2].&amp;[Education]&amp;[01 Discrimination]">
        <tpls c="1">
          <tpl fld="4" item="102"/>
        </tpls>
      </query>
      <query mdx="[AIC Outcome].[AIC Part2].&amp;[Tax]&amp;[01 Discrimination]">
        <tpls c="1">
          <tpl fld="4" item="103"/>
        </tpls>
      </query>
      <query mdx="[AIC Outcome].[AIC Part2].&amp;[Health &amp; community care]&amp;[82 Health Watch - Social Care Service]">
        <tpls c="1">
          <tpl fld="4" item="104"/>
        </tpls>
      </query>
      <query mdx="[AIC Outcome].[AIC Part2].&amp;[Relationships &amp; family]&amp;[02 Magistrates Court proceedings]"/>
      <query mdx="[AIC Outcome].[AIC Part2].&amp;[Legal]&amp;[03 County &amp; High Court proceedings]">
        <tpls c="1">
          <tpl fld="4" item="105"/>
        </tpls>
      </query>
      <query mdx="[AIC Outcome].[AIC Part2].&amp;[Financial services &amp; capability]&amp;[14 Life Insurance]">
        <tpls c="1">
          <tpl fld="4" item="106"/>
        </tpls>
      </query>
      <query mdx="[AIC Outcome].[AIC Part2].&amp;[Benefits &amp; tax credits]&amp;[18 Carers Allowance]">
        <tpls c="1">
          <tpl fld="4" item="107"/>
        </tpls>
      </query>
      <query mdx="[AIC Outcome].[AIC Part2].&amp;[Debt]&amp;[99 Other]">
        <tpls c="1">
          <tpl fld="4" item="108"/>
        </tpls>
      </query>
      <query mdx="[AIC Outcome].[AIC Part2].&amp;[Education]&amp;[06 Adult education]">
        <tpls c="1">
          <tpl fld="4" item="109"/>
        </tpls>
      </query>
      <query mdx="[AIC Outcome].[AIC Part2].&amp;[Financial services &amp; capability]&amp;[10 Payment protection insurance]">
        <tpls c="1">
          <tpl fld="4" item="110"/>
        </tpls>
      </query>
      <query mdx="[AIC Outcome].[AIC Part1].[All]">
        <tpls c="1">
          <tpl hier="2" item="4294967295"/>
        </tpls>
      </query>
      <query mdx="[AIC Outcome].[AIC Part2].&amp;[Immigration &amp; asylum]&amp;[02 Asylum seekers]">
        <tpls c="1">
          <tpl fld="4" item="111"/>
        </tpls>
      </query>
      <query mdx="[AIC Outcome].[AIC Part2].&amp;[Education]&amp;[05 Higher Education]">
        <tpls c="1">
          <tpl fld="4" item="112"/>
        </tpls>
      </query>
      <query mdx="[AIC Outcome].[AIC Part2].&amp;[Benefits &amp; tax credits]&amp;[03 Council Tax]">
        <tpls c="1">
          <tpl fld="4" item="113"/>
        </tpls>
      </query>
      <query mdx="[AIC Outcome].[AIC Part2].&amp;[Benefits &amp; tax credits]&amp;[04 Social Fund Loans-Crisis]">
        <tpls c="1">
          <tpl fld="4" item="114"/>
        </tpls>
      </query>
      <query mdx="[AIC Outcome].[AIC Part2].&amp;[Immigration &amp; asylum]&amp;[06 Workers]">
        <tpls c="1">
          <tpl fld="4" item="115"/>
        </tpls>
      </query>
      <query mdx="[AIC Outcome].[AIC Part2].&amp;[Consumer goods &amp; services]&amp;[03 Building repairs &amp; improvements]">
        <tpls c="1">
          <tpl fld="4" item="116"/>
        </tpls>
      </query>
      <query mdx="[AIC Outcome].[AIC Part2].&amp;[Benefits &amp; tax credits]&amp;[04 Applying for jobs]"/>
      <query mdx="[AIC Outcome].[AIC Part2].&amp;[Relationships &amp; family]&amp;[01 Discrimination]">
        <tpls c="1">
          <tpl fld="4" item="117"/>
        </tpls>
      </query>
      <query mdx="[AIC Outcome].[AIC Part2].&amp;[Consumer goods &amp; services]&amp;[02 Public transport]"/>
      <query mdx="[AIC Outcome].[AIC Part2].&amp;[Immigration &amp; asylum]&amp;[01 Discrimination]">
        <tpls c="1">
          <tpl fld="4" item="118"/>
        </tpls>
      </query>
      <query mdx="[AIC Outcome].[AIC Part2].&amp;[Utilities &amp; communications]&amp;[02 Fuel (gas, electricity, oil, coal etc.)]">
        <tpls c="1">
          <tpl fld="4" item="119"/>
        </tpls>
      </query>
      <query mdx="[AIC Outcome].[AIC Part2].&amp;[Health &amp; community care]&amp;[07 Community Care (non-MH)]">
        <tpls c="1">
          <tpl fld="4" item="120"/>
        </tpls>
      </query>
      <query mdx="[AIC Outcome].[AIC Part2].&amp;[Other]&amp;[99 Other]">
        <tpls c="1">
          <tpl fld="4" item="121"/>
        </tpls>
      </query>
      <query mdx="[AIC Outcome].[AIC Part2].&amp;[Financial services &amp; capability]&amp;[99 Other credit, fin. &amp; insurance issues]">
        <tpls c="1">
          <tpl fld="4" item="122"/>
        </tpls>
      </query>
      <query mdx="[AIC Outcome].[AIC Part2].&amp;[Relationships &amp; family]&amp;[10 Death &amp; Bereavement]">
        <tpls c="1">
          <tpl fld="4" item="123"/>
        </tpls>
      </query>
      <query mdx="[AIC Outcome].[AIC Part2].&amp;[Benefits &amp; tax credits]&amp;[23 Localised support for council tax]"/>
      <query mdx="[AIC Outcome].[AIC Part2].&amp;[Debt]&amp;[03 Water &amp; sewerage]"/>
      <query mdx="[AIC Outcome].[AIC Part2].&amp;[Education]&amp;[99 Other education issues]">
        <tpls c="1">
          <tpl fld="4" item="124"/>
        </tpls>
      </query>
      <query mdx="[AIC Outcome].[AIC Part2].&amp;[Debt]&amp;[03 Self Employment/Business]"/>
      <query mdx="[AIC Outcome].[AIC Part2].&amp;[Housing]&amp;[06 Local Authority housing]">
        <tpls c="1">
          <tpl fld="4" item="125"/>
        </tpls>
      </query>
      <query mdx="[AIC Outcome].[AIC Part2].&amp;[Housing]&amp;[02 Actual homelessness]">
        <tpls c="1">
          <tpl fld="4" item="126"/>
        </tpls>
      </query>
      <query mdx="[AIC Outcome].[AIC Part2].&amp;[Legal]&amp;[Not recorded/not applicable]">
        <tpls c="1">
          <tpl fld="4" item="127"/>
        </tpls>
      </query>
      <query mdx="[AIC Outcome].[AIC Part2].&amp;[Financial services &amp; capability]&amp;[99 Other goods &amp; services]"/>
      <query mdx="[AIC Outcome].[AIC Part2].&amp;[Debt]&amp;[15 Catalogue &amp; mail order debts]">
        <tpls c="1">
          <tpl fld="4" item="128"/>
        </tpls>
      </query>
      <query mdx="[AIC Outcome].[AIC Part2].&amp;[Debt]&amp;[16 Water supply &amp; sewerage debts]">
        <tpls c="1">
          <tpl fld="4" item="129"/>
        </tpls>
      </query>
      <query mdx="[AIC Outcome].[AIC Part1].&amp;[Not recorded/not applicable]">
        <tpls c="1">
          <tpl fld="3" item="15"/>
        </tpls>
      </query>
      <query mdx="[AIC Outcome].[AIC Part2].&amp;[Debt]&amp;[07 Housing Benefit]"/>
      <query mdx="[AIC Outcome].[AIC Part2].&amp;[Other]&amp;[51 Other legal remedies]"/>
      <query mdx="[AIC Outcome].[AIC Part2].&amp;[Education]&amp;[04 Applying for jobs]"/>
      <query mdx="[AIC Outcome].[AIC Part2].&amp;[Health &amp; community care]&amp;[99 Other health &amp; community care issues]">
        <tpls c="1">
          <tpl fld="4" item="130"/>
        </tpls>
      </query>
      <query mdx="[AIC Outcome].[AIC Part2].&amp;[Employment]&amp;[02 Schemes for the unemployed]">
        <tpls c="1">
          <tpl fld="4" item="131"/>
        </tpls>
      </query>
      <query mdx="[AIC Outcome].[AIC Part2].&amp;[Debt]&amp;[Not recorded/not applicable]">
        <tpls c="1">
          <tpl fld="4" item="132"/>
        </tpls>
      </query>
      <query mdx="[AIC Outcome].[AIC Part2].&amp;[Other]&amp;[02 Census]">
        <tpls c="1">
          <tpl fld="4" item="133"/>
        </tpls>
      </query>
      <query mdx="[AIC Outcome].[AIC Part2].&amp;[Tax]&amp;[03 Self Employment/Business]"/>
      <query mdx="[AIC Outcome].[AIC Part2].&amp;[Legal]&amp;[01 Discrimination]">
        <tpls c="1">
          <tpl fld="4" item="134"/>
        </tpls>
      </query>
      <query mdx="[AIC Outcome].[AIC Part2].&amp;[Consumer goods &amp; services]&amp;[17 Fraud and scams]">
        <tpls c="1">
          <tpl fld="4" item="135"/>
        </tpls>
      </query>
      <query mdx="[AIC Outcome].[AIC Part2].&amp;[Debt]&amp;[07 Rent arrears -  housing associations]">
        <tpls c="1">
          <tpl fld="4" item="136"/>
        </tpls>
      </query>
      <query mdx="[AIC Outcome].[AIC Part2].&amp;[Utilities &amp; communications]&amp;[04 Telephones (landlines &amp; fax)]"/>
      <query mdx="[AIC Outcome].[AIC Part2].&amp;[Relationships &amp; family]&amp;[04 Hospital services - Mental Health]"/>
      <query mdx="[AIC Outcome].[AIC Part2].&amp;[Debt]&amp;[04 Fuel debts]">
        <tpls c="1">
          <tpl fld="4" item="137"/>
        </tpls>
      </query>
      <query mdx="[AIC Outcome].[AIC Part2].&amp;[Debt]&amp;[03 Credit/store/charge cards]">
        <tpls c="1">
          <tpl fld="4" item="138"/>
        </tpls>
      </query>
      <query mdx="[AIC Outcome].[AIC Part2].&amp;[Employment]&amp;[08  Parental &amp; Carers rights]">
        <tpls c="1">
          <tpl fld="4" item="139"/>
        </tpls>
      </query>
      <query mdx="[AIC Outcome].[AIC Part2].&amp;[Debt]&amp;[03 Building repairs &amp; improvements]"/>
      <query mdx="[AIC Outcome].[AIC Part2].&amp;[Financial services &amp; capability]&amp;[21 Claims management services]">
        <tpls c="1">
          <tpl fld="4" item="140"/>
        </tpls>
      </query>
      <query mdx="[AIC Outcome].[AIC Part2].&amp;[Debt]&amp;[05 Telephone &amp; broadband debts]">
        <tpls c="1">
          <tpl fld="4" item="141"/>
        </tpls>
      </query>
      <query mdx="[AIC Outcome].[AIC Part2].&amp;[Other]&amp;[07 Charitable support]">
        <tpls c="1">
          <tpl fld="4" item="142"/>
        </tpls>
      </query>
      <query mdx="[AIC Outcome].[AIC Part2].&amp;[Debt]&amp;[02 Private sales &amp; internet auctions]"/>
      <query mdx="[AIC Outcome].[AIC Part2].&amp;[Housing]&amp;[03 County &amp; High Court proceedings]">
        <tpls c="1">
          <tpl fld="4" item="143"/>
        </tpls>
      </query>
      <query mdx="[AIC Outcome].[AIC Part2].&amp;[Health &amp; community care]&amp;[01 Discrimination]">
        <tpls c="1">
          <tpl fld="4" item="144"/>
        </tpls>
      </query>
      <query mdx="[AIC Outcome].[AIC Part2].&amp;[Relationships &amp; family]&amp;[99 Other issues]"/>
      <query mdx="[AIC Outcome].[AIC Part2].&amp;[Benefits &amp; tax credits]&amp;[20 Universal credit]">
        <tpls c="1">
          <tpl fld="4" item="145"/>
        </tpls>
      </query>
      <query mdx="[AIC Outcome].[AIC Part2].&amp;[Debt]&amp;[02 Fuel (gas, electricity, oil, coal etc.)]"/>
      <query mdx="[AIC Outcome].[AIC Part2].&amp;[Other]&amp;[01 Discrimination]">
        <tpls c="1">
          <tpl fld="4" item="146"/>
        </tpls>
      </query>
      <query mdx="[AIC Outcome].[AIC Part2].&amp;[Benefits &amp; tax credits]&amp;[02 Income Support]">
        <tpls c="1">
          <tpl fld="4" item="147"/>
        </tpls>
      </query>
      <query mdx="[AIC Outcome].[AIC Part2].&amp;[Relationships &amp; family]&amp;[03 Domestic violence]">
        <tpls c="1">
          <tpl fld="4" item="148"/>
        </tpls>
      </query>
      <query mdx="[AIC Outcome].[AIC Part2].&amp;[Legal]&amp;[05 Legal aid]">
        <tpls c="1">
          <tpl fld="4" item="149"/>
        </tpls>
      </query>
      <query mdx="[AIC Outcome].[AIC Part2].&amp;[Housing]&amp;[03 Domestic violence]"/>
      <query mdx="[AIC Outcome].[AIC Part2].&amp;[Benefits &amp; tax credits]&amp;[11 Jobseekers Allowance]">
        <tpls c="1">
          <tpl fld="4" item="150"/>
        </tpls>
      </query>
      <query mdx="[AIC Outcome].[AIC Part2].&amp;[Benefits &amp; tax credits]&amp;[22 Localised social welfare]">
        <tpls c="1">
          <tpl fld="4" item="151"/>
        </tpls>
      </query>
      <query mdx="[AIC Outcome].[AIC Part2].&amp;[Legal]&amp;[04 Crown Court proceedings]">
        <tpls c="1">
          <tpl fld="4" item="152"/>
        </tpls>
      </query>
      <query mdx="[AIC Outcome].[AIC Part2].&amp;[Tax]&amp;[03 Council Tax]">
        <tpls c="1">
          <tpl fld="4" item="153"/>
        </tpls>
      </query>
      <query mdx="[AIC Outcome].[AIC Part2].&amp;[Travel &amp; transport]&amp;[04 Family, dependents &amp; partners]"/>
      <query mdx="[AIC Outcome].[AIC Part2].&amp;[Benefits &amp; tax credits]&amp;[06 Rent arrears - LAs or ALMOs]"/>
      <query mdx="[AIC Outcome].[AIC Part2].&amp;[Relationships &amp; family]&amp;[99 Other]">
        <tpls c="1">
          <tpl fld="4" item="154"/>
        </tpls>
      </query>
      <query mdx="[AIC Outcome].[AIC Part2].&amp;[Other]&amp;[Not recorded/not applicable]">
        <tpls c="1">
          <tpl fld="4" item="155"/>
        </tpls>
      </query>
      <query mdx="[AIC Outcome].[AIC Part2].&amp;[Benefits &amp; tax credits]&amp;[16 DLA-Mobility Component]">
        <tpls c="1">
          <tpl fld="4" item="156"/>
        </tpls>
      </query>
      <query mdx="[AIC Outcome].[AIC Part2].&amp;[Financial services &amp; capability]&amp;[08 Financial advisers/brokers/intermeds.]">
        <tpls c="1">
          <tpl fld="4" item="157"/>
        </tpls>
      </query>
      <query mdx="[AIC Outcome].[AIC Part2].&amp;[Housing]&amp;[04 LA homelessness service]">
        <tpls c="1">
          <tpl fld="4" item="158"/>
        </tpls>
      </query>
      <query mdx="[AIC Outcome].[AIC Part2].&amp;[Debt]&amp;[14 Unsecured personal loan debts]">
        <tpls c="1">
          <tpl fld="4" item="159"/>
        </tpls>
      </query>
      <query mdx="[AIC Outcome].[AIC Part2].&amp;[Immigration &amp; asylum]&amp;[08 Passports]"/>
      <query mdx="[AIC Outcome].[AIC Part2].&amp;[Debt]&amp;[08 Financial advisers/brokers/intermeds.]"/>
      <query mdx="[AIC Outcome].[AIC Part2].&amp;[Benefits &amp; tax credits]&amp;[21 Personal independence payment]">
        <tpls c="1">
          <tpl fld="4" item="160"/>
        </tpls>
      </query>
      <query mdx="[AIC Outcome].[AIC Part2].&amp;[Financial services &amp; capability]&amp;[03 Credit/store/charge cards]">
        <tpls c="1">
          <tpl fld="4" item="161"/>
        </tpls>
      </query>
      <query mdx="[AIC Outcome].[AIC Part2].&amp;[Travel &amp; transport]&amp;[05 Parking &amp; Congestion]">
        <tpls c="1">
          <tpl fld="4" item="162"/>
        </tpls>
      </query>
      <query mdx="[AIC Outcome].[AIC Part2].&amp;[Employment]&amp;[01 Discrimination]">
        <tpls c="1">
          <tpl fld="4" item="163"/>
        </tpls>
      </query>
      <query mdx="[AIC Outcome].[AIC Part2].&amp;[Debt]&amp;[02 Mortgage &amp; secured loan arrears]">
        <tpls c="1">
          <tpl fld="4" item="164"/>
        </tpls>
      </query>
      <query mdx="[AIC Outcome].[AIC Part2].&amp;[Employment]&amp;[13 Employment tribunals &amp; appeals]">
        <tpls c="1">
          <tpl fld="4" item="165"/>
        </tpls>
      </query>
      <query mdx="[AIC Outcome].[AIC Part2].&amp;[Consumer goods &amp; services]&amp;[09 Debt mgt. services &amp; credit repair]"/>
      <query mdx="[AIC Outcome].[AIC Part2].&amp;[Immigration &amp; asylum]&amp;[05 Visitors]">
        <tpls c="1">
          <tpl fld="4" item="166"/>
        </tpls>
      </query>
      <query mdx="[AIC Outcome].[AIC Part2].&amp;[Health &amp; community care]&amp;[83 Health Watch - Other Service]">
        <tpls c="1">
          <tpl fld="4" item="167"/>
        </tpls>
      </query>
      <query mdx="[AIC Outcome].[AIC Part2].&amp;[Financial services &amp; capability]&amp;[12 Vehicle insurance]">
        <tpls c="1">
          <tpl fld="4" item="168"/>
        </tpls>
      </query>
      <query mdx="[AIC Outcome].[AIC Part2].&amp;[Consumer goods &amp; services]&amp;[02 Private sales &amp; internet auctions]">
        <tpls c="1">
          <tpl fld="4" item="169"/>
        </tpls>
      </query>
      <query mdx="[AIC Outcome].[AIC Part2].&amp;[Travel &amp; transport]&amp;[06 Package holidays]">
        <tpls c="1">
          <tpl fld="4" item="170"/>
        </tpls>
      </query>
      <query mdx="[AIC Outcome].[AIC Part2].&amp;[Financial services &amp; capability]&amp;[05 Loans - unsecured]">
        <tpls c="1">
          <tpl fld="4" item="171"/>
        </tpls>
      </query>
      <query mdx="[AIC Outcome].[AIC Part2].&amp;[Travel &amp; transport]&amp;[Not recorded/not applicable]">
        <tpls c="1">
          <tpl fld="4" item="172"/>
        </tpls>
      </query>
      <query mdx="[AIC Outcome].[AIC Part2].&amp;[Relationships &amp; family]&amp;[08 Child Support: resident parent &amp; family]"/>
      <query mdx="[AIC Outcome].[AIC Part2].&amp;[Consumer goods &amp; services]&amp;[99 Other issues]"/>
      <query mdx="[AIC Outcome].[AIC Part2].&amp;[Health &amp; community care]&amp;[81 Health Watch - Hospital Service]">
        <tpls c="1">
          <tpl fld="4" item="173"/>
        </tpls>
      </query>
      <query mdx="[AIC Outcome].[AIC Part2].&amp;[Travel &amp; transport]&amp;[09 Parking on private land]">
        <tpls c="1">
          <tpl fld="4" item="174"/>
        </tpls>
      </query>
      <query mdx="[AIC Outcome].[AIC Part2].&amp;[Health &amp; community care]&amp;[84 Health Watch - Childrens Services]">
        <tpls c="1">
          <tpl fld="4" item="175"/>
        </tpls>
      </query>
      <query mdx="[AIC Outcome].[AIC Part2].&amp;[Consumer goods &amp; services]&amp;[09 Personal Development Courses (incl IT)]">
        <tpls c="1">
          <tpl fld="4" item="176"/>
        </tpls>
      </query>
      <query mdx="[AIC Outcome].[AIC Part2].&amp;[Debt]&amp;[20 Overpts. Housing &amp; Council Tax Bens.]">
        <tpls c="1">
          <tpl fld="4" item="177"/>
        </tpls>
      </query>
      <query mdx="[AIC Outcome].[AIC Part2].&amp;[Benefits &amp; tax credits]&amp;[10 Incapacity]"/>
      <query mdx="[AIC Outcome].[AIC Part2].&amp;[Financial services &amp; capability]&amp;[20 Financial capability]">
        <tpls c="1">
          <tpl fld="4" item="178"/>
        </tpls>
      </query>
      <query mdx="[AIC Outcome].[AIC Part2].&amp;[Consumer goods &amp; services]&amp;[03 County &amp; High Court proceedings]">
        <tpls c="1">
          <tpl fld="4" item="179"/>
        </tpls>
      </query>
      <query mdx="[AIC Outcome].[AIC Part2].&amp;[Financial services &amp; capability]&amp;[19 Savings and investments]">
        <tpls c="1">
          <tpl fld="4" item="180"/>
        </tpls>
      </query>
      <query mdx="[AIC Outcome].[AIC Part2].&amp;[Travel &amp; transport]&amp;[99 Other travel, transport &amp; holiday]">
        <tpls c="1">
          <tpl fld="4" item="181"/>
        </tpls>
      </query>
      <query mdx="[AIC Outcome].[AIC Part2].&amp;[Benefits &amp; tax credits]&amp;[08 Child Benefit]">
        <tpls c="1">
          <tpl fld="4" item="182"/>
        </tpls>
      </query>
      <query mdx="[AIC Outcome].[AIC Part2].&amp;[Immigration &amp; asylum]&amp;[08 Nationality/citizenship]">
        <tpls c="1">
          <tpl fld="4" item="183"/>
        </tpls>
      </query>
      <query mdx="[AIC Outcome].[AIC Part2].&amp;[Financial services &amp; capability]&amp;[7 Pensions, savings &amp; investments]">
        <tpls c="1">
          <tpl fld="4" item="184"/>
        </tpls>
      </query>
      <query mdx="[AIC Outcome].[AIC Part2].&amp;[Housing]&amp;[03 Building repairs &amp; improvements]">
        <tpls c="1">
          <tpl fld="4" item="185"/>
        </tpls>
      </query>
      <query mdx="[AIC Outcome].[AIC Part2].&amp;[Utilities &amp; communications]&amp;[99 Other communications &amp; utility issues]">
        <tpls c="1">
          <tpl fld="4" item="186"/>
        </tpls>
      </query>
      <query mdx="[AIC Outcome].[AIC Part2].&amp;[Debt]&amp;[05 Loans - unsecured]">
        <tpls c="1">
          <tpl fld="4" item="187"/>
        </tpls>
      </query>
      <query mdx="[AIC Outcome].[AIC Part2].&amp;[Debt]&amp;[08 Rent arrears - private landlords]">
        <tpls c="1">
          <tpl fld="4" item="188"/>
        </tpls>
      </query>
      <query mdx="[AIC Outcome].[AIC Part2].&amp;[Legal]&amp;[03 Self Employment/Business]"/>
      <query mdx="[AIC Outcome].[AIC Part2].&amp;[Benefits &amp; tax credits]&amp;[Not recorded/not applicable]">
        <tpls c="1">
          <tpl fld="4" item="189"/>
        </tpls>
      </query>
      <query mdx="[AIC Outcome].[AIC Part2].&amp;[Debt]&amp;[02 Magistrates Court proceedings]"/>
      <query mdx="[AIC Outcome].[AIC Part2].&amp;[Relationships &amp; family]&amp;[11 Certificates &amp; proofs of identity]">
        <tpls c="1">
          <tpl fld="4" item="190"/>
        </tpls>
      </query>
      <query mdx="[AIC Outcome].[AIC Part2].&amp;[Relationships &amp; family]&amp;[02 Actual homelessness]"/>
      <query mdx="[AIC Outcome].[AIC Part2].&amp;[Utilities &amp; communications]&amp;[07 Internet &amp; broadband]">
        <tpls c="1">
          <tpl fld="4" item="191"/>
        </tpls>
      </query>
      <query mdx="[AIC Outcome].[AIC Part2].&amp;[Financial services &amp; capability]&amp;[Not recorded/not applicable]">
        <tpls c="1">
          <tpl fld="4" item="192"/>
        </tpls>
      </query>
      <query mdx="[AIC Outcome].[AIC Part2].&amp;[Debt]&amp;[02 Bank/Building &amp; P/O Accounts]">
        <tpls c="1">
          <tpl fld="4" item="193"/>
        </tpls>
      </query>
      <query mdx="[AIC Outcome].[AIC Part2].&amp;[Employment]&amp;[12 Redundancy]">
        <tpls c="1">
          <tpl fld="4" item="194"/>
        </tpls>
      </query>
      <query mdx="[AIC Outcome].[AIC Part2].&amp;[Health &amp; community care]&amp;[06 Residential Care]">
        <tpls c="1">
          <tpl fld="4" item="195"/>
        </tpls>
      </query>
      <query mdx="[AIC Outcome].[AIC Part2].&amp;[Legal]&amp;[03 Driving]">
        <tpls c="1">
          <tpl fld="4" item="196"/>
        </tpls>
      </query>
      <query mdx="[AIC Outcome].[AIC Part2].&amp;[Debt]&amp;[10 Mag. Cts. - fines &amp; comp.ord. arrears]">
        <tpls c="1">
          <tpl fld="4" item="197"/>
        </tpls>
      </query>
      <query mdx="[AIC Outcome].[AIC Part2].&amp;[Financial services &amp; capability]&amp;[02 Bank/Building &amp; P/O Accounts]">
        <tpls c="1">
          <tpl fld="4" item="198"/>
        </tpls>
      </query>
      <query mdx="[AIC Outcome].[AIC Part2].&amp;[Health &amp; community care]&amp;[08 Community Care - Mental Health]">
        <tpls c="1">
          <tpl fld="4" item="199"/>
        </tpls>
      </query>
      <query mdx="[AIC Outcome].[AIC Part2].&amp;[Employment]&amp;[09 Dispute resolution]">
        <tpls c="1">
          <tpl fld="4" item="200"/>
        </tpls>
      </query>
      <query mdx="[AIC Outcome].[AIC Part2].&amp;[Debt]&amp;[19 Overpayments of IS +/or JSA]"/>
      <query mdx="[AIC Outcome].[AIC Part2].&amp;[Health &amp; community care]&amp;[05 General Medical Practice]">
        <tpls c="1">
          <tpl fld="4" item="201"/>
        </tpls>
      </query>
      <query mdx="[AIC Outcome].[AIC Part2].&amp;[Employment]&amp;[05 Terms &amp; Conditions of Employment]">
        <tpls c="1">
          <tpl fld="4" item="202"/>
        </tpls>
      </query>
      <query mdx="[AIC Outcome].[AIC Part2].&amp;[Legal]&amp;[03 Domestic violence]"/>
      <query mdx="[AIC Outcome].[AIC Part2].&amp;[Education]&amp;[Not recorded/not applicable]">
        <tpls c="1">
          <tpl fld="4" item="203"/>
        </tpls>
      </query>
      <query mdx="[AIC Outcome].[AIC Part2].&amp;[Immigration &amp; asylum]&amp;[99 Other]"/>
      <query mdx="[AIC Outcome].[AIC Part2].&amp;[Employment]&amp;[07 Pay &amp; Entitlements]">
        <tpls c="1">
          <tpl fld="4" item="204"/>
        </tpls>
      </query>
      <query mdx="[AIC Outcome].[AIC Part2].&amp;[Immigration &amp; asylum]&amp;[07 Students]">
        <tpls c="1">
          <tpl fld="4" item="205"/>
        </tpls>
      </query>
      <query mdx="[AIC Outcome].[AIC Part2].&amp;[Consumer goods &amp; services]&amp;[18 Energy company obligation (ECO)]">
        <tpls c="1">
          <tpl fld="4" item="206"/>
        </tpls>
      </query>
      <query mdx="[AIC Outcome].[AIC Part2].&amp;[Utilities &amp; communications]&amp;[10 Disability aids &amp; adaptations]"/>
      <query mdx="[AIC Outcome].[AIC Part2].&amp;[Debt]&amp;[01 Discrimination]">
        <tpls c="1">
          <tpl fld="4" item="207"/>
        </tpls>
      </query>
      <query mdx="[AIC Outcome].[AIC Part2].&amp;[Employment]&amp;[Not recorded/not applicable]">
        <tpls c="1">
          <tpl fld="4" item="208"/>
        </tpls>
      </query>
      <query mdx="[AIC Outcome].[AIC Part2].&amp;[Benefits &amp; tax credits]&amp;[99 Other]"/>
      <query mdx="[AIC Outcome].[AIC Part2].&amp;[Financial services &amp; capability]&amp;[06 HP &amp; conditional sale]">
        <tpls c="1">
          <tpl fld="4" item="209"/>
        </tpls>
      </query>
      <query mdx="[AIC Outcome].[AIC Part2].&amp;[Benefits &amp; tax credits]&amp;[07 Housing Benefit]">
        <tpls c="1">
          <tpl fld="4" item="210"/>
        </tpls>
      </query>
      <query mdx="[AIC Outcome].[AIC Part2].&amp;[Relationships &amp; family]&amp;[02 Income Support]"/>
      <query mdx="[AIC Outcome].[AIC Part2].&amp;[Benefits &amp; tax credits]&amp;[04 Family, dependents &amp; partners]">
        <tpls c="1">
          <tpl fld="4" item="211"/>
        </tpls>
      </query>
      <query mdx="[AIC Outcome].[AIC Part2].&amp;[Immigration &amp; asylum]&amp;[Not recorded/not applicable]">
        <tpls c="1">
          <tpl fld="4" item="212"/>
        </tpls>
      </query>
      <query mdx="[AIC Outcome].[AIC Part2].&amp;[Consumer goods &amp; services]&amp;[99 Other]"/>
      <query mdx="[AIC Outcome].[AIC Part2].&amp;[Health &amp; community care]&amp;[04 Hospital services - Mental Health]">
        <tpls c="1">
          <tpl fld="4" item="213"/>
        </tpls>
      </query>
      <query mdx="[AIC Outcome].[AIC Part2].&amp;[Utilities &amp; communications]&amp;[Not recorded/not applicable]">
        <tpls c="1">
          <tpl fld="4" item="214"/>
        </tpls>
      </query>
      <query mdx="[AIC Outcome].[AIC Part2].&amp;[Debt]&amp;[03 Hire purchase arrears]">
        <tpls c="1">
          <tpl fld="4" item="215"/>
        </tpls>
      </query>
      <query mdx="[AIC Outcome].[AIC Part2].&amp;[Housing]&amp;[10 Environmental &amp; neighbour issues]">
        <tpls c="1">
          <tpl fld="4" item="216"/>
        </tpls>
      </query>
      <query mdx="[AIC Outcome].[AIC Part2].&amp;[Debt]&amp;[17 Unpaid parking penalty &amp; cong. chgs.]">
        <tpls c="1">
          <tpl fld="4" item="217"/>
        </tpls>
      </query>
      <query mdx="[AIC Outcome].[AIC Part2].&amp;[Consumer goods &amp; services]&amp;[15 Health clubs, gyms &amp; sports]"/>
      <query mdx="[AIC Outcome].[AIC Part2].&amp;[Consumer goods &amp; services]&amp;[07 Computer hardware &amp; software]">
        <tpls c="1">
          <tpl fld="4" item="218"/>
        </tpls>
      </query>
      <query mdx="[AIC Outcome].[AIC Part2].&amp;[Housing]&amp;[09 Owner occupier property]">
        <tpls c="1">
          <tpl fld="4" item="219"/>
        </tpls>
      </query>
      <query mdx="[AIC Outcome].[AIC Part2].&amp;[Employment]&amp;[03 Hospital Services (non-MH)]"/>
      <query mdx="[AIC Outcome].[AIC Part2].&amp;[Consumer goods &amp; services]&amp;[12 Second hand vehicles]">
        <tpls c="1">
          <tpl fld="4" item="220"/>
        </tpls>
      </query>
      <query mdx="[AIC Outcome].[AIC Part2].&amp;[Debt]&amp;[09 Council tax, community charge arrears]"/>
      <query mdx="[AIC Outcome].[AIC Part2].&amp;[Relationships &amp; family]&amp;[02 Marriage, cohabitation, civil partnership]">
        <tpls c="1">
          <tpl fld="4" item="221"/>
        </tpls>
      </query>
      <query mdx="[AIC Outcome].[AIC Part2].&amp;[Immigration &amp; asylum]&amp;[03 Threatened homelessness]"/>
      <query mdx="[AIC Outcome].[AIC Part2].&amp;[Consumer goods &amp; services]&amp;[03 Driving]">
        <tpls c="1">
          <tpl fld="4" item="222"/>
        </tpls>
      </query>
      <query mdx="Discrimination">
        <tpls c="1">
          <tpl fld="7" item="0"/>
        </tpls>
      </query>
    </queryCache>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OnLoad="1" refreshedBy="John Willoughby" refreshedDate="42835.685481944442" backgroundQuery="1" createdVersion="4" refreshedVersion="4" minRefreshableVersion="3" recordCount="0" supportSubquery="1" supportAdvancedDrill="1">
  <cacheSource type="external" connectionId="1"/>
  <cacheFields count="22">
    <cacheField name="[Advice Event Type].[Advice Event Type].[Advice Event Type]" caption="Advice Event Type" numFmtId="0" level="1">
      <sharedItems containsSemiMixedTypes="0" containsString="0"/>
    </cacheField>
    <cacheField name="[Local Organisation].[Member].[Member]" caption="Member" numFmtId="0" hierarchy="90" level="1">
      <sharedItems containsSemiMixedTypes="0" containsString="0"/>
    </cacheField>
    <cacheField name="[Local Organisation].[Member].[Member].[Government Region]" caption="Government Region" propertyName="Government Region" numFmtId="0" hierarchy="90" level="1" memberPropertyField="1">
      <sharedItems containsSemiMixedTypes="0" containsString="0"/>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Measures].[Unique Client Count]" caption="Unique Client Count" numFmtId="0" hierarchy="113" level="32767"/>
    <cacheField name="[Client Geography].[Parliamentary Constituency].[Parliamentary Constituency]" caption="Parliamentary Constituency" numFmtId="0" hierarchy="18" level="1" mappingCount="1">
      <sharedItems count="51">
        <s v="[Client Geography].[Parliamentary Constituency].&amp;[Banbury]&amp;[Con]" c="Banbury" cp="1">
          <x/>
        </s>
        <s v="[Client Geography].[Parliamentary Constituency].&amp;[Barnsley Central]&amp;[Lab]" c="Barnsley Central" cp="1">
          <x v="1"/>
        </s>
        <s v="[Client Geography].[Parliamentary Constituency].&amp;[Beverley and Holderness]&amp;[Con]" c="Beverley and Holderness" cp="1">
          <x/>
        </s>
        <s v="[Client Geography].[Parliamentary Constituency].&amp;[Brigg and Goole]&amp;[Con]" c="Brigg and Goole" cp="1">
          <x/>
        </s>
        <s v="[Client Geography].[Parliamentary Constituency].&amp;[Coventry North West]&amp;[Lab]" c="Coventry North West" cp="1">
          <x v="1"/>
        </s>
        <s v="[Client Geography].[Parliamentary Constituency].&amp;[Darlington]&amp;[Lab]" c="Darlington" cp="1">
          <x v="1"/>
        </s>
        <s v="[Client Geography].[Parliamentary Constituency].&amp;[Don Valley]&amp;[Lab]" c="Don Valley" cp="1">
          <x v="1"/>
        </s>
        <s v="[Client Geography].[Parliamentary Constituency].&amp;[East Yorkshire]&amp;[Con]" c="East Yorkshire" cp="1">
          <x/>
        </s>
        <s v="[Client Geography].[Parliamentary Constituency].&amp;[Elmet and Rothwell]&amp;[Con]" c="Elmet and Rothwell" cp="1">
          <x/>
        </s>
        <s v="[Client Geography].[Parliamentary Constituency].&amp;[Gateshead]&amp;[Lab]" c="Gateshead" cp="1">
          <x v="1"/>
        </s>
        <s v="[Client Geography].[Parliamentary Constituency].&amp;[Haltemprice and Howden]&amp;[Con]" c="Haltemprice and Howden" cp="1">
          <x/>
        </s>
        <s v="[Client Geography].[Parliamentary Constituency].&amp;[Harrogate and Knaresborough]&amp;[Con]" c="Harrogate and Knaresborough" cp="1">
          <x/>
        </s>
        <s v="[Client Geography].[Parliamentary Constituency].&amp;[Hastings and Rye]&amp;[Con]" c="Hastings and Rye" cp="1">
          <x/>
        </s>
        <s v="[Client Geography].[Parliamentary Constituency].&amp;[Kingston upon Hull East]&amp;[Lab]" c="Kingston upon Hull East" cp="1">
          <x v="1"/>
        </s>
        <s v="[Client Geography].[Parliamentary Constituency].&amp;[Kingston upon Hull North]&amp;[Lab]" c="Kingston upon Hull North" cp="1">
          <x v="1"/>
        </s>
        <s v="[Client Geography].[Parliamentary Constituency].&amp;[Kingston upon Hull West and Hessle]&amp;[Lab]" c="Kingston upon Hull West and Hessle" cp="1">
          <x v="1"/>
        </s>
        <s v="[Client Geography].[Parliamentary Constituency].&amp;[Leeds Central]&amp;[Lab]" c="Leeds Central" cp="1">
          <x v="1"/>
        </s>
        <s v="[Client Geography].[Parliamentary Constituency].&amp;[Leeds North East]&amp;[Lab]" c="Leeds North East" cp="1">
          <x v="1"/>
        </s>
        <s v="[Client Geography].[Parliamentary Constituency].&amp;[Leeds North West]&amp;[&quot;Liberal Democrat&quot;]" c="Leeds North West" cp="1">
          <x v="2"/>
        </s>
        <s v="[Client Geography].[Parliamentary Constituency].&amp;[Lincoln]&amp;[Con]" c="Lincoln" cp="1">
          <x/>
        </s>
        <s v="[Client Geography].[Parliamentary Constituency].&amp;[Manchester Central]&amp;[Lab/Co-op]" c="Manchester Central" cp="1">
          <x v="3"/>
        </s>
        <s v="[Client Geography].[Parliamentary Constituency].&amp;[Middlesbrough South and East Cleveland]&amp;[Lab]" c="Middlesbrough South and East Cleveland" cp="1">
          <x v="1"/>
        </s>
        <s v="[Client Geography].[Parliamentary Constituency].&amp;[Newark]&amp;[Con]" c="Newark" cp="1">
          <x/>
        </s>
        <s v="[Client Geography].[Parliamentary Constituency].&amp;[Normanton, Pontefract and Castleford]&amp;[Lab]" c="Normanton, Pontefract and Castleford" cp="1">
          <x v="1"/>
        </s>
        <s v="[Client Geography].[Parliamentary Constituency].&amp;[North Durham]&amp;[Lab]" c="North Durham" cp="1">
          <x v="1"/>
        </s>
        <s v="[Client Geography].[Parliamentary Constituency].&amp;[North East Derbyshire]&amp;[Lab]" c="North East Derbyshire" cp="1">
          <x v="1"/>
        </s>
        <s v="[Client Geography].[Parliamentary Constituency].&amp;[North Tyneside]&amp;[Lab]" c="North Tyneside" cp="1">
          <x v="1"/>
        </s>
        <s v="[Client Geography].[Parliamentary Constituency].&amp;[Not recorded/not applicable]&amp;[Not recorded/not applicable]" c="Not recorded/not applicable" cp="1">
          <x v="4"/>
        </s>
        <s v="[Client Geography].[Parliamentary Constituency].&amp;[Oldham West and Royton]&amp;[Lab]" c="Oldham West and Royton" cp="1">
          <x v="1"/>
        </s>
        <s v="[Client Geography].[Parliamentary Constituency].&amp;[Pendle]&amp;[Con]" c="Pendle" cp="1">
          <x/>
        </s>
        <s v="[Client Geography].[Parliamentary Constituency].&amp;[Plymouth, Moor View]&amp;[Con]" c="Plymouth, Moor View" cp="1">
          <x/>
        </s>
        <s v="[Client Geography].[Parliamentary Constituency].&amp;[Pontypridd]&amp;[Lab]" c="Pontypridd" cp="1">
          <x v="1"/>
        </s>
        <s v="[Client Geography].[Parliamentary Constituency].&amp;[Richmond (Yorks)]&amp;[Con]" c="Richmond (Yorks)" cp="1">
          <x/>
        </s>
        <s v="[Client Geography].[Parliamentary Constituency].&amp;[Richmond Park]&amp;[Con]" c="Richmond Park" cp="1">
          <x/>
        </s>
        <s v="[Client Geography].[Parliamentary Constituency].&amp;[Rochdale]&amp;[Lab]" c="Rochdale" cp="1">
          <x v="1"/>
        </s>
        <s v="[Client Geography].[Parliamentary Constituency].&amp;[Scarborough and Whitby]&amp;[Con]" c="Scarborough and Whitby" cp="1">
          <x/>
        </s>
        <s v="[Client Geography].[Parliamentary Constituency].&amp;[Selby and Ainsty]&amp;[Con]" c="Selby and Ainsty" cp="1">
          <x/>
        </s>
        <s v="[Client Geography].[Parliamentary Constituency].&amp;[Sheffield, Heeley]&amp;[Lab]" c="Sheffield, Heeley" cp="1">
          <x v="1"/>
        </s>
        <s v="[Client Geography].[Parliamentary Constituency].&amp;[Shipley]&amp;[Con]" c="Shipley" cp="1">
          <x/>
        </s>
        <s v="[Client Geography].[Parliamentary Constituency].&amp;[Skipton and Ripon]&amp;[Con]" c="Skipton and Ripon" cp="1">
          <x/>
        </s>
        <s v="[Client Geography].[Parliamentary Constituency].&amp;[South Swindon]&amp;[Con]" c="South Swindon" cp="1">
          <x/>
        </s>
        <s v="[Client Geography].[Parliamentary Constituency].&amp;[St Austell and Newquay]&amp;[Con]" c="St Austell and Newquay" cp="1">
          <x/>
        </s>
        <s v="[Client Geography].[Parliamentary Constituency].&amp;[Stockton North]&amp;[Lab]" c="Stockton North" cp="1">
          <x v="1"/>
        </s>
        <s v="[Client Geography].[Parliamentary Constituency].&amp;[Stroud]&amp;[Con]" c="Stroud" cp="1">
          <x/>
        </s>
        <s v="[Client Geography].[Parliamentary Constituency].&amp;[Sutton and Cheam]&amp;[Con]" c="Sutton and Cheam" cp="1">
          <x/>
        </s>
        <s v="[Client Geography].[Parliamentary Constituency].&amp;[Swansea East]&amp;[Lab]" c="Swansea East" cp="1">
          <x v="1"/>
        </s>
        <s v="[Client Geography].[Parliamentary Constituency].&amp;[Tatton]&amp;[Con]" c="Tatton" cp="1">
          <x/>
        </s>
        <s v="[Client Geography].[Parliamentary Constituency].&amp;[Thirsk and Malton]&amp;[Con]" c="Thirsk and Malton" cp="1">
          <x/>
        </s>
        <s v="[Client Geography].[Parliamentary Constituency].&amp;[Tynemouth]&amp;[Lab]" c="Tynemouth" cp="1">
          <x v="1"/>
        </s>
        <s v="[Client Geography].[Parliamentary Constituency].&amp;[York Central]&amp;[Lab/Co-op]" c="York Central" cp="1">
          <x v="3"/>
        </s>
        <s v="[Client Geography].[Parliamentary Constituency].&amp;[York Outer]&amp;[Con]" c="York Outer" cp="1">
          <x/>
        </s>
      </sharedItems>
      <mpMap v="13"/>
    </cacheField>
    <cacheField name="[Client Geography].[Parliamentary Constituency].[Parliamentary Constituency].[Political Party]" caption="Political Party" propertyName="Political Party" numFmtId="0" hierarchy="18" level="1" memberPropertyField="1">
      <sharedItems count="5">
        <s v="Con"/>
        <s v="Lab"/>
        <s v="&quot;Liberal Democrat&quot;"/>
        <s v="Lab/Co-op"/>
        <s v="Not recorded/not applicable"/>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 name="Dummy0" numFmtId="0" hierarchy="114" level="32767">
      <extLst>
        <ext xmlns:x14="http://schemas.microsoft.com/office/spreadsheetml/2009/9/main" uri="{63CAB8AC-B538-458d-9737-405883B0398D}">
          <x14:cacheField ignore="1"/>
        </ext>
      </extLst>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0"/>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2" unbalanced="0">
      <fieldsUsage count="2">
        <fieldUsage x="-1"/>
        <fieldUsage x="12"/>
      </fieldsUsage>
    </cacheHierarchy>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4"/>
        <fieldUsage x="15"/>
        <fieldUsage x="16"/>
        <fieldUsage x="17"/>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2" unbalanced="0">
      <fieldsUsage count="2">
        <fieldUsage x="-1"/>
        <fieldUsage x="1"/>
      </fieldsUsage>
    </cacheHierarchy>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3"/>
        <fieldUsage x="4"/>
        <fieldUsage x="5"/>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9"/>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oneField="1">
      <fieldsUsage count="1">
        <fieldUsage x="11"/>
      </fieldsUsage>
    </cacheHierarchy>
    <cacheHierarchy uniqueName="Dummy0" caption="Advice Event Type" measure="1" count="0">
      <extLst>
        <ext xmlns:x14="http://schemas.microsoft.com/office/spreadsheetml/2009/9/main" uri="{8CF416AD-EC4C-4aba-99F5-12A058AE0983}">
          <x14:cacheHierarchy ignore="1"/>
        </ext>
      </extLst>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OnLoad="1" refreshedBy="John Willoughby" refreshedDate="42835.685484374997" backgroundQuery="1" createdVersion="4" refreshedVersion="4" minRefreshableVersion="3" recordCount="0" supportSubquery="1" supportAdvancedDrill="1">
  <cacheSource type="external" connectionId="1"/>
  <cacheFields count="20">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Advice Event Type].[Advice Event Type].[Advice Event Type]" caption="Advice Event Type" numFmtId="0" level="1">
      <sharedItems containsSemiMixedTypes="0" containsString="0"/>
    </cacheField>
    <cacheField name="[Measures].[Number of Advice Events]" caption="Number of Advice Events" numFmtId="0" hierarchy="112" level="32767"/>
    <cacheField name="[Measures].[Unique Client Count]" caption="Unique Client Count" numFmtId="0" hierarchy="113" level="32767"/>
    <cacheField name="[Client Geography].[Local Authority].[Local Authority]" caption="Local Authority" numFmtId="0" hierarchy="12" level="1">
      <sharedItems count="42">
        <s v="[Client Geography].[Local Authority].&amp;[Barnsley]" c="Barnsley"/>
        <s v="[Client Geography].[Local Authority].&amp;[Bassetlaw]" c="Bassetlaw"/>
        <s v="[Client Geography].[Local Authority].&amp;[Bradford]" c="Bradford"/>
        <s v="[Client Geography].[Local Authority].&amp;[Cherwell]" c="Cherwell"/>
        <s v="[Client Geography].[Local Authority].&amp;[Cheshire West and Chester]" c="Cheshire West and Chester"/>
        <s v="[Client Geography].[Local Authority].&amp;[Cornwall]" c="Cornwall"/>
        <s v="[Client Geography].[Local Authority].&amp;[County Durham]" c="County Durham"/>
        <s v="[Client Geography].[Local Authority].&amp;[Coventry]" c="Coventry"/>
        <s v="[Client Geography].[Local Authority].&amp;[Craven]" c="Craven"/>
        <s v="[Client Geography].[Local Authority].&amp;[Darlington]" c="Darlington"/>
        <s v="[Client Geography].[Local Authority].&amp;[Doncaster]" c="Doncaster"/>
        <s v="[Client Geography].[Local Authority].&amp;[East Riding of Yorkshire]" c="East Riding of Yorkshire"/>
        <s v="[Client Geography].[Local Authority].&amp;[Gateshead]" c="Gateshead"/>
        <s v="[Client Geography].[Local Authority].&amp;[Hambleton]" c="Hambleton"/>
        <s v="[Client Geography].[Local Authority].&amp;[Harrogate]" c="Harrogate"/>
        <s v="[Client Geography].[Local Authority].&amp;[Hastings]" c="Hastings"/>
        <s v="[Client Geography].[Local Authority].&amp;[Kingston upon Hull, City of]" c="Kingston upon Hull, City of"/>
        <s v="[Client Geography].[Local Authority].&amp;[Leeds]" c="Leeds"/>
        <s v="[Client Geography].[Local Authority].&amp;[Lincoln]" c="Lincoln"/>
        <s v="[Client Geography].[Local Authority].&amp;[Manchester]" c="Manchester"/>
        <s v="[Client Geography].[Local Authority].&amp;[Middlesbrough]" c="Middlesbrough"/>
        <s v="[Client Geography].[Local Authority].&amp;[North East Derbyshire]" c="North East Derbyshire"/>
        <s v="[Client Geography].[Local Authority].&amp;[North Tyneside]" c="North Tyneside"/>
        <s v="[Client Geography].[Local Authority].&amp;[Not recorded/not applicable]" c="Not recorded/not applicable"/>
        <s v="[Client Geography].[Local Authority].&amp;[Oldham]" c="Oldham"/>
        <s v="[Client Geography].[Local Authority].&amp;[Pendle]" c="Pendle"/>
        <s v="[Client Geography].[Local Authority].&amp;[Plymouth]" c="Plymouth"/>
        <s v="[Client Geography].[Local Authority].&amp;[Rhondda Cynon Taf]" c="Rhondda Cynon Taf"/>
        <s v="[Client Geography].[Local Authority].&amp;[Richmond upon Thames]" c="Richmond upon Thames"/>
        <s v="[Client Geography].[Local Authority].&amp;[Richmondshire]" c="Richmondshire"/>
        <s v="[Client Geography].[Local Authority].&amp;[Rochdale]" c="Rochdale"/>
        <s v="[Client Geography].[Local Authority].&amp;[Ryedale]" c="Ryedale"/>
        <s v="[Client Geography].[Local Authority].&amp;[Scarborough]" c="Scarborough"/>
        <s v="[Client Geography].[Local Authority].&amp;[Selby]" c="Selby"/>
        <s v="[Client Geography].[Local Authority].&amp;[Sheffield]" c="Sheffield"/>
        <s v="[Client Geography].[Local Authority].&amp;[Stockton-on-Tees]" c="Stockton-on-Tees"/>
        <s v="[Client Geography].[Local Authority].&amp;[Stroud]" c="Stroud"/>
        <s v="[Client Geography].[Local Authority].&amp;[Sutton]" c="Sutton"/>
        <s v="[Client Geography].[Local Authority].&amp;[Swansea]" c="Swansea"/>
        <s v="[Client Geography].[Local Authority].&amp;[Swindon]" c="Swindon"/>
        <s v="[Client Geography].[Local Authority].&amp;[Wakefield]" c="Wakefield"/>
        <s v="[Client Geography].[Local Authority].&amp;[York]" c="York"/>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 name="Dummy0" numFmtId="0" hierarchy="114" level="32767">
      <extLst>
        <ext xmlns:x14="http://schemas.microsoft.com/office/spreadsheetml/2009/9/main" uri="{63CAB8AC-B538-458d-9737-405883B0398D}">
          <x14:cacheField ignore="1"/>
        </ext>
      </extLst>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8"/>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2" unbalanced="0">
      <fieldsUsage count="2">
        <fieldUsage x="-1"/>
        <fieldUsage x="11"/>
      </fieldsUsage>
    </cacheHierarchy>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2"/>
        <fieldUsage x="13"/>
        <fieldUsage x="14"/>
        <fieldUsage x="15"/>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0"/>
        <fieldUsage x="1"/>
        <fieldUsage x="2"/>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6"/>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oneField="1">
      <fieldsUsage count="1">
        <fieldUsage x="9"/>
      </fieldsUsage>
    </cacheHierarchy>
    <cacheHierarchy uniqueName="[Measures].[Unique Client Count]" caption="Unique Client Count" measure="1" displayFolder="" measureGroup="Client" count="0" oneField="1">
      <fieldsUsage count="1">
        <fieldUsage x="10"/>
      </fieldsUsage>
    </cacheHierarchy>
    <cacheHierarchy uniqueName="Dummy0" caption="Advice Event Type" measure="1" count="0">
      <extLst>
        <ext xmlns:x14="http://schemas.microsoft.com/office/spreadsheetml/2009/9/main" uri="{8CF416AD-EC4C-4aba-99F5-12A058AE0983}">
          <x14:cacheHierarchy ignore="1"/>
        </ext>
      </extLst>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OnLoad="1" refreshedBy="John Willoughby" refreshedDate="42835.685494328703" backgroundQuery="1" createdVersion="4" refreshedVersion="4" minRefreshableVersion="3" recordCount="0" supportSubquery="1" supportAdvancedDrill="1">
  <cacheSource type="external" connectionId="1"/>
  <cacheFields count="22">
    <cacheField name="[Measures].[Number of Advice Events]" caption="Number of Advice Events" numFmtId="0" hierarchy="112" level="32767"/>
    <cacheField name="[Measures].[Unique Client Count]" caption="Unique Client Count" numFmtId="0" hierarchy="113" level="32767"/>
    <cacheField name="[Advice Event Type].[Advice Event Type].[Advice Event Type]" caption="Advice Event Type" numFmtId="0" level="1">
      <sharedItems containsSemiMixedTypes="0" containsString="0"/>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Client Geography].[Local Authority Ward].[Local Authority Ward]" caption="Local Authority Ward" numFmtId="0" hierarchy="13" level="1" mappingCount="1">
      <sharedItems count="231">
        <s v="[Client Geography].[Local Authority Ward].&amp;[Abbey]&amp;[Lincoln]" c="Abbey" cp="1">
          <x/>
        </s>
        <s v="[Client Geography].[Local Authority Ward].&amp;[Acomb]&amp;[York]" c="Acomb" cp="1">
          <x v="1"/>
        </s>
        <s v="[Client Geography].[Local Authority Ward].&amp;[Adel and Wharfedale]&amp;[Leeds]" c="Adel and Wharfedale" cp="1">
          <x v="2"/>
        </s>
        <s v="[Client Geography].[Local Authority Ward].&amp;[Airedale and Ferry Fryston]&amp;[Wakefield]" c="Airedale and Ferry Fryston" cp="1">
          <x v="3"/>
        </s>
        <s v="[Client Geography].[Local Authority Ward].&amp;[Ampleforth]&amp;[Ryedale]" c="Ampleforth" cp="1">
          <x v="4"/>
        </s>
        <s v="[Client Geography].[Local Authority Ward].&amp;[Appleton Roebuck &amp; Church Fenton]&amp;[Selby]" c="Appleton Roebuck &amp; Church Fenton" cp="1">
          <x v="5"/>
        </s>
        <s v="[Client Geography].[Local Authority Ward].&amp;[Appleton Wiske &amp; Smeatons]&amp;[Hambleton]" c="Appleton Wiske &amp; Smeatons" cp="1">
          <x v="6"/>
        </s>
        <s v="[Client Geography].[Local Authority Ward].&amp;[Ardwick]&amp;[Manchester]" c="Ardwick" cp="1">
          <x v="7"/>
        </s>
        <s v="[Client Geography].[Local Authority Ward].&amp;[Avenue]&amp;[Kingston upon Hull, City of]" c="Avenue" cp="1">
          <x v="8"/>
        </s>
        <s v="[Client Geography].[Local Authority Ward].&amp;[Bagby &amp; Thorntons]&amp;[Hambleton]" c="Bagby &amp; Thorntons" cp="1">
          <x v="6"/>
        </s>
        <s v="[Client Geography].[Local Authority Ward].&amp;[Baildon]&amp;[Bradford]" c="Baildon" cp="1">
          <x v="9"/>
        </s>
        <s v="[Client Geography].[Local Authority Ward].&amp;[Bank Top &amp; Lascelles]&amp;[Darlington]" c="Bank Top &amp; Lascelles" cp="1">
          <x v="10"/>
        </s>
        <s v="[Client Geography].[Local Authority Ward].&amp;[Barden Fell]&amp;[Craven]" c="Barden Fell" cp="1">
          <x v="11"/>
        </s>
        <s v="[Client Geography].[Local Authority Ward].&amp;[Barlby Village]&amp;[Selby]" c="Barlby Village" cp="1">
          <x v="5"/>
        </s>
        <s v="[Client Geography].[Local Authority Ward].&amp;[Bedale]&amp;[Hambleton]" c="Bedale" cp="1">
          <x v="6"/>
        </s>
        <s v="[Client Geography].[Local Authority Ward].&amp;[Beverley Rural]&amp;[East Riding of Yorkshire]" c="Beverley Rural" cp="1">
          <x v="12"/>
        </s>
        <s v="[Client Geography].[Local Authority Ward].&amp;[Bilton]&amp;[Harrogate]" c="Bilton" cp="1">
          <x v="13"/>
        </s>
        <s v="[Client Geography].[Local Authority Ward].&amp;[Bishop Monkton]&amp;[Harrogate]" c="Bishop Monkton" cp="1">
          <x v="13"/>
        </s>
        <s v="[Client Geography].[Local Authority Ward].&amp;[Bishopthorpe]&amp;[York]" c="Bishopthorpe" cp="1">
          <x v="1"/>
        </s>
        <s v="[Client Geography].[Local Authority Ward].&amp;[Boothferry]&amp;[Kingston upon Hull, City of]" c="Boothferry" cp="1">
          <x v="8"/>
        </s>
        <s v="[Client Geography].[Local Authority Ward].&amp;[Boroughbridge]&amp;[Harrogate]" c="Boroughbridge" cp="1">
          <x v="13"/>
        </s>
        <s v="[Client Geography].[Local Authority Ward].&amp;[Bransholme East]&amp;[Kingston upon Hull, City of]" c="Bransholme East" cp="1">
          <x v="8"/>
        </s>
        <s v="[Client Geography].[Local Authority Ward].&amp;[Bransholme West]&amp;[Kingston upon Hull, City of]" c="Bransholme West" cp="1">
          <x v="8"/>
        </s>
        <s v="[Client Geography].[Local Authority Ward].&amp;[Brayton]&amp;[Selby]" c="Brayton" cp="1">
          <x v="5"/>
        </s>
        <s v="[Client Geography].[Local Authority Ward].&amp;[Bricknell]&amp;[Kingston upon Hull, City of]" c="Bricknell" cp="1">
          <x v="8"/>
        </s>
        <s v="[Client Geography].[Local Authority Ward].&amp;[Bridlington Central and Old Town]&amp;[East Riding of Yorkshire]" c="Bridlington Central and Old Town" cp="1">
          <x v="12"/>
        </s>
        <s v="[Client Geography].[Local Authority Ward].&amp;[Bridlington North]&amp;[East Riding of Yorkshire]" c="Bridlington North" cp="1">
          <x v="12"/>
        </s>
        <s v="[Client Geography].[Local Authority Ward].&amp;[Bridlington South]&amp;[East Riding of Yorkshire]" c="Bridlington South" cp="1">
          <x v="12"/>
        </s>
        <s v="[Client Geography].[Local Authority Ward].&amp;[Brompton-on-Swale and Scorton]&amp;[Richmondshire]" c="Brompton-on-Swale and Scorton" cp="1">
          <x v="14"/>
        </s>
        <s v="[Client Geography].[Local Authority Ward].&amp;[Burmantofts and Richmond Hill]&amp;[Leeds]" c="Burmantofts and Richmond Hill" cp="1">
          <x v="2"/>
        </s>
        <s v="[Client Geography].[Local Authority Ward].&amp;[Byram &amp; Brotherton]&amp;[Selby]" c="Byram &amp; Brotherton" cp="1">
          <x v="5"/>
        </s>
        <s v="[Client Geography].[Local Authority Ward].&amp;[Camblesforth &amp; Carlton]&amp;[Selby]" c="Camblesforth &amp; Carlton" cp="1">
          <x v="5"/>
        </s>
        <s v="[Client Geography].[Local Authority Ward].&amp;[Castle]&amp;[Scarborough]" c="Castle" cp="1">
          <x v="15"/>
        </s>
        <s v="[Client Geography].[Local Authority Ward].&amp;[Castleford Central and Glasshoughton]&amp;[Wakefield]" c="Castleford Central and Glasshoughton" cp="1">
          <x v="3"/>
        </s>
        <s v="[Client Geography].[Local Authority Ward].&amp;[Catterick]&amp;[Richmondshire]" c="Catterick" cp="1">
          <x v="14"/>
        </s>
        <s v="[Client Geography].[Local Authority Ward].&amp;[Cawood &amp; Wistow]&amp;[Selby]" c="Cawood &amp; Wistow" cp="1">
          <x v="5"/>
        </s>
        <s v="[Client Geography].[Local Authority Ward].&amp;[Cayton]&amp;[Scarborough]" c="Cayton" cp="1">
          <x v="15"/>
        </s>
        <s v="[Client Geography].[Local Authority Ward].&amp;[Central]&amp;[Scarborough]" c="Central" cp="1">
          <x v="15"/>
        </s>
        <s v="[Client Geography].[Local Authority Ward].&amp;[Chirton]&amp;[North Tyneside]" c="Chirton" cp="1">
          <x v="16"/>
        </s>
        <s v="[Client Geography].[Local Authority Ward].&amp;[Church Village]&amp;[Rhondda Cynon Taf]" c="Church Village" cp="1">
          <x v="17"/>
        </s>
        <s v="[Client Geography].[Local Authority Ward].&amp;[Clifton]&amp;[York]" c="Clifton" cp="1">
          <x v="1"/>
        </s>
        <s v="[Client Geography].[Local Authority Ward].&amp;[Colburn]&amp;[Richmondshire]" c="Colburn" cp="1">
          <x v="14"/>
        </s>
        <s v="[Client Geography].[Local Authority Ward].&amp;[Copmanthorpe]&amp;[York]" c="Copmanthorpe" cp="1">
          <x v="1"/>
        </s>
        <s v="[Client Geography].[Local Authority Ward].&amp;[Cottingham North]&amp;[East Riding of Yorkshire]" c="Cottingham North" cp="1">
          <x v="12"/>
        </s>
        <s v="[Client Geography].[Local Authority Ward].&amp;[Cowling]&amp;[Craven]" c="Cowling" cp="1">
          <x v="11"/>
        </s>
        <s v="[Client Geography].[Local Authority Ward].&amp;[Cropton]&amp;[Ryedale]" c="Cropton" cp="1">
          <x v="4"/>
        </s>
        <s v="[Client Geography].[Local Authority Ward].&amp;[Dale]&amp;[East Riding of Yorkshire]" c="Dale" cp="1">
          <x v="12"/>
        </s>
        <s v="[Client Geography].[Local Authority Ward].&amp;[Derringham]&amp;[Kingston upon Hull, City of]" c="Derringham" cp="1">
          <x v="8"/>
        </s>
        <s v="[Client Geography].[Local Authority Ward].&amp;[Derwent]&amp;[Ryedale]" c="Derwent" cp="1">
          <x v="4"/>
        </s>
        <s v="[Client Geography].[Local Authority Ward].&amp;[Derwent]&amp;[Selby]" c="Derwent" cp="1">
          <x v="5"/>
        </s>
        <s v="[Client Geography].[Local Authority Ward].&amp;[Derwent Valley]&amp;[Scarborough]" c="Derwent Valley" cp="1">
          <x v="15"/>
        </s>
        <s v="[Client Geography].[Local Authority Ward].&amp;[Driffield and Rural]&amp;[East Riding of Yorkshire]" c="Driffield and Rural" cp="1">
          <x v="12"/>
        </s>
        <s v="[Client Geography].[Local Authority Ward].&amp;[Dringhouses &amp; Woodthorpe]&amp;[York]" c="Dringhouses &amp; Woodthorpe" cp="1">
          <x v="1"/>
        </s>
        <s v="[Client Geography].[Local Authority Ward].&amp;[Drypool]&amp;[Kingston upon Hull, City of]" c="Drypool" cp="1">
          <x v="8"/>
        </s>
        <s v="[Client Geography].[Local Authority Ward].&amp;[Earby]&amp;[Pendle]" c="Earby" cp="1">
          <x v="18"/>
        </s>
        <s v="[Client Geography].[Local Authority Ward].&amp;[Easingwold]&amp;[Hambleton]" c="Easingwold" cp="1">
          <x v="6"/>
        </s>
        <s v="[Client Geography].[Local Authority Ward].&amp;[East Wolds and Coastal]&amp;[East Riding of Yorkshire]" c="East Wolds and Coastal" cp="1">
          <x v="12"/>
        </s>
        <s v="[Client Geography].[Local Authority Ward].&amp;[Eastfield]&amp;[Scarborough]" c="Eastfield" cp="1">
          <x v="15"/>
        </s>
        <s v="[Client Geography].[Local Authority Ward].&amp;[Edlington &amp; Warmsworth]&amp;[Doncaster]" c="Edlington &amp; Warmsworth" cp="1">
          <x v="19"/>
        </s>
        <s v="[Client Geography].[Local Authority Ward].&amp;[Eggborough]&amp;[Selby]" c="Eggborough" cp="1">
          <x v="5"/>
        </s>
        <s v="[Client Geography].[Local Authority Ward].&amp;[Escrick]&amp;[Selby]" c="Escrick" cp="1">
          <x v="5"/>
        </s>
        <s v="[Client Geography].[Local Authority Ward].&amp;[Esk Valley]&amp;[Scarborough]" c="Esk Valley" cp="1">
          <x v="15"/>
        </s>
        <s v="[Client Geography].[Local Authority Ward].&amp;[Falsgrave Park]&amp;[Scarborough]" c="Falsgrave Park" cp="1">
          <x v="15"/>
        </s>
        <s v="[Client Geography].[Local Authority Ward].&amp;[Filey]&amp;[Scarborough]" c="Filey" cp="1">
          <x v="15"/>
        </s>
        <s v="[Client Geography].[Local Authority Ward].&amp;[Fishergate]&amp;[York]" c="Fishergate" cp="1">
          <x v="1"/>
        </s>
        <s v="[Client Geography].[Local Authority Ward].&amp;[Fringford and Heyfords]&amp;[Cherwell]" c="Fringford and Heyfords" cp="1">
          <x v="20"/>
        </s>
        <s v="[Client Geography].[Local Authority Ward].&amp;[Fulford &amp; Heslington]&amp;[York]" c="Fulford &amp; Heslington" cp="1">
          <x v="1"/>
        </s>
        <s v="[Client Geography].[Local Authority Ward].&amp;[Gensing]&amp;[Hastings]" c="Gensing" cp="1">
          <x v="21"/>
        </s>
        <s v="[Client Geography].[Local Authority Ward].&amp;[Gilling West]&amp;[Richmondshire]" c="Gilling West" cp="1">
          <x v="14"/>
        </s>
        <s v="[Client Geography].[Local Authority Ward].&amp;[Glusburn]&amp;[Craven]" c="Glusburn" cp="1">
          <x v="11"/>
        </s>
        <s v="[Client Geography].[Local Authority Ward].&amp;[Goole North]&amp;[East Riding of Yorkshire]" c="Goole North" cp="1">
          <x v="12"/>
        </s>
        <s v="[Client Geography].[Local Authority Ward].&amp;[Goole South]&amp;[East Riding of Yorkshire]" c="Goole South" cp="1">
          <x v="12"/>
        </s>
        <s v="[Client Geography].[Local Authority Ward].&amp;[Gosforth Valley]&amp;[North East Derbyshire]" c="Gosforth Valley" cp="1">
          <x v="22"/>
        </s>
        <s v="[Client Geography].[Local Authority Ward].&amp;[Granby]&amp;[Harrogate]" c="Granby" cp="1">
          <x v="13"/>
        </s>
        <s v="[Client Geography].[Local Authority Ward].&amp;[Grassington]&amp;[Craven]" c="Grassington" cp="1">
          <x v="11"/>
        </s>
        <s v="[Client Geography].[Local Authority Ward].&amp;[Great Ayton]&amp;[Hambleton]" c="Great Ayton" cp="1">
          <x v="6"/>
        </s>
        <s v="[Client Geography].[Local Authority Ward].&amp;[Guildhall]&amp;[York]" c="Guildhall" cp="1">
          <x v="1"/>
        </s>
        <s v="[Client Geography].[Local Authority Ward].&amp;[Hawes and High Abbotside]&amp;[Richmondshire]" c="Hawes and High Abbotside" cp="1">
          <x v="14"/>
        </s>
        <s v="[Client Geography].[Local Authority Ward].&amp;[Haxby &amp; Wigginton]&amp;[York]" c="Haxby &amp; Wigginton" cp="1">
          <x v="1"/>
        </s>
        <s v="[Client Geography].[Local Authority Ward].&amp;[Hellifield and Long Preston]&amp;[Craven]" c="Hellifield and Long Preston" cp="1">
          <x v="11"/>
        </s>
        <s v="[Client Geography].[Local Authority Ward].&amp;[Helmsley]&amp;[Ryedale]" c="Helmsley" cp="1">
          <x v="4"/>
        </s>
        <s v="[Client Geography].[Local Authority Ward].&amp;[Hertford]&amp;[Scarborough]" c="Hertford" cp="1">
          <x v="15"/>
        </s>
        <s v="[Client Geography].[Local Authority Ward].&amp;[Hessle]&amp;[East Riding of Yorkshire]" c="Hessle" cp="1">
          <x v="12"/>
        </s>
        <s v="[Client Geography].[Local Authority Ward].&amp;[Heworth]&amp;[York]" c="Heworth" cp="1">
          <x v="1"/>
        </s>
        <s v="[Client Geography].[Local Authority Ward].&amp;[Heworth Without]&amp;[York]" c="Heworth Without" cp="1">
          <x v="1"/>
        </s>
        <s v="[Client Geography].[Local Authority Ward].&amp;[High Harrogate]&amp;[Harrogate]" c="High Harrogate" cp="1">
          <x v="13"/>
        </s>
        <s v="[Client Geography].[Local Authority Ward].&amp;[Hipswell]&amp;[Richmondshire]" c="Hipswell" cp="1">
          <x v="14"/>
        </s>
        <s v="[Client Geography].[Local Authority Ward].&amp;[Holderness]&amp;[Kingston upon Hull, City of]" c="Holderness" cp="1">
          <x v="8"/>
        </s>
        <s v="[Client Geography].[Local Authority Ward].&amp;[Holgate]&amp;[York]" c="Holgate" cp="1">
          <x v="1"/>
        </s>
        <s v="[Client Geography].[Local Authority Ward].&amp;[Hookstone]&amp;[Harrogate]" c="Hookstone" cp="1">
          <x v="13"/>
        </s>
        <s v="[Client Geography].[Local Authority Ward].&amp;[Hornby Castle]&amp;[Richmondshire]" c="Hornby Castle" cp="1">
          <x v="14"/>
        </s>
        <s v="[Client Geography].[Local Authority Ward].&amp;[Hovingham]&amp;[Ryedale]" c="Hovingham" cp="1">
          <x v="4"/>
        </s>
        <s v="[Client Geography].[Local Authority Ward].&amp;[Howden]&amp;[East Riding of Yorkshire]" c="Howden" cp="1">
          <x v="12"/>
        </s>
        <s v="[Client Geography].[Local Authority Ward].&amp;[Howdenshire]&amp;[East Riding of Yorkshire]" c="Howdenshire" cp="1">
          <x v="12"/>
        </s>
        <s v="[Client Geography].[Local Authority Ward].&amp;[Huby]&amp;[Hambleton]" c="Huby" cp="1">
          <x v="6"/>
        </s>
        <s v="[Client Geography].[Local Authority Ward].&amp;[Hull Road]&amp;[York]" c="Hull Road" cp="1">
          <x v="1"/>
        </s>
        <s v="[Client Geography].[Local Authority Ward].&amp;[Huntington &amp; New Earswick]&amp;[York]" c="Huntington &amp; New Earswick" cp="1">
          <x v="1"/>
        </s>
        <s v="[Client Geography].[Local Authority Ward].&amp;[Huntington &amp;amp; New Earswick]&amp;[York]" c="Huntington &amp;amp; New Earswick" cp="1">
          <x v="1"/>
        </s>
        <s v="[Client Geography].[Local Authority Ward].&amp;[Ings]&amp;[Kingston upon Hull, City of]" c="Ings" cp="1">
          <x v="8"/>
        </s>
        <s v="[Client Geography].[Local Authority Ward].&amp;[Kew]&amp;[Richmond upon Thames]" c="Kew" cp="1">
          <x v="23"/>
        </s>
        <s v="[Client Geography].[Local Authority Ward].&amp;[Kings Park]&amp;[Kingston upon Hull, City of]" c="Kings Park" cp="1">
          <x v="8"/>
        </s>
        <s v="[Client Geography].[Local Authority Ward].&amp;[Kirkby Malzeard]&amp;[Harrogate]" c="Kirkby Malzeard" cp="1">
          <x v="13"/>
        </s>
        <s v="[Client Geography].[Local Authority Ward].&amp;[Kirkbymoorside]&amp;[Ryedale]" c="Kirkbymoorside" cp="1">
          <x v="4"/>
        </s>
        <s v="[Client Geography].[Local Authority Ward].&amp;[Knaresborough East]&amp;[Harrogate]" c="Knaresborough East" cp="1">
          <x v="13"/>
        </s>
        <s v="[Client Geography].[Local Authority Ward].&amp;[Knaresborough King James]&amp;[Harrogate]" c="Knaresborough King James" cp="1">
          <x v="13"/>
        </s>
        <s v="[Client Geography].[Local Authority Ward].&amp;[Knaresborough Scriven Park]&amp;[Harrogate]" c="Knaresborough Scriven Park" cp="1">
          <x v="13"/>
        </s>
        <s v="[Client Geography].[Local Authority Ward].&amp;[Ladgate]&amp;[Middlesbrough]" c="Ladgate" cp="1">
          <x v="24"/>
        </s>
        <s v="[Client Geography].[Local Authority Ward].&amp;[Lindhead]&amp;[Scarborough]" c="Lindhead" cp="1">
          <x v="15"/>
        </s>
        <s v="[Client Geography].[Local Authority Ward].&amp;[Longhill]&amp;[Kingston upon Hull, City of]" c="Longhill" cp="1">
          <x v="8"/>
        </s>
        <s v="[Client Geography].[Local Authority Ward].&amp;[Low Harrogate]&amp;[Harrogate]" c="Low Harrogate" cp="1">
          <x v="13"/>
        </s>
        <s v="[Client Geography].[Local Authority Ward].&amp;[Lower Wensleydale]&amp;[Richmondshire]" c="Lower Wensleydale" cp="1">
          <x v="14"/>
        </s>
        <s v="[Client Geography].[Local Authority Ward].&amp;[Malton]&amp;[Ryedale]" c="Malton" cp="1">
          <x v="4"/>
        </s>
        <s v="[Client Geography].[Local Authority Ward].&amp;[Marfleet]&amp;[Kingston upon Hull, City of]" c="Marfleet" cp="1">
          <x v="8"/>
        </s>
        <s v="[Client Geography].[Local Authority Ward].&amp;[Marston Moor]&amp;[Harrogate]" c="Marston Moor" cp="1">
          <x v="13"/>
        </s>
        <s v="[Client Geography].[Local Authority Ward].&amp;[Mashamshire]&amp;[Harrogate]" c="Mashamshire" cp="1">
          <x v="13"/>
        </s>
        <s v="[Client Geography].[Local Authority Ward].&amp;[Mayfield]&amp;[Scarborough]" c="Mayfield" cp="1">
          <x v="15"/>
        </s>
        <s v="[Client Geography].[Local Authority Ward].&amp;[Medlock Vale]&amp;[Oldham]" c="Medlock Vale" cp="1">
          <x v="25"/>
        </s>
        <s v="[Client Geography].[Local Authority Ward].&amp;[Micklegate]&amp;[York]" c="Micklegate" cp="1">
          <x v="1"/>
        </s>
        <s v="[Client Geography].[Local Authority Ward].&amp;[Mid Holderness]&amp;[East Riding of Yorkshire]" c="Mid Holderness" cp="1">
          <x v="12"/>
        </s>
        <s v="[Client Geography].[Local Authority Ward].&amp;[Middleham]&amp;[Richmondshire]" c="Middleham" cp="1">
          <x v="14"/>
        </s>
        <s v="[Client Geography].[Local Authority Ward].&amp;[Milkstone and Deeplish]&amp;[Rochdale]" c="Milkstone and Deeplish" cp="1">
          <x v="26"/>
        </s>
        <s v="[Client Geography].[Local Authority Ward].&amp;[Minster and Woodmansey]&amp;[East Riding of Yorkshire]" c="Minster and Woodmansey" cp="1">
          <x v="12"/>
        </s>
        <s v="[Client Geography].[Local Authority Ward].&amp;[Monk Fryston]&amp;[Selby]" c="Monk Fryston" cp="1">
          <x v="5"/>
        </s>
        <s v="[Client Geography].[Local Authority Ward].&amp;[Moortown]&amp;[Leeds]" c="Moortown" cp="1">
          <x v="2"/>
        </s>
        <s v="[Client Geography].[Local Authority Ward].&amp;[Morton-on-Swale]&amp;[Hambleton]" c="Morton-on-Swale" cp="1">
          <x v="6"/>
        </s>
        <s v="[Client Geography].[Local Authority Ward].&amp;[Mulgrave]&amp;[Scarborough]" c="Mulgrave" cp="1">
          <x v="15"/>
        </s>
        <s v="[Client Geography].[Local Authority Ward].&amp;[Myton]&amp;[Kingston upon Hull, City of]" c="Myton" cp="1">
          <x v="8"/>
        </s>
        <s v="[Client Geography].[Local Authority Ward].&amp;[New Park]&amp;[Harrogate]" c="New Park" cp="1">
          <x v="13"/>
        </s>
        <s v="[Client Geography].[Local Authority Ward].&amp;[Newby]&amp;[Harrogate]" c="Newby" cp="1">
          <x v="13"/>
        </s>
        <s v="[Client Geography].[Local Authority Ward].&amp;[Newby]&amp;[Scarborough]" c="Newby" cp="1">
          <x v="15"/>
        </s>
        <s v="[Client Geography].[Local Authority Ward].&amp;[Newington]&amp;[Kingston upon Hull, City of]" c="Newington" cp="1">
          <x v="8"/>
        </s>
        <s v="[Client Geography].[Local Authority Ward].&amp;[Newland]&amp;[Kingston upon Hull, City of]" c="Newland" cp="1">
          <x v="8"/>
        </s>
        <s v="[Client Geography].[Local Authority Ward].&amp;[Nidd Valley]&amp;[Harrogate]" c="Nidd Valley" cp="1">
          <x v="13"/>
        </s>
        <s v="[Client Geography].[Local Authority Ward].&amp;[Normanton]&amp;[Wakefield]" c="Normanton" cp="1">
          <x v="3"/>
        </s>
        <s v="[Client Geography].[Local Authority Ward].&amp;[North Bay]&amp;[Scarborough]" c="North Bay" cp="1">
          <x v="15"/>
        </s>
        <s v="[Client Geography].[Local Authority Ward].&amp;[North Holderness]&amp;[East Riding of Yorkshire]" c="North Holderness" cp="1">
          <x v="12"/>
        </s>
        <s v="[Client Geography].[Local Authority Ward].&amp;[Northallerton North &amp; Brompton]&amp;[Hambleton]" c="Northallerton North &amp; Brompton" cp="1">
          <x v="6"/>
        </s>
        <s v="[Client Geography].[Local Authority Ward].&amp;[Northallerton South]&amp;[Hambleton]" c="Northallerton South" cp="1">
          <x v="6"/>
        </s>
        <s v="[Client Geography].[Local Authority Ward].&amp;[Northstead]&amp;[Scarborough]" c="Northstead" cp="1">
          <x v="15"/>
        </s>
        <s v="[Client Geography].[Local Authority Ward].&amp;[Norton East]&amp;[Ryedale]" c="Norton East" cp="1">
          <x v="4"/>
        </s>
        <s v="[Client Geography].[Local Authority Ward].&amp;[Norton West]&amp;[Ryedale]" c="Norton West" cp="1">
          <x v="4"/>
        </s>
        <s v="[Client Geography].[Local Authority Ward].&amp;[Norton West]&amp;[Stockton-on-Tees]" c="Norton West" cp="1">
          <x v="27"/>
        </s>
        <s v="[Client Geography].[Local Authority Ward].&amp;[Not recorded/not applicable]&amp;[Not recorded/not applicable]" c="Not recorded/not applicable" cp="1">
          <x v="28"/>
        </s>
        <s v="[Client Geography].[Local Authority Ward].&amp;[Orchard Park and Greenwood]&amp;[Kingston upon Hull, City of]" c="Orchard Park and Greenwood" cp="1">
          <x v="8"/>
        </s>
        <s v="[Client Geography].[Local Authority Ward].&amp;[Osbaldwick &amp; Derwent]&amp;[York]" c="Osbaldwick &amp; Derwent" cp="1">
          <x v="1"/>
        </s>
        <s v="[Client Geography].[Local Authority Ward].&amp;[Osmotherley &amp; Swainby]&amp;[Hambleton]" c="Osmotherley &amp; Swainby" cp="1">
          <x v="6"/>
        </s>
        <s v="[Client Geography].[Local Authority Ward].&amp;[Ouseburn]&amp;[Harrogate]" c="Ouseburn" cp="1">
          <x v="13"/>
        </s>
        <s v="[Client Geography].[Local Authority Ward].&amp;[Park and Arbourthorne]&amp;[Sheffield]" c="Park and Arbourthorne" cp="1">
          <x v="29"/>
        </s>
        <s v="[Client Geography].[Local Authority Ward].&amp;[Pateley Bridge]&amp;[Harrogate]" c="Pateley Bridge" cp="1">
          <x v="13"/>
        </s>
        <s v="[Client Geography].[Local Authority Ward].&amp;[Pelton]&amp;[County Durham]" c="Pelton" cp="1">
          <x v="30"/>
        </s>
        <s v="[Client Geography].[Local Authority Ward].&amp;[Penhill]&amp;[Richmondshire]" c="Penhill" cp="1">
          <x v="14"/>
        </s>
        <s v="[Client Geography].[Local Authority Ward].&amp;[Penyghent]&amp;[Craven]" c="Penyghent" cp="1">
          <x v="11"/>
        </s>
        <s v="[Client Geography].[Local Authority Ward].&amp;[Pickering]&amp;[Kingston upon Hull, City of]" c="Pickering" cp="1">
          <x v="8"/>
        </s>
        <s v="[Client Geography].[Local Authority Ward].&amp;[Pickering East]&amp;[Ryedale]" c="Pickering East" cp="1">
          <x v="4"/>
        </s>
        <s v="[Client Geography].[Local Authority Ward].&amp;[Pickering West]&amp;[Ryedale]" c="Pickering West" cp="1">
          <x v="4"/>
        </s>
        <s v="[Client Geography].[Local Authority Ward].&amp;[Pocklington Provincial]&amp;[East Riding of Yorkshire]" c="Pocklington Provincial" cp="1">
          <x v="12"/>
        </s>
        <s v="[Client Geography].[Local Authority Ward].&amp;[Ramshill]&amp;[Scarborough]" c="Ramshill" cp="1">
          <x v="15"/>
        </s>
        <s v="[Client Geography].[Local Authority Ward].&amp;[Raskelf &amp; White Horse]&amp;[Hambleton]" c="Raskelf &amp; White Horse" cp="1">
          <x v="6"/>
        </s>
        <s v="[Client Geography].[Local Authority Ward].&amp;[Rawcliffe &amp; Clifton Without]&amp;[York]" c="Rawcliffe &amp; Clifton Without" cp="1">
          <x v="1"/>
        </s>
        <s v="[Client Geography].[Local Authority Ward].&amp;[Reeth and Arkengarthdale]&amp;[Richmondshire]" c="Reeth and Arkengarthdale" cp="1">
          <x v="14"/>
        </s>
        <s v="[Client Geography].[Local Authority Ward].&amp;[Ribston]&amp;[Harrogate]" c="Ribston" cp="1">
          <x v="13"/>
        </s>
        <s v="[Client Geography].[Local Authority Ward].&amp;[Riccall]&amp;[Selby]" c="Riccall" cp="1">
          <x v="5"/>
        </s>
        <s v="[Client Geography].[Local Authority Ward].&amp;[Richmond Central]&amp;[Richmondshire]" c="Richmond Central" cp="1">
          <x v="14"/>
        </s>
        <s v="[Client Geography].[Local Authority Ward].&amp;[Richmond East]&amp;[Richmondshire]" c="Richmond East" cp="1">
          <x v="14"/>
        </s>
        <s v="[Client Geography].[Local Authority Ward].&amp;[Richmond West]&amp;[Richmondshire]" c="Richmond West" cp="1">
          <x v="14"/>
        </s>
        <s v="[Client Geography].[Local Authority Ward].&amp;[Ripon Minster]&amp;[Harrogate]" c="Ripon Minster" cp="1">
          <x v="13"/>
        </s>
        <s v="[Client Geography].[Local Authority Ward].&amp;[Ripon Moorside]&amp;[Harrogate]" c="Ripon Moorside" cp="1">
          <x v="13"/>
        </s>
        <s v="[Client Geography].[Local Authority Ward].&amp;[Ripon Spa]&amp;[Harrogate]" c="Ripon Spa" cp="1">
          <x v="13"/>
        </s>
        <s v="[Client Geography].[Local Authority Ward].&amp;[Romanby]&amp;[Hambleton]" c="Romanby" cp="1">
          <x v="6"/>
        </s>
        <s v="[Client Geography].[Local Authority Ward].&amp;[Rossett]&amp;[Harrogate]" c="Rossett" cp="1">
          <x v="13"/>
        </s>
        <s v="[Client Geography].[Local Authority Ward].&amp;[Royston]&amp;[Barnsley]" c="Royston" cp="1">
          <x v="31"/>
        </s>
        <s v="[Client Geography].[Local Authority Ward].&amp;[Rural West York]&amp;[York]" c="Rural West York" cp="1">
          <x v="1"/>
        </s>
        <s v="[Client Geography].[Local Authority Ward].&amp;[Ryedale South West]&amp;[Ryedale]" c="Ryedale South West" cp="1">
          <x v="4"/>
        </s>
        <s v="[Client Geography].[Local Authority Ward].&amp;[Saltergate]&amp;[Harrogate]" c="Saltergate" cp="1">
          <x v="13"/>
        </s>
        <s v="[Client Geography].[Local Authority Ward].&amp;[Saltwell]&amp;[Gateshead]" c="Saltwell" cp="1">
          <x v="32"/>
        </s>
        <s v="[Client Geography].[Local Authority Ward].&amp;[Scalby, Hackness and Staintondale]&amp;[Scarborough]" c="Scalby, Hackness and Staintondale" cp="1">
          <x v="15"/>
        </s>
        <s v="[Client Geography].[Local Authority Ward].&amp;[Scotton]&amp;[Richmondshire]" c="Scotton" cp="1">
          <x v="14"/>
        </s>
        <s v="[Client Geography].[Local Authority Ward].&amp;[Seamer]&amp;[Scarborough]" c="Seamer" cp="1">
          <x v="15"/>
        </s>
        <s v="[Client Geography].[Local Authority Ward].&amp;[Selby East]&amp;[Selby]" c="Selby East" cp="1">
          <x v="5"/>
        </s>
        <s v="[Client Geography].[Local Authority Ward].&amp;[Selby West]&amp;[Selby]" c="Selby West" cp="1">
          <x v="5"/>
        </s>
        <s v="[Client Geography].[Local Authority Ward].&amp;[Shakerley]&amp;[Cheshire West and Chester]" c="Shakerley" cp="1">
          <x v="33"/>
        </s>
        <s v="[Client Geography].[Local Authority Ward].&amp;[Sherbourne]&amp;[Coventry]" c="Sherbourne" cp="1">
          <x v="34"/>
        </s>
        <s v="[Client Geography].[Local Authority Ward].&amp;[Sherburn]&amp;[Ryedale]" c="Sherburn" cp="1">
          <x v="4"/>
        </s>
        <s v="[Client Geography].[Local Authority Ward].&amp;[Sherburn in Elmet]&amp;[Selby]" c="Sherburn in Elmet" cp="1">
          <x v="5"/>
        </s>
        <s v="[Client Geography].[Local Authority Ward].&amp;[Sheriff Hutton]&amp;[Ryedale]" c="Sheriff Hutton" cp="1">
          <x v="4"/>
        </s>
        <s v="[Client Geography].[Local Authority Ward].&amp;[Skipton East]&amp;[Craven]" c="Skipton East" cp="1">
          <x v="11"/>
        </s>
        <s v="[Client Geography].[Local Authority Ward].&amp;[Skipton North]&amp;[Craven]" c="Skipton North" cp="1">
          <x v="11"/>
        </s>
        <s v="[Client Geography].[Local Authority Ward].&amp;[Skipton South]&amp;[Craven]" c="Skipton South" cp="1">
          <x v="11"/>
        </s>
        <s v="[Client Geography].[Local Authority Ward].&amp;[Skipton West]&amp;[Craven]" c="Skipton West" cp="1">
          <x v="11"/>
        </s>
        <s v="[Client Geography].[Local Authority Ward].&amp;[Snaith, Airmyn, Rawcliffe and Marshland]&amp;[East Riding of Yorkshire]" c="Snaith, Airmyn, Rawcliffe and Marshland" cp="1">
          <x v="12"/>
        </s>
        <s v="[Client Geography].[Local Authority Ward].&amp;[South East Holderness]&amp;[East Riding of Yorkshire]" c="South East Holderness" cp="1">
          <x v="12"/>
        </s>
        <s v="[Client Geography].[Local Authority Ward].&amp;[South Milford]&amp;[Selby]" c="South Milford" cp="1">
          <x v="5"/>
        </s>
        <s v="[Client Geography].[Local Authority Ward].&amp;[South West Holderness]&amp;[East Riding of Yorkshire]" c="South West Holderness" cp="1">
          <x v="12"/>
        </s>
        <s v="[Client Geography].[Local Authority Ward].&amp;[Southcoates East]&amp;[Kingston upon Hull, City of]" c="Southcoates East" cp="1">
          <x v="8"/>
        </s>
        <s v="[Client Geography].[Local Authority Ward].&amp;[Southcoates West]&amp;[Kingston upon Hull, City of]" c="Southcoates West" cp="1">
          <x v="8"/>
        </s>
        <s v="[Client Geography].[Local Authority Ward].&amp;[Sowerby &amp; Topcliffe]&amp;[Hambleton]" c="Sowerby &amp; Topcliffe" cp="1">
          <x v="6"/>
        </s>
        <s v="[Client Geography].[Local Authority Ward].&amp;[St Andrew's]&amp;[Kingston upon Hull, City of]" c="St Andrew's" cp="1">
          <x v="8"/>
        </s>
        <s v="[Client Geography].[Local Authority Ward].&amp;[St Blazey]&amp;[Cornwall]" c="St Blazey" cp="1">
          <x v="35"/>
        </s>
        <s v="[Client Geography].[Local Authority Ward].&amp;[St Budeaux]&amp;[Plymouth]" c="St Budeaux" cp="1">
          <x v="36"/>
        </s>
        <s v="[Client Geography].[Local Authority Ward].&amp;[St. Thomas]&amp;[Swansea]" c="St. Thomas" cp="1">
          <x v="37"/>
        </s>
        <s v="[Client Geography].[Local Authority Ward].&amp;[Starbeck]&amp;[Harrogate]" c="Starbeck" cp="1">
          <x v="13"/>
        </s>
        <s v="[Client Geography].[Local Authority Ward].&amp;[Stepney]&amp;[Scarborough]" c="Stepney" cp="1">
          <x v="15"/>
        </s>
        <s v="[Client Geography].[Local Authority Ward].&amp;[Stokesley]&amp;[Hambleton]" c="Stokesley" cp="1">
          <x v="6"/>
        </s>
        <s v="[Client Geography].[Local Authority Ward].&amp;[Stray]&amp;[Harrogate]" c="Stray" cp="1">
          <x v="13"/>
        </s>
        <s v="[Client Geography].[Local Authority Ward].&amp;[Strensall]&amp;[York]" c="Strensall" cp="1">
          <x v="1"/>
        </s>
        <s v="[Client Geography].[Local Authority Ward].&amp;[Streonshalh]&amp;[Scarborough]" c="Streonshalh" cp="1">
          <x v="15"/>
        </s>
        <s v="[Client Geography].[Local Authority Ward].&amp;[Stroud Valley]&amp;[Stroud]" c="Stroud Valley" cp="1">
          <x v="38"/>
        </s>
        <s v="[Client Geography].[Local Authority Ward].&amp;[Sutton]&amp;[Kingston upon Hull, City of]" c="Sutton" cp="1">
          <x v="8"/>
        </s>
        <s v="[Client Geography].[Local Authority Ward].&amp;[Sutton Central]&amp;[Sutton]" c="Sutton Central" cp="1">
          <x v="39"/>
        </s>
        <s v="[Client Geography].[Local Authority Ward].&amp;[Sutton-in-Craven]&amp;[Craven]" c="Sutton-in-Craven" cp="1">
          <x v="11"/>
        </s>
        <s v="[Client Geography].[Local Authority Ward].&amp;[Tadcaster]&amp;[Selby]" c="Tadcaster" cp="1">
          <x v="5"/>
        </s>
        <s v="[Client Geography].[Local Authority Ward].&amp;[Tanfield]&amp;[Hambleton]" c="Tanfield" cp="1">
          <x v="6"/>
        </s>
        <s v="[Client Geography].[Local Authority Ward].&amp;[Thirsk]&amp;[Hambleton]" c="Thirsk" cp="1">
          <x v="6"/>
        </s>
        <s v="[Client Geography].[Local Authority Ward].&amp;[Thornton Dale]&amp;[Ryedale]" c="Thornton Dale" cp="1">
          <x v="4"/>
        </s>
        <s v="[Client Geography].[Local Authority Ward].&amp;[Thorpe Willoughby]&amp;[Selby]" c="Thorpe Willoughby" cp="1">
          <x v="5"/>
        </s>
        <s v="[Client Geography].[Local Authority Ward].&amp;[Tranby]&amp;[East Riding of Yorkshire]" c="Tranby" cp="1">
          <x v="12"/>
        </s>
        <s v="[Client Geography].[Local Authority Ward].&amp;[Tuxford and Trent]&amp;[Bassetlaw]" c="Tuxford and Trent" cp="1">
          <x v="40"/>
        </s>
        <s v="[Client Geography].[Local Authority Ward].&amp;[University]&amp;[Kingston upon Hull, City of]" c="University" cp="1">
          <x v="8"/>
        </s>
        <s v="[Client Geography].[Local Authority Ward].&amp;[Upper Wharfedale]&amp;[Craven]" c="Upper Wharfedale" cp="1">
          <x v="11"/>
        </s>
        <s v="[Client Geography].[Local Authority Ward].&amp;[Walcot and Park North]&amp;[Swindon]" c="Walcot and Park North" cp="1">
          <x v="41"/>
        </s>
        <s v="[Client Geography].[Local Authority Ward].&amp;[Wallsend]&amp;[North Tyneside]" c="Wallsend" cp="1">
          <x v="16"/>
        </s>
        <s v="[Client Geography].[Local Authority Ward].&amp;[Wathvale]&amp;[Harrogate]" c="Wathvale" cp="1">
          <x v="13"/>
        </s>
        <s v="[Client Geography].[Local Authority Ward].&amp;[Weaponness]&amp;[Scarborough]" c="Weaponness" cp="1">
          <x v="15"/>
        </s>
        <s v="[Client Geography].[Local Authority Ward].&amp;[West Craven]&amp;[Craven]" c="West Craven" cp="1">
          <x v="11"/>
        </s>
        <s v="[Client Geography].[Local Authority Ward].&amp;[Westfield]&amp;[York]" c="Westfield" cp="1">
          <x v="1"/>
        </s>
        <s v="[Client Geography].[Local Authority Ward].&amp;[Wetherby]&amp;[Leeds]" c="Wetherby" cp="1">
          <x v="2"/>
        </s>
        <s v="[Client Geography].[Local Authority Ward].&amp;[Wheldrake]&amp;[York]" c="Wheldrake" cp="1">
          <x v="1"/>
        </s>
        <s v="[Client Geography].[Local Authority Ward].&amp;[Whitby West Cliff]&amp;[Scarborough]" c="Whitby West Cliff" cp="1">
          <x v="15"/>
        </s>
        <s v="[Client Geography].[Local Authority Ward].&amp;[Willerby and Kirk Ella]&amp;[East Riding of Yorkshire]" c="Willerby and Kirk Ella" cp="1">
          <x v="12"/>
        </s>
        <s v="[Client Geography].[Local Authority Ward].&amp;[Wolds Weighton]&amp;[East Riding of Yorkshire]" c="Wolds Weighton" cp="1">
          <x v="12"/>
        </s>
        <s v="[Client Geography].[Local Authority Ward].&amp;[Woodlands]&amp;[Scarborough]" c="Woodlands" cp="1">
          <x v="15"/>
        </s>
      </sharedItems>
      <mpMap v="12"/>
    </cacheField>
    <cacheField name="[Client Geography].[Local Authority Ward].[Local Authority Ward].[Local Authority]" caption="Local Authority" propertyName="Local Authority" numFmtId="0" hierarchy="13" level="1" memberPropertyField="1">
      <sharedItems count="42">
        <s v="Lincoln"/>
        <s v="York"/>
        <s v="Leeds"/>
        <s v="Wakefield"/>
        <s v="Ryedale"/>
        <s v="Selby"/>
        <s v="Hambleton"/>
        <s v="Manchester"/>
        <s v="Kingston upon Hull, City of"/>
        <s v="Bradford"/>
        <s v="Darlington"/>
        <s v="Craven"/>
        <s v="East Riding of Yorkshire"/>
        <s v="Harrogate"/>
        <s v="Richmondshire"/>
        <s v="Scarborough"/>
        <s v="North Tyneside"/>
        <s v="Rhondda Cynon Taf"/>
        <s v="Pendle"/>
        <s v="Doncaster"/>
        <s v="Cherwell"/>
        <s v="Hastings"/>
        <s v="North East Derbyshire"/>
        <s v="Richmond upon Thames"/>
        <s v="Middlesbrough"/>
        <s v="Oldham"/>
        <s v="Rochdale"/>
        <s v="Stockton-on-Tees"/>
        <s v="Not recorded/not applicable"/>
        <s v="Sheffield"/>
        <s v="County Durham"/>
        <s v="Barnsley"/>
        <s v="Gateshead"/>
        <s v="Cheshire West and Chester"/>
        <s v="Coventry"/>
        <s v="Cornwall"/>
        <s v="Plymouth"/>
        <s v="Swansea"/>
        <s v="Stroud"/>
        <s v="Sutton"/>
        <s v="Bassetlaw"/>
        <s v="Swindon"/>
      </sharedItems>
    </cacheField>
    <cacheField name="[Client Geography].[Local Authority].[Local Authority]" caption="Local Authority" numFmtId="0" hierarchy="12" level="1">
      <sharedItems count="42">
        <s v="[Client Geography].[Local Authority].&amp;[Barnsley]" c="Barnsley"/>
        <s v="[Client Geography].[Local Authority].&amp;[Bassetlaw]" c="Bassetlaw"/>
        <s v="[Client Geography].[Local Authority].&amp;[Bradford]" c="Bradford"/>
        <s v="[Client Geography].[Local Authority].&amp;[Cherwell]" c="Cherwell"/>
        <s v="[Client Geography].[Local Authority].&amp;[Cheshire West and Chester]" c="Cheshire West and Chester"/>
        <s v="[Client Geography].[Local Authority].&amp;[Cornwall]" c="Cornwall"/>
        <s v="[Client Geography].[Local Authority].&amp;[County Durham]" c="County Durham"/>
        <s v="[Client Geography].[Local Authority].&amp;[Coventry]" c="Coventry"/>
        <s v="[Client Geography].[Local Authority].&amp;[Craven]" c="Craven"/>
        <s v="[Client Geography].[Local Authority].&amp;[Darlington]" c="Darlington"/>
        <s v="[Client Geography].[Local Authority].&amp;[Doncaster]" c="Doncaster"/>
        <s v="[Client Geography].[Local Authority].&amp;[East Riding of Yorkshire]" c="East Riding of Yorkshire"/>
        <s v="[Client Geography].[Local Authority].&amp;[Gateshead]" c="Gateshead"/>
        <s v="[Client Geography].[Local Authority].&amp;[Hambleton]" c="Hambleton"/>
        <s v="[Client Geography].[Local Authority].&amp;[Harrogate]" c="Harrogate"/>
        <s v="[Client Geography].[Local Authority].&amp;[Hastings]" c="Hastings"/>
        <s v="[Client Geography].[Local Authority].&amp;[Kingston upon Hull, City of]" c="Kingston upon Hull, City of"/>
        <s v="[Client Geography].[Local Authority].&amp;[Leeds]" c="Leeds"/>
        <s v="[Client Geography].[Local Authority].&amp;[Lincoln]" c="Lincoln"/>
        <s v="[Client Geography].[Local Authority].&amp;[Manchester]" c="Manchester"/>
        <s v="[Client Geography].[Local Authority].&amp;[Middlesbrough]" c="Middlesbrough"/>
        <s v="[Client Geography].[Local Authority].&amp;[North East Derbyshire]" c="North East Derbyshire"/>
        <s v="[Client Geography].[Local Authority].&amp;[North Tyneside]" c="North Tyneside"/>
        <s v="[Client Geography].[Local Authority].&amp;[Not recorded/not applicable]" c="Not recorded/not applicable"/>
        <s v="[Client Geography].[Local Authority].&amp;[Oldham]" c="Oldham"/>
        <s v="[Client Geography].[Local Authority].&amp;[Pendle]" c="Pendle"/>
        <s v="[Client Geography].[Local Authority].&amp;[Plymouth]" c="Plymouth"/>
        <s v="[Client Geography].[Local Authority].&amp;[Rhondda Cynon Taf]" c="Rhondda Cynon Taf"/>
        <s v="[Client Geography].[Local Authority].&amp;[Richmond upon Thames]" c="Richmond upon Thames"/>
        <s v="[Client Geography].[Local Authority].&amp;[Richmondshire]" c="Richmondshire"/>
        <s v="[Client Geography].[Local Authority].&amp;[Rochdale]" c="Rochdale"/>
        <s v="[Client Geography].[Local Authority].&amp;[Ryedale]" c="Ryedale"/>
        <s v="[Client Geography].[Local Authority].&amp;[Scarborough]" c="Scarborough"/>
        <s v="[Client Geography].[Local Authority].&amp;[Selby]" c="Selby"/>
        <s v="[Client Geography].[Local Authority].&amp;[Sheffield]" c="Sheffield"/>
        <s v="[Client Geography].[Local Authority].&amp;[Stockton-on-Tees]" c="Stockton-on-Tees"/>
        <s v="[Client Geography].[Local Authority].&amp;[Stroud]" c="Stroud"/>
        <s v="[Client Geography].[Local Authority].&amp;[Sutton]" c="Sutton"/>
        <s v="[Client Geography].[Local Authority].&amp;[Swansea]" c="Swansea"/>
        <s v="[Client Geography].[Local Authority].&amp;[Swindon]" c="Swindon"/>
        <s v="[Client Geography].[Local Authority].&amp;[Wakefield]" c="Wakefield"/>
        <s v="[Client Geography].[Local Authority].&amp;[York]" c="York"/>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 name="Dummy0" numFmtId="0" hierarchy="114" level="32767">
      <extLst>
        <ext xmlns:x14="http://schemas.microsoft.com/office/spreadsheetml/2009/9/main" uri="{63CAB8AC-B538-458d-9737-405883B0398D}">
          <x14:cacheField ignore="1"/>
        </ext>
      </extLst>
    </cacheField>
  </cacheFields>
  <cacheHierarchies count="115">
    <cacheHierarchy uniqueName="[Advice Event Type].[Advice Event Type]" caption="Advice Event Type" attribute="1" defaultMemberUniqueName="[Advice Event Type].[Advice Event Type].[All]" allUniqueName="[Advice Event Type].[Advice Event Type].[All]" dimensionUniqueName="[Advice Event Type]" displayFolder="" count="2" unbalanced="0">
      <fieldsUsage count="2">
        <fieldUsage x="-1"/>
        <fieldUsage x="2"/>
      </fieldsUsage>
    </cacheHierarchy>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2" unbalanced="0">
      <fieldsUsage count="2">
        <fieldUsage x="-1"/>
        <fieldUsage x="13"/>
      </fieldsUsage>
    </cacheHierarchy>
    <cacheHierarchy uniqueName="[Client Geography].[Local Authority Ward]" caption="Local Authority Ward" attribute="1" defaultMemberUniqueName="[Client Geography].[Local Authority Ward].[All]" allUniqueName="[Client Geography].[Local Authority Ward].[All]" dimensionUniqueName="[Client Geography]" displayFolder="" count="2" unbalanced="0">
      <fieldsUsage count="2">
        <fieldUsage x="-1"/>
        <fieldUsage x="11"/>
      </fieldsUsage>
    </cacheHierarchy>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14"/>
        <fieldUsage x="15"/>
        <fieldUsage x="16"/>
        <fieldUsage x="17"/>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3"/>
        <fieldUsage x="4"/>
        <fieldUsage x="5"/>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9"/>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oneField="1">
      <fieldsUsage count="1">
        <fieldUsage x="0"/>
      </fieldsUsage>
    </cacheHierarchy>
    <cacheHierarchy uniqueName="[Measures].[Unique Client Count]" caption="Unique Client Count" measure="1" displayFolder="" measureGroup="Client" count="0" oneField="1">
      <fieldsUsage count="1">
        <fieldUsage x="1"/>
      </fieldsUsage>
    </cacheHierarchy>
    <cacheHierarchy uniqueName="Dummy0" caption="Advice Event Type" measure="1" count="0">
      <extLst>
        <ext xmlns:x14="http://schemas.microsoft.com/office/spreadsheetml/2009/9/main" uri="{8CF416AD-EC4C-4aba-99F5-12A058AE0983}">
          <x14:cacheHierarchy ignore="1"/>
        </ext>
      </extLst>
    </cacheHierarchy>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OnLoad="1" refreshedBy="John Willoughby" refreshedDate="42835.685495486112" backgroundQuery="1" createdVersion="4" refreshedVersion="4" minRefreshableVersion="3" recordCount="0" supportSubquery="1" supportAdvancedDrill="1">
  <cacheSource type="external" connectionId="1"/>
  <cacheFields count="19">
    <cacheField name="[Local Organisation].[Member].[Member]" caption="Member" numFmtId="0" hierarchy="90" level="1" mappingCount="1">
      <sharedItems count="1">
        <s v="[Local Organisation].[Member].&amp;[York (member)]&amp;[Yorkshire &amp; the Humber]" c="York (member)" cp="1">
          <x/>
        </s>
      </sharedItems>
      <mpMap v="1"/>
    </cacheField>
    <cacheField name="[Local Organisation].[Member].[Member].[Government Region]" caption="Government Region" propertyName="Government Region" numFmtId="0" hierarchy="90" level="1" memberPropertyField="1">
      <sharedItems count="1">
        <s v="Yorkshire &amp; the Humber"/>
      </sharedItems>
    </cacheField>
    <cacheField name="[Local Organisation].[Bureau].[Bureau]" caption="Bureau" numFmtId="0" hierarchy="87" level="1" mappingCount="1">
      <sharedItems count="1">
        <s v="[Local Organisation].[Bureau].&amp;[York &amp; District Citizens Advice Bureau]&amp;[York (member)]&amp;[Yorkshire &amp; the Humber]" c="York &amp; District Citizens Advice Bureau" cp="1">
          <x/>
        </s>
      </sharedItems>
      <mpMap v="3"/>
    </cacheField>
    <cacheField name="[Local Organisation].[Bureau].[Bureau].[Member]" caption="Member" propertyName="Member" numFmtId="0" hierarchy="87" level="1" memberPropertyField="1">
      <sharedItems count="1">
        <s v="York (member)"/>
      </sharedItems>
    </cacheField>
    <cacheField name="[Local Organisation].[Outreach].[Outreach]" caption="Outreach" numFmtId="0" hierarchy="91" level="1">
      <sharedItems count="1">
        <s v="[Local Organisation].[Outreach].&amp;[Citizens Advice Bureau]&amp;[Not recorded/not applicable]&amp;[Citizens Advice Member]&amp;[Not recorded/not applicable]" c="Not recorded/not applicable"/>
      </sharedItems>
    </cacheField>
    <cacheField name="[Local Organisation].[Outreach].[Outreach].[Bureau]" caption="Bureau" propertyName="Bureau" numFmtId="0" hierarchy="91" level="1" memberPropertyField="1">
      <sharedItems containsSemiMixedTypes="0" containsString="0"/>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s>
  <cacheHierarchies count="114">
    <cacheHierarchy uniqueName="[Advice Event Type].[Advice Event Type]" caption="Advice Event Type" attribute="1" defaultMemberUniqueName="[Advice Event Type].[Advice Event Type].[All]" allUniqueName="[Advice Event Type].[Advice Event Type].[All]" dimensionUniqueName="[Advice Event Typ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2" unbalanced="0">
      <fieldsUsage count="2">
        <fieldUsage x="-1"/>
        <fieldUsage x="2"/>
      </fieldsUsage>
    </cacheHierarchy>
    <cacheHierarchy uniqueName="[Local Organisation].[CAB]" caption="CAB" defaultMemberUniqueName="[Local Organisation].[CAB].[All]" allUniqueName="[Local Organisation].[CAB].[All]" dimensionUniqueName="[Local Organisation]" displayFolder="" count="5" unbalanced="0">
      <fieldsUsage count="5">
        <fieldUsage x="-1"/>
        <fieldUsage x="12"/>
        <fieldUsage x="13"/>
        <fieldUsage x="14"/>
        <fieldUsage x="15"/>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2" unbalanced="0">
      <fieldsUsage count="2">
        <fieldUsage x="-1"/>
        <fieldUsage x="0"/>
      </fieldsUsage>
    </cacheHierarchy>
    <cacheHierarchy uniqueName="[Local Organisation].[Outreach]" caption="Outreach" attribute="1" defaultMemberUniqueName="[Local Organisation].[Outreach].[All]" allUniqueName="[Local Organisation].[Outreach].[All]" dimensionUniqueName="[Local Organisation]" displayFolder="" count="2" unbalanced="0">
      <fieldsUsage count="2">
        <fieldUsage x="-1"/>
        <fieldUsage x="4"/>
      </fieldsUsage>
    </cacheHierarchy>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6"/>
        <fieldUsage x="7"/>
        <fieldUsage x="8"/>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OnLoad="1" refreshedBy="John Willoughby" refreshedDate="42835.685496527774" backgroundQuery="1" createdVersion="4" refreshedVersion="4" minRefreshableVersion="3" recordCount="0" supportSubquery="1" supportAdvancedDrill="1">
  <cacheSource type="external" connectionId="1"/>
  <cacheFields count="15">
    <cacheField name="[National Funder].[Funder].[Funder]" caption="Funder" numFmtId="0" hierarchy="97" level="1" mappingCount="1">
      <sharedItems count="7">
        <s v="[National Funder].[Funder].&amp;[CORE]" c="CORE" cp="1">
          <x/>
        </s>
        <s v="[National Funder].[Funder].&amp;[Energy Best Deal Extra]" c="Energy Best Deal Extra" cp="1">
          <x/>
        </s>
        <s v="[National Funder].[Funder].&amp;[Local]" c="Local" cp="1">
          <x/>
        </s>
        <s v="[National Funder].[Funder].&amp;[MAS DAP - North East]" c="MAS DAP - North East" cp="1">
          <x/>
        </s>
        <s v="[National Funder].[Funder].&amp;[MAS DAP - Yorks &amp; Humber]" c="MAS DAP - Yorks &amp; Humber" cp="1">
          <x/>
        </s>
        <s v="[National Funder].[Funder].&amp;[Not recorded/not applicable]" c="Not recorded/not applicable" cp="1">
          <x v="1"/>
        </s>
        <s v="[National Funder].[Funder].&amp;[Pension Wise]" c="Pension Wise" cp="1">
          <x/>
        </s>
      </sharedItems>
      <mpMap v="1"/>
    </cacheField>
    <cacheField name="[National Funder].[Funder].[Funder].[Funder Type]" caption="Funder Type" propertyName="Funder Type" numFmtId="0" hierarchy="97" level="1" memberPropertyField="1">
      <sharedItems count="2">
        <s v="National"/>
        <s v="Not recorded/not applicable"/>
      </sharedItems>
    </cacheField>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s>
  <cacheHierarchies count="114">
    <cacheHierarchy uniqueName="[Advice Event Type].[Advice Event Type]" caption="Advice Event Type" attribute="1" defaultMemberUniqueName="[Advice Event Type].[Advice Event Type].[All]" allUniqueName="[Advice Event Type].[Advice Event Type].[All]" dimensionUniqueName="[Advice Event Typ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8"/>
        <fieldUsage x="9"/>
        <fieldUsage x="10"/>
        <fieldUsage x="11"/>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2"/>
        <fieldUsage x="3"/>
        <fieldUsage x="4"/>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0"/>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OnLoad="1" refreshedBy="John Willoughby" refreshedDate="42835.685497685183" backgroundQuery="1" createdVersion="4" refreshedVersion="4" minRefreshableVersion="3" recordCount="0" supportSubquery="1" supportAdvancedDrill="1">
  <cacheSource type="external" connectionId="1"/>
  <cacheFields count="13">
    <cacheField name="[Monthly Calendar].[Financial].[Year]" caption="Year" numFmtId="0" hierarchy="92" level="1">
      <sharedItems count="1">
        <s v="[Monthly Calendar].[Financial].[Year].&amp;[2016-17]" c="2016-17"/>
      </sharedItems>
    </cacheField>
    <cacheField name="[Monthly Calendar].[Financial].[Quarter]" caption="Quarter" numFmtId="0" hierarchy="92" level="2" mappingCount="1">
      <sharedItems count="4">
        <s v="[Monthly Calendar].[Financial].[Quarter].&amp;[Q1]&amp;[2016-17]" c="Q1" cp="1">
          <x/>
        </s>
        <s v="[Monthly Calendar].[Financial].[Quarter].&amp;[Q2]&amp;[2016-17]" c="Q2" cp="1">
          <x/>
        </s>
        <s v="[Monthly Calendar].[Financial].[Quarter].&amp;[Q3]&amp;[2016-17]" c="Q3" cp="1">
          <x/>
        </s>
        <s v="[Monthly Calendar].[Financial].[Quarter].&amp;[Q4]&amp;[2016-17]" c="Q4" cp="1">
          <x/>
        </s>
      </sharedItems>
      <mpMap v="3"/>
    </cacheField>
    <cacheField name="[Monthly Calendar].[Financial].[Month Name]" caption="Month Name" numFmtId="0" hierarchy="92" level="3" mappingCount="2">
      <sharedItems count="12">
        <s v="[Monthly Calendar].[Financial].[Month Name].&amp;[April]&amp;[2016-17]" c="April" cp="2">
          <x/>
          <x/>
        </s>
        <s v="[Monthly Calendar].[Financial].[Month Name].&amp;[May]&amp;[2016-17]" c="May" cp="2">
          <x v="1"/>
          <x/>
        </s>
        <s v="[Monthly Calendar].[Financial].[Month Name].&amp;[June]&amp;[2016-17]" c="June" cp="2">
          <x v="2"/>
          <x/>
        </s>
        <s v="[Monthly Calendar].[Financial].[Month Name].&amp;[July]&amp;[2016-17]" c="July" cp="2">
          <x v="3"/>
          <x v="1"/>
        </s>
        <s v="[Monthly Calendar].[Financial].[Month Name].&amp;[August]&amp;[2016-17]" c="August" cp="2">
          <x v="4"/>
          <x v="1"/>
        </s>
        <s v="[Monthly Calendar].[Financial].[Month Name].&amp;[September]&amp;[2016-17]" c="September" cp="2">
          <x v="5"/>
          <x v="1"/>
        </s>
        <s v="[Monthly Calendar].[Financial].[Month Name].&amp;[October]&amp;[2016-17]" c="October" cp="2">
          <x v="6"/>
          <x v="2"/>
        </s>
        <s v="[Monthly Calendar].[Financial].[Month Name].&amp;[November]&amp;[2016-17]" c="November" cp="2">
          <x v="7"/>
          <x v="2"/>
        </s>
        <s v="[Monthly Calendar].[Financial].[Month Name].&amp;[December]&amp;[2016-17]" c="December" cp="2">
          <x v="8"/>
          <x v="2"/>
        </s>
        <s v="[Monthly Calendar].[Financial].[Month Name].&amp;[January]&amp;[2016-17]" c="January" cp="2">
          <x v="9"/>
          <x v="3"/>
        </s>
        <s v="[Monthly Calendar].[Financial].[Month Name].&amp;[February]&amp;[2016-17]" c="February" cp="2">
          <x v="10"/>
          <x v="3"/>
        </s>
        <s v="[Monthly Calendar].[Financial].[Month Name].&amp;[March]&amp;[2016-17]" c="March" cp="2">
          <x v="11"/>
          <x v="3"/>
        </s>
      </sharedItems>
      <mpMap v="4"/>
      <mpMap v="5"/>
    </cacheField>
    <cacheField name="[Monthly Calendar].[Financial].[Quarter].[Year]" caption="Year" propertyName="Year" numFmtId="0" hierarchy="92" level="2" memberPropertyField="1">
      <sharedItems count="1">
        <s v="2016-17"/>
      </sharedItems>
    </cacheField>
    <cacheField name="[Monthly Calendar].[Financial].[Month Name].[Month Number]" caption="Month Number" propertyName="Month Number" numFmtId="0" hierarchy="92" level="3" memberPropertyField="1">
      <sharedItems containsSemiMixedTypes="0" containsString="0" containsNumber="1" containsInteger="1" minValue="1" maxValue="12" count="12">
        <n v="4"/>
        <n v="5"/>
        <n v="6"/>
        <n v="7"/>
        <n v="8"/>
        <n v="9"/>
        <n v="10"/>
        <n v="11"/>
        <n v="12"/>
        <n v="1"/>
        <n v="2"/>
        <n v="3"/>
      </sharedItems>
    </cacheField>
    <cacheField name="[Monthly Calendar].[Financial].[Month Name].[Quarter]" caption="Quarter" propertyName="Quarter" numFmtId="0" hierarchy="92" level="3" memberPropertyField="1">
      <sharedItems count="4">
        <s v="Q1"/>
        <s v="Q2"/>
        <s v="Q3"/>
        <s v="Q4"/>
      </sharedItems>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s>
  <cacheHierarchies count="114">
    <cacheHierarchy uniqueName="[Advice Event Type].[Advice Event Type]" caption="Advice Event Type" attribute="1" defaultMemberUniqueName="[Advice Event Type].[Advice Event Type].[All]" allUniqueName="[Advice Event Type].[Advice Event Type].[All]" dimensionUniqueName="[Advice Event Typ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6"/>
        <fieldUsage x="7"/>
        <fieldUsage x="8"/>
        <fieldUsage x="9"/>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0"/>
        <fieldUsage x="1"/>
        <fieldUsage x="2"/>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OnLoad="1" refreshedBy="John Willoughby" refreshedDate="42835.685497800929" backgroundQuery="1" createdVersion="4" refreshedVersion="4" minRefreshableVersion="3" recordCount="0" supportSubquery="1" supportAdvancedDrill="1">
  <cacheSource type="external" connectionId="1"/>
  <cacheFields count="15">
    <cacheField name="[Monthly Calendar].[Financial].[Year]" caption="Year" numFmtId="0" hierarchy="92" level="1">
      <sharedItems containsSemiMixedTypes="0" containsString="0"/>
    </cacheField>
    <cacheField name="[Monthly Calendar].[Financial].[Quarter]" caption="Quarter" numFmtId="0" hierarchy="92" level="2">
      <sharedItems containsSemiMixedTypes="0" containsString="0"/>
    </cacheField>
    <cacheField name="[Monthly Calendar].[Financial].[Month Name]" caption="Month Name" numFmtId="0" hierarchy="92" level="3">
      <sharedItems containsSemiMixedTypes="0" containsString="0"/>
    </cacheField>
    <cacheField name="[Monthly Calendar].[Financial].[Quarter].[Year]" caption="Year" propertyName="Year" numFmtId="0" hierarchy="92" level="2" memberPropertyField="1">
      <sharedItems containsSemiMixedTypes="0" containsString="0"/>
    </cacheField>
    <cacheField name="[Monthly Calendar].[Financial].[Month Name].[Month Number]" caption="Month Number" propertyName="Month Number" numFmtId="0" hierarchy="92" level="3" memberPropertyField="1">
      <sharedItems containsSemiMixedTypes="0" containsString="0"/>
    </cacheField>
    <cacheField name="[Monthly Calendar].[Financial].[Month Name].[Quarter]" caption="Quarter" propertyName="Quarter" numFmtId="0" hierarchy="92" level="3" memberPropertyField="1">
      <sharedItems containsSemiMixedTypes="0" containsString="0"/>
    </cacheField>
    <cacheField name="[National Funder].[Funder].[Funder]" caption="Funder" numFmtId="0" hierarchy="97" level="1">
      <sharedItems containsSemiMixedTypes="0" containsString="0"/>
    </cacheField>
    <cacheField name="[National Funder].[Funder].[Funder].[Funder Type]" caption="Funder Type" propertyName="Funder Type" numFmtId="0" hierarchy="97" level="1" memberPropertyField="1">
      <sharedItems containsSemiMixedTypes="0" containsString="0"/>
    </cacheField>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s>
  <cacheHierarchies count="114">
    <cacheHierarchy uniqueName="[Advice Event Type].[Advice Event Type]" caption="Advice Event Type" attribute="1" defaultMemberUniqueName="[Advice Event Type].[Advice Event Type].[All]" allUniqueName="[Advice Event Type].[Advice Event Type].[All]" dimensionUniqueName="[Advice Event Typ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8"/>
        <fieldUsage x="9"/>
        <fieldUsage x="10"/>
        <fieldUsage x="11"/>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fieldsUsage count="4">
        <fieldUsage x="-1"/>
        <fieldUsage x="0"/>
        <fieldUsage x="1"/>
        <fieldUsage x="2"/>
      </fieldsUsage>
    </cacheHierarchy>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fieldsUsage count="2">
        <fieldUsage x="-1"/>
        <fieldUsage x="6"/>
      </fieldsUsage>
    </cacheHierarchy>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OnLoad="1" refreshedBy="John Willoughby" refreshedDate="42835.68382002315" backgroundQuery="1"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cabcrmsqlrs1 CABReportingCubes Local Advice Event"/>
      </ext>
    </extLst>
  </cacheSource>
  <cacheFields count="0"/>
  <cacheHierarchies count="114">
    <cacheHierarchy uniqueName="[Advice Event Type].[Advice Event Type]" caption="Advice Event Type" attribute="1" defaultMemberUniqueName="[Advice Event Type].[Advice Event Type].[All]" allUniqueName="[Advice Event Type].[Advice Event Type].[All]" dimensionUniqueName="[Advice Event Typ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4" unbalanced="0"/>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2"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cacheHierarchies>
  <kpis count="0"/>
  <extLst>
    <ext xmlns:x14="http://schemas.microsoft.com/office/spreadsheetml/2009/9/main" uri="{725AE2AE-9491-48be-B2B4-4EB974FC3084}">
      <x14:pivotCacheDefinition slicerData="1" pivotCacheId="55"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OnLoad="1" refreshedBy="John Willoughby" refreshedDate="42835.684499884257" backgroundQuery="1" createdVersion="3" refreshedVersion="4" minRefreshableVersion="3" recordCount="0" supportSubquery="1" supportAdvancedDrill="1">
  <cacheSource type="external" connectionId="3">
    <extLst>
      <ext xmlns:x14="http://schemas.microsoft.com/office/spreadsheetml/2009/9/main" uri="{F057638F-6D5F-4e77-A914-E7F072B9BCA8}">
        <x14:sourceConnection name="cabcrmsqlrs1 CABReportingCubes Local Financial Snapshot"/>
      </ext>
    </extLst>
  </cacheSource>
  <cacheFields count="0"/>
  <cacheHierarchies count="130">
    <cacheHierarchy uniqueName="[AIC Outcome].[Advice Area]" caption="Advice Area" attribute="1" defaultMemberUniqueName="[AIC Outcome].[Advice Area].[All]" allUniqueName="[AIC Outcome].[Advice Area].[All]" dimensionUniqueName="[AIC Outcom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AIC Outcome].[Confirmation]" caption="Confirmation" attribute="1" defaultMemberUniqueName="[AIC Outcome].[Confirmation].[All]" allUniqueName="[AIC Outcome].[Confirmation].[All]" dimensionUniqueName="[AIC Outcome]" displayFolder="" count="0" unbalanced="0"/>
    <cacheHierarchy uniqueName="[AIC Outcome].[Financial Flag]" caption="Financial Flag" attribute="1" defaultMemberUniqueName="[AIC Outcome].[Financial Flag].[All]" allUniqueName="[AIC Outcome].[Financial Flag].[All]" dimensionUniqueName="[AIC Outcome]" displayFolder="" count="0" unbalanced="0"/>
    <cacheHierarchy uniqueName="[AIC Outcome].[Financial Outcome Category]" caption="Financial Outcome Category" attribute="1" defaultMemberUniqueName="[AIC Outcome].[Financial Outcome Category].[All]" allUniqueName="[AIC Outcome].[Financial Outcome Category].[All]" dimensionUniqueName="[AIC Outcome]" displayFolder="" count="0" unbalanced="0"/>
    <cacheHierarchy uniqueName="[AIC Outcome].[Frequency Of Amount]" caption="Frequency Of Amount" attribute="1" defaultMemberUniqueName="[AIC Outcome].[Frequency Of Amount].[All]" allUniqueName="[AIC Outcome].[Frequency Of Amount].[All]" dimensionUniqueName="[AIC Outcome]" displayFolder="" count="0" unbalanced="0"/>
    <cacheHierarchy uniqueName="[AIC Outcome].[Further Details]" caption="Further Details" attribute="1" defaultMemberUniqueName="[AIC Outcome].[Further Details].[All]" allUniqueName="[AIC Outcome].[Further Details].[All]" dimensionUniqueName="[AIC Outcome]" displayFolder="" count="0" unbalanced="0"/>
    <cacheHierarchy uniqueName="[AIC Outcome].[How Outcome Was Achieved]" caption="How Outcome Was Achieved" attribute="1" defaultMemberUniqueName="[AIC Outcome].[How Outcome Was Achieved].[All]" allUniqueName="[AIC Outcome].[How Outcome Was Achieved].[All]" dimensionUniqueName="[AIC Outcome]" displayFolder="" count="0" unbalanced="0"/>
    <cacheHierarchy uniqueName="[AIC Outcome].[Issue]" caption="Issue" attribute="1" defaultMemberUniqueName="[AIC Outcome].[Issue].[All]" allUniqueName="[AIC Outcome].[Issue].[All]" dimensionUniqueName="[AIC Outcome]" displayFolder="" count="0" unbalanced="0"/>
    <cacheHierarchy uniqueName="[AIC Outcome].[Outcome]" caption="Outcome" attribute="1" defaultMemberUniqueName="[AIC Outcome].[Outcome].[All]" allUniqueName="[AIC Outcome].[Outcome].[All]" dimensionUniqueName="[AIC Outcome]" displayFolder="" count="0" unbalanced="0"/>
    <cacheHierarchy uniqueName="[AIC Outcome].[Outcome Ready]" caption="Outcome Ready" attribute="1" defaultMemberUniqueName="[AIC Outcome].[Outcome Ready].[All]" allUniqueName="[AIC Outcome].[Outcome Ready].[All]" dimensionUniqueName="[AIC Outcome]" displayFolder="" count="0" unbalanced="0"/>
    <cacheHierarchy uniqueName="[AIC Outcome].[Type Of Outcome]" caption="Type Of Outcome" attribute="1" defaultMemberUniqueName="[AIC Outcome].[Type Of Outcome].[All]" allUniqueName="[AIC Outcome].[Type Of Outcome].[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0" unbalanced="0"/>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 Enquiry Created].[Financial]" caption="Monthly Calendar Enquiry Created.Financial" time="1" defaultMemberUniqueName="[Monthly Calendar Enquiry Created].[Financial].[All]" allUniqueName="[Monthly Calendar Enquiry Created].[Financial].[All]" dimensionUniqueName="[Monthly Calendar Enquiry Created]" displayFolder="" count="4" unbalanced="0"/>
    <cacheHierarchy uniqueName="[Monthly Calendar Enquiry Created].[Month Name]" caption="Monthly Calendar Enquiry Created.Month Name" attribute="1" time="1" defaultMemberUniqueName="[Monthly Calendar Enquiry Created].[Month Name].[All]" allUniqueName="[Monthly Calendar Enquiry Created].[Month Name].[All]" dimensionUniqueName="[Monthly Calendar Enquiry Created]" displayFolder="" count="0" unbalanced="0"/>
    <cacheHierarchy uniqueName="[Monthly Calendar Enquiry Created].[Month Number]" caption="Monthly Calendar Enquiry Created.Month Number" attribute="1" time="1" defaultMemberUniqueName="[Monthly Calendar Enquiry Created].[Month Number].[All]" allUniqueName="[Monthly Calendar Enquiry Created].[Month Number].[All]" dimensionUniqueName="[Monthly Calendar Enquiry Created]" displayFolder="" count="0" unbalanced="0"/>
    <cacheHierarchy uniqueName="[Monthly Calendar Enquiry Created].[Quarter]" caption="Monthly Calendar Enquiry Created.Quarter" attribute="1" time="1" defaultMemberUniqueName="[Monthly Calendar Enquiry Created].[Quarter].[All]" allUniqueName="[Monthly Calendar Enquiry Created].[Quarter].[All]" dimensionUniqueName="[Monthly Calendar Enquiry Created]" displayFolder="" count="0" unbalanced="0"/>
    <cacheHierarchy uniqueName="[Monthly Calendar Enquiry Created].[Year]" caption="Monthly Calendar Enquiry Created.Year" attribute="1" time="1" defaultMemberUniqueName="[Monthly Calendar Enquiry Created].[Year].[All]" allUniqueName="[Monthly Calendar Enquiry Created].[Year].[All]" dimensionUniqueName="[Monthly Calendar Enquiry Created]" displayFolder="" count="0" unbalanced="0"/>
    <cacheHierarchy uniqueName="[Monthly Calendar Outcome Date].[Financial]" caption="Monthly Calendar Outcome Date.Financial" time="1" defaultMemberUniqueName="[Monthly Calendar Outcome Date].[Financial].[All]" allUniqueName="[Monthly Calendar Outcome Date].[Financial].[All]" dimensionUniqueName="[Monthly Calendar Outcome Date]" displayFolder="" count="4" unbalanced="0"/>
    <cacheHierarchy uniqueName="[Monthly Calendar Outcome Date].[Month Name]" caption="Monthly Calendar Outcome Date.Month Name" attribute="1" time="1" defaultMemberUniqueName="[Monthly Calendar Outcome Date].[Month Name].[All]" allUniqueName="[Monthly Calendar Outcome Date].[Month Name].[All]" dimensionUniqueName="[Monthly Calendar Outcome Date]" displayFolder="" count="0" unbalanced="0"/>
    <cacheHierarchy uniqueName="[Monthly Calendar Outcome Date].[Month Number]" caption="Monthly Calendar Outcome Date.Month Number" attribute="1" time="1" defaultMemberUniqueName="[Monthly Calendar Outcome Date].[Month Number].[All]" allUniqueName="[Monthly Calendar Outcome Date].[Month Number].[All]" dimensionUniqueName="[Monthly Calendar Outcome Date]" displayFolder="" count="0" unbalanced="0"/>
    <cacheHierarchy uniqueName="[Monthly Calendar Outcome Date].[Quarter]" caption="Monthly Calendar Outcome Date.Quarter" attribute="1" time="1" defaultMemberUniqueName="[Monthly Calendar Outcome Date].[Quarter].[All]" allUniqueName="[Monthly Calendar Outcome Date].[Quarter].[All]" dimensionUniqueName="[Monthly Calendar Outcome Date]" displayFolder="" count="0" unbalanced="0"/>
    <cacheHierarchy uniqueName="[Monthly Calendar Outcome Date].[Year]" caption="Monthly Calendar Outcome Date.Year" attribute="1" time="1" defaultMemberUniqueName="[Monthly Calendar Outcome Date].[Year].[All]" allUniqueName="[Monthly Calendar Outcome Date].[Year].[All]" dimensionUniqueName="[Monthly Calendar Outcome Date]" displayFolder="" count="0" unbalanced="0"/>
    <cacheHierarchy uniqueName="[National Funder].[Funder]" caption="Funder" attribute="1" defaultMemberUniqueName="[National Funder].[Funder].[All]" allUniqueName="[National Funder].[Funder].[All]" dimensionUniqueName="[National Funder]" displayFolder="" count="0"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 Enquiry Created].[Date ID]" caption="Monthly Calendar Enquiry Created.Date ID" attribute="1" time="1" keyAttribute="1" defaultMemberUniqueName="[Monthly Calendar Enquiry Created].[Date ID].[All]" allUniqueName="[Monthly Calendar Enquiry Created].[Date ID].[All]" dimensionUniqueName="[Monthly Calendar Enquiry Created]" displayFolder="" count="0" unbalanced="0" hidden="1"/>
    <cacheHierarchy uniqueName="[Monthly Calendar Outcome Date].[Date ID]" caption="Monthly Calendar Outcome Date.Date ID" attribute="1" time="1" keyAttribute="1" defaultMemberUniqueName="[Monthly Calendar Outcome Date].[Date ID].[All]" allUniqueName="[Monthly Calendar Outcome Date].[Date ID].[All]" dimensionUniqueName="[Monthly Calendar Outcome Date]"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Annualised Value]" caption="Annualised Value" measure="1" displayFolder="" measureGroup="Advice" count="0"/>
    <cacheHierarchy uniqueName="[Measures].[Number of Outcomes]" caption="Number of Outcomes" measure="1" displayFolder="" measureGroup="Advice" count="0"/>
    <cacheHierarchy uniqueName="[Measures].[Unique Client Count]" caption="Unique Client Count" measure="1" displayFolder="" measureGroup="Client" count="0"/>
  </cacheHierarchies>
  <kpis count="0"/>
  <extLst>
    <ext xmlns:x14="http://schemas.microsoft.com/office/spreadsheetml/2009/9/main" uri="{725AE2AE-9491-48be-B2B4-4EB974FC3084}">
      <x14:pivotCacheDefinition slicerData="1" pivotCacheId="56"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OnLoad="1" refreshedBy="John Willoughby" refreshedDate="42835.684480902775" backgroundQuery="1" createdVersion="4" refreshedVersion="4" minRefreshableVersion="3" recordCount="0" supportSubquery="1" supportAdvancedDrill="1">
  <cacheSource type="external" connectionId="1"/>
  <cacheFields count="7">
    <cacheField name="[Local Organisation].[CAB].[Government Region]" caption="Government Region" numFmtId="0" hierarchy="88" level="1">
      <sharedItems containsSemiMixedTypes="0" containsString="0"/>
    </cacheField>
    <cacheField name="[Local Organisation].[CAB].[Member]" caption="Member" numFmtId="0" hierarchy="88" level="2">
      <sharedItems containsSemiMixedTypes="0" containsString="0"/>
    </cacheField>
    <cacheField name="[Local Organisation].[CAB].[Bureau]" caption="Bureau" numFmtId="0" hierarchy="88" level="3">
      <sharedItems containsSemiMixedTypes="0" containsString="0"/>
    </cacheField>
    <cacheField name="[Local Organisation].[CAB].[Outreach]" caption="Outreach" numFmtId="0" hierarchy="88" level="4">
      <sharedItems containsSemiMixedTypes="0" containsString="0"/>
    </cacheField>
    <cacheField name="[Local Organisation].[CAB].[Member].[Government Region]" caption="Government Region" propertyName="Government Region" numFmtId="0" hierarchy="88" level="2" memberPropertyField="1">
      <sharedItems containsSemiMixedTypes="0" containsString="0"/>
    </cacheField>
    <cacheField name="[Local Organisation].[CAB].[Bureau].[Member]" caption="Member" propertyName="Member" numFmtId="0" hierarchy="88" level="3" memberPropertyField="1">
      <sharedItems containsSemiMixedTypes="0" containsString="0"/>
    </cacheField>
    <cacheField name="[Local Organisation].[CAB].[Outreach].[Bureau]" caption="Bureau" propertyName="Bureau" numFmtId="0" hierarchy="88" level="4" memberPropertyField="1">
      <sharedItems containsSemiMixedTypes="0" containsString="0"/>
    </cacheField>
  </cacheFields>
  <cacheHierarchies count="114">
    <cacheHierarchy uniqueName="[Advice Event Type].[Advice Event Type]" caption="Advice Event Type" attribute="1" defaultMemberUniqueName="[Advice Event Type].[Advice Event Type].[All]" allUniqueName="[Advice Event Type].[Advice Event Type].[All]" dimensionUniqueName="[Advice Event Typ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5" unbalanced="0">
      <fieldsUsage count="5">
        <fieldUsage x="-1"/>
        <fieldUsage x="0"/>
        <fieldUsage x="1"/>
        <fieldUsage x="2"/>
        <fieldUsage x="3"/>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0" unbalanced="0"/>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0"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dvice Event Type].[Advice Event Type ID]" caption="Advice Event Type ID" attribute="1" keyAttribute="1" defaultMemberUniqueName="[Advice Event Type].[Advice Event Type ID].[All]" allUniqueName="[Advice Event Type].[Advice Event Type ID].[All]" dimensionUniqueName="[Advice Event Type]" displayFolder="" count="0" unbalanced="0" hidden="1"/>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dvice Events]" caption="Number of Advice Events" measure="1" displayFolder="" measureGroup="Advice" count="0"/>
    <cacheHierarchy uniqueName="[Measures].[Unique Client Count]" caption="Unique Client Count" measure="1" displayFolder="" measureGroup="Client" count="0"/>
  </cacheHierarchies>
  <kpis count="0"/>
  <dimensions count="12">
    <dimension name="Advice Event Type" uniqueName="[Advice Event Type]" caption="Advice Event Type"/>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OnLoad="1" refreshedBy="John Willoughby" refreshedDate="42835.684545023149" backgroundQuery="1" createdVersion="4" refreshedVersion="4" minRefreshableVersion="3" recordCount="0" supportSubquery="1" supportAdvancedDrill="1">
  <cacheSource type="external" connectionId="3"/>
  <cacheFields count="12">
    <cacheField name="[Monthly Calendar Outcome Date].[Financial].[Year]" caption="Year" numFmtId="0" hierarchy="107" level="1">
      <sharedItems containsSemiMixedTypes="0" containsString="0"/>
    </cacheField>
    <cacheField name="[Monthly Calendar Outcome Date].[Financial].[Quarter]" caption="Quarter" numFmtId="0" hierarchy="107" level="2">
      <sharedItems containsSemiMixedTypes="0" containsString="0"/>
    </cacheField>
    <cacheField name="[Monthly Calendar Outcome Date].[Financial].[Month Name]" caption="Month Name" numFmtId="0" hierarchy="107" level="3">
      <sharedItems containsSemiMixedTypes="0" containsString="0"/>
    </cacheField>
    <cacheField name="[Monthly Calendar Outcome Date].[Financial].[Quarter].[Year]" caption="Year" propertyName="Year" numFmtId="0" hierarchy="107" level="2" memberPropertyField="1">
      <sharedItems containsSemiMixedTypes="0" containsString="0"/>
    </cacheField>
    <cacheField name="[Monthly Calendar Outcome Date].[Financial].[Month Name].[Month Number]" caption="Month Number" propertyName="Month Number" numFmtId="0" hierarchy="107" level="3" memberPropertyField="1">
      <sharedItems containsSemiMixedTypes="0" containsString="0"/>
    </cacheField>
    <cacheField name="[Monthly Calendar Outcome Date].[Financial].[Month Name].[Quarter]" caption="Quarter" propertyName="Quarter" numFmtId="0" hierarchy="107" level="3" memberPropertyField="1">
      <sharedItems containsSemiMixedTypes="0" containsString="0"/>
    </cacheField>
    <cacheField name="[Monthly Calendar Enquiry Created].[Financial].[Year]" caption="Year" numFmtId="0" hierarchy="102" level="1">
      <sharedItems containsSemiMixedTypes="0" containsString="0"/>
    </cacheField>
    <cacheField name="[Monthly Calendar Enquiry Created].[Financial].[Quarter]" caption="Quarter" numFmtId="0" hierarchy="102" level="2">
      <sharedItems containsSemiMixedTypes="0" containsString="0"/>
    </cacheField>
    <cacheField name="[Monthly Calendar Enquiry Created].[Financial].[Month Name]" caption="Month Name" numFmtId="0" hierarchy="102" level="3">
      <sharedItems containsSemiMixedTypes="0" containsString="0"/>
    </cacheField>
    <cacheField name="[Monthly Calendar Enquiry Created].[Financial].[Quarter].[Year]" caption="Year" propertyName="Year" numFmtId="0" hierarchy="102" level="2" memberPropertyField="1">
      <sharedItems containsSemiMixedTypes="0" containsString="0"/>
    </cacheField>
    <cacheField name="[Monthly Calendar Enquiry Created].[Financial].[Month Name].[Month Number]" caption="Month Number" propertyName="Month Number" numFmtId="0" hierarchy="102" level="3" memberPropertyField="1">
      <sharedItems containsSemiMixedTypes="0" containsString="0"/>
    </cacheField>
    <cacheField name="[Monthly Calendar Enquiry Created].[Financial].[Month Name].[Quarter]" caption="Quarter" propertyName="Quarter" numFmtId="0" hierarchy="102" level="3" memberPropertyField="1">
      <sharedItems containsSemiMixedTypes="0" containsString="0"/>
    </cacheField>
  </cacheFields>
  <cacheHierarchies count="130">
    <cacheHierarchy uniqueName="[AIC Outcome].[Advice Area]" caption="Advice Area" attribute="1" defaultMemberUniqueName="[AIC Outcome].[Advice Area].[All]" allUniqueName="[AIC Outcome].[Advice Area].[All]" dimensionUniqueName="[AIC Outcom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AIC Outcome].[Confirmation]" caption="Confirmation" attribute="1" defaultMemberUniqueName="[AIC Outcome].[Confirmation].[All]" allUniqueName="[AIC Outcome].[Confirmation].[All]" dimensionUniqueName="[AIC Outcome]" displayFolder="" count="0" unbalanced="0"/>
    <cacheHierarchy uniqueName="[AIC Outcome].[Financial Flag]" caption="Financial Flag" attribute="1" defaultMemberUniqueName="[AIC Outcome].[Financial Flag].[All]" allUniqueName="[AIC Outcome].[Financial Flag].[All]" dimensionUniqueName="[AIC Outcome]" displayFolder="" count="0" unbalanced="0"/>
    <cacheHierarchy uniqueName="[AIC Outcome].[Financial Outcome Category]" caption="Financial Outcome Category" attribute="1" defaultMemberUniqueName="[AIC Outcome].[Financial Outcome Category].[All]" allUniqueName="[AIC Outcome].[Financial Outcome Category].[All]" dimensionUniqueName="[AIC Outcome]" displayFolder="" count="0" unbalanced="0"/>
    <cacheHierarchy uniqueName="[AIC Outcome].[Frequency Of Amount]" caption="Frequency Of Amount" attribute="1" defaultMemberUniqueName="[AIC Outcome].[Frequency Of Amount].[All]" allUniqueName="[AIC Outcome].[Frequency Of Amount].[All]" dimensionUniqueName="[AIC Outcome]" displayFolder="" count="0" unbalanced="0"/>
    <cacheHierarchy uniqueName="[AIC Outcome].[Further Details]" caption="Further Details" attribute="1" defaultMemberUniqueName="[AIC Outcome].[Further Details].[All]" allUniqueName="[AIC Outcome].[Further Details].[All]" dimensionUniqueName="[AIC Outcome]" displayFolder="" count="0" unbalanced="0"/>
    <cacheHierarchy uniqueName="[AIC Outcome].[How Outcome Was Achieved]" caption="How Outcome Was Achieved" attribute="1" defaultMemberUniqueName="[AIC Outcome].[How Outcome Was Achieved].[All]" allUniqueName="[AIC Outcome].[How Outcome Was Achieved].[All]" dimensionUniqueName="[AIC Outcome]" displayFolder="" count="0" unbalanced="0"/>
    <cacheHierarchy uniqueName="[AIC Outcome].[Issue]" caption="Issue" attribute="1" defaultMemberUniqueName="[AIC Outcome].[Issue].[All]" allUniqueName="[AIC Outcome].[Issue].[All]" dimensionUniqueName="[AIC Outcome]" displayFolder="" count="0" unbalanced="0"/>
    <cacheHierarchy uniqueName="[AIC Outcome].[Outcome]" caption="Outcome" attribute="1" defaultMemberUniqueName="[AIC Outcome].[Outcome].[All]" allUniqueName="[AIC Outcome].[Outcome].[All]" dimensionUniqueName="[AIC Outcome]" displayFolder="" count="0" unbalanced="0"/>
    <cacheHierarchy uniqueName="[AIC Outcome].[Outcome Ready]" caption="Outcome Ready" attribute="1" defaultMemberUniqueName="[AIC Outcome].[Outcome Ready].[All]" allUniqueName="[AIC Outcome].[Outcome Ready].[All]" dimensionUniqueName="[AIC Outcome]" displayFolder="" count="0" unbalanced="0"/>
    <cacheHierarchy uniqueName="[AIC Outcome].[Type Of Outcome]" caption="Type Of Outcome" attribute="1" defaultMemberUniqueName="[AIC Outcome].[Type Of Outcome].[All]" allUniqueName="[AIC Outcome].[Type Of Outcome].[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0" unbalanced="0"/>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 Enquiry Created].[Financial]" caption="Monthly Calendar Enquiry Created.Financial" time="1" defaultMemberUniqueName="[Monthly Calendar Enquiry Created].[Financial].[All]" allUniqueName="[Monthly Calendar Enquiry Created].[Financial].[All]" dimensionUniqueName="[Monthly Calendar Enquiry Created]" displayFolder="" count="4" unbalanced="0">
      <fieldsUsage count="4">
        <fieldUsage x="-1"/>
        <fieldUsage x="6"/>
        <fieldUsage x="7"/>
        <fieldUsage x="8"/>
      </fieldsUsage>
    </cacheHierarchy>
    <cacheHierarchy uniqueName="[Monthly Calendar Enquiry Created].[Month Name]" caption="Monthly Calendar Enquiry Created.Month Name" attribute="1" time="1" defaultMemberUniqueName="[Monthly Calendar Enquiry Created].[Month Name].[All]" allUniqueName="[Monthly Calendar Enquiry Created].[Month Name].[All]" dimensionUniqueName="[Monthly Calendar Enquiry Created]" displayFolder="" count="0" unbalanced="0"/>
    <cacheHierarchy uniqueName="[Monthly Calendar Enquiry Created].[Month Number]" caption="Monthly Calendar Enquiry Created.Month Number" attribute="1" time="1" defaultMemberUniqueName="[Monthly Calendar Enquiry Created].[Month Number].[All]" allUniqueName="[Monthly Calendar Enquiry Created].[Month Number].[All]" dimensionUniqueName="[Monthly Calendar Enquiry Created]" displayFolder="" count="0" unbalanced="0"/>
    <cacheHierarchy uniqueName="[Monthly Calendar Enquiry Created].[Quarter]" caption="Monthly Calendar Enquiry Created.Quarter" attribute="1" time="1" defaultMemberUniqueName="[Monthly Calendar Enquiry Created].[Quarter].[All]" allUniqueName="[Monthly Calendar Enquiry Created].[Quarter].[All]" dimensionUniqueName="[Monthly Calendar Enquiry Created]" displayFolder="" count="0" unbalanced="0"/>
    <cacheHierarchy uniqueName="[Monthly Calendar Enquiry Created].[Year]" caption="Monthly Calendar Enquiry Created.Year" attribute="1" time="1" defaultMemberUniqueName="[Monthly Calendar Enquiry Created].[Year].[All]" allUniqueName="[Monthly Calendar Enquiry Created].[Year].[All]" dimensionUniqueName="[Monthly Calendar Enquiry Created]" displayFolder="" count="0" unbalanced="0"/>
    <cacheHierarchy uniqueName="[Monthly Calendar Outcome Date].[Financial]" caption="Monthly Calendar Outcome Date.Financial" time="1" defaultMemberUniqueName="[Monthly Calendar Outcome Date].[Financial].[All]" allUniqueName="[Monthly Calendar Outcome Date].[Financial].[All]" dimensionUniqueName="[Monthly Calendar Outcome Date]" displayFolder="" count="4" unbalanced="0">
      <fieldsUsage count="4">
        <fieldUsage x="-1"/>
        <fieldUsage x="0"/>
        <fieldUsage x="1"/>
        <fieldUsage x="2"/>
      </fieldsUsage>
    </cacheHierarchy>
    <cacheHierarchy uniqueName="[Monthly Calendar Outcome Date].[Month Name]" caption="Monthly Calendar Outcome Date.Month Name" attribute="1" time="1" defaultMemberUniqueName="[Monthly Calendar Outcome Date].[Month Name].[All]" allUniqueName="[Monthly Calendar Outcome Date].[Month Name].[All]" dimensionUniqueName="[Monthly Calendar Outcome Date]" displayFolder="" count="0" unbalanced="0"/>
    <cacheHierarchy uniqueName="[Monthly Calendar Outcome Date].[Month Number]" caption="Monthly Calendar Outcome Date.Month Number" attribute="1" time="1" defaultMemberUniqueName="[Monthly Calendar Outcome Date].[Month Number].[All]" allUniqueName="[Monthly Calendar Outcome Date].[Month Number].[All]" dimensionUniqueName="[Monthly Calendar Outcome Date]" displayFolder="" count="0" unbalanced="0"/>
    <cacheHierarchy uniqueName="[Monthly Calendar Outcome Date].[Quarter]" caption="Monthly Calendar Outcome Date.Quarter" attribute="1" time="1" defaultMemberUniqueName="[Monthly Calendar Outcome Date].[Quarter].[All]" allUniqueName="[Monthly Calendar Outcome Date].[Quarter].[All]" dimensionUniqueName="[Monthly Calendar Outcome Date]" displayFolder="" count="0" unbalanced="0"/>
    <cacheHierarchy uniqueName="[Monthly Calendar Outcome Date].[Year]" caption="Monthly Calendar Outcome Date.Year" attribute="1" time="1" defaultMemberUniqueName="[Monthly Calendar Outcome Date].[Year].[All]" allUniqueName="[Monthly Calendar Outcome Date].[Year].[All]" dimensionUniqueName="[Monthly Calendar Outcome Date]" displayFolder="" count="0" unbalanced="0"/>
    <cacheHierarchy uniqueName="[National Funder].[Funder]" caption="Funder" attribute="1" defaultMemberUniqueName="[National Funder].[Funder].[All]" allUniqueName="[National Funder].[Funder].[All]" dimensionUniqueName="[National Funder]" displayFolder="" count="0"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 Enquiry Created].[Date ID]" caption="Monthly Calendar Enquiry Created.Date ID" attribute="1" time="1" keyAttribute="1" defaultMemberUniqueName="[Monthly Calendar Enquiry Created].[Date ID].[All]" allUniqueName="[Monthly Calendar Enquiry Created].[Date ID].[All]" dimensionUniqueName="[Monthly Calendar Enquiry Created]" displayFolder="" count="0" unbalanced="0" hidden="1"/>
    <cacheHierarchy uniqueName="[Monthly Calendar Outcome Date].[Date ID]" caption="Monthly Calendar Outcome Date.Date ID" attribute="1" time="1" keyAttribute="1" defaultMemberUniqueName="[Monthly Calendar Outcome Date].[Date ID].[All]" allUniqueName="[Monthly Calendar Outcome Date].[Date ID].[All]" dimensionUniqueName="[Monthly Calendar Outcome Date]"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Annualised Value]" caption="Annualised Value" measure="1" displayFolder="" measureGroup="Advice" count="0"/>
    <cacheHierarchy uniqueName="[Measures].[Number of Outcomes]" caption="Number of Outcomes" measure="1" displayFolder="" measureGroup="Advice" count="0"/>
    <cacheHierarchy uniqueName="[Measures].[Unique Client Count]" caption="Unique Client Count" measure="1" displayFolder="" measureGroup="Client" count="0"/>
  </cacheHierarchies>
  <kpis count="0"/>
  <dimensions count="12">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Enquiry Created" uniqueName="[Monthly Calendar Enquiry Created]" caption="Monthly Calendar Enquiry Created"/>
    <dimension name="Monthly Calendar Outcome Date" uniqueName="[Monthly Calendar Outcome Date]" caption="Monthly Calendar Outcome Date"/>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7"/>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7"/>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OnLoad="1" refreshedBy="John Willoughby" refreshedDate="42835.684565393516" backgroundQuery="1" createdVersion="4" refreshedVersion="4" minRefreshableVersion="3" recordCount="0" supportSubquery="1" supportAdvancedDrill="1">
  <cacheSource type="external" connectionId="3"/>
  <cacheFields count="12">
    <cacheField name="[Monthly Calendar Enquiry Created].[Financial].[Year]" caption="Year" numFmtId="0" hierarchy="102" level="1">
      <sharedItems count="12">
        <s v="[Monthly Calendar Enquiry Created].[Financial].[Year].&amp;[]" c=""/>
        <s v="[Monthly Calendar Enquiry Created].[Financial].[Year].&amp;[2001-02]" c="2001-02"/>
        <s v="[Monthly Calendar Enquiry Created].[Financial].[Year].&amp;[2007-08]" c="2007-08"/>
        <s v="[Monthly Calendar Enquiry Created].[Financial].[Year].&amp;[2008-09]" c="2008-09"/>
        <s v="[Monthly Calendar Enquiry Created].[Financial].[Year].&amp;[2010-11]" c="2010-11"/>
        <s v="[Monthly Calendar Enquiry Created].[Financial].[Year].&amp;[2011-12]" c="2011-12"/>
        <s v="[Monthly Calendar Enquiry Created].[Financial].[Year].&amp;[2012-13]" c="2012-13"/>
        <s v="[Monthly Calendar Enquiry Created].[Financial].[Year].&amp;[2013-14]" c="2013-14"/>
        <s v="[Monthly Calendar Enquiry Created].[Financial].[Year].&amp;[2014-15]" c="2014-15"/>
        <s v="[Monthly Calendar Enquiry Created].[Financial].[Year].&amp;[2015-16]" c="2015-16"/>
        <s v="[Monthly Calendar Enquiry Created].[Financial].[Year].&amp;[2016-17]" c="2016-17"/>
        <s v="[Monthly Calendar Enquiry Created].[Financial].[Year].&amp;[2017-18]" c="2017-18"/>
      </sharedItems>
    </cacheField>
    <cacheField name="[Monthly Calendar Enquiry Created].[Financial].[Quarter]" caption="Quarter" numFmtId="0" hierarchy="102" level="2">
      <sharedItems count="6">
        <s v="[Monthly Calendar Enquiry Created].[Financial].[Quarter].&amp;[Q1]&amp;[2014-15]" c="Q1"/>
        <s v="[Monthly Calendar Enquiry Created].[Financial].[Quarter].&amp;[Q2]&amp;[2014-15]" c="Q2"/>
        <s v="[Monthly Calendar Enquiry Created].[Financial].[Quarter].&amp;[Q3]&amp;[2014-15]" c="Q3"/>
        <s v="[Monthly Calendar Enquiry Created].[Financial].[Quarter].&amp;[Q2]&amp;[2013-14]" u="1" c="Q2"/>
        <s v="[Monthly Calendar Enquiry Created].[Financial].[Quarter].&amp;[Q3]&amp;[2013-14]" u="1" c="Q3"/>
        <s v="[Monthly Calendar Enquiry Created].[Financial].[Quarter].&amp;[Q4]&amp;[2013-14]" u="1" c="Q4"/>
      </sharedItems>
    </cacheField>
    <cacheField name="[Monthly Calendar Enquiry Created].[Financial].[Month Name]" caption="Month Name" numFmtId="0" hierarchy="102" level="3">
      <sharedItems containsSemiMixedTypes="0" containsString="0"/>
    </cacheField>
    <cacheField name="[Monthly Calendar Enquiry Created].[Financial].[Quarter].[Year]" caption="Year" propertyName="Year" numFmtId="0" hierarchy="102" level="2" memberPropertyField="1">
      <sharedItems containsSemiMixedTypes="0" containsString="0"/>
    </cacheField>
    <cacheField name="[Monthly Calendar Enquiry Created].[Financial].[Month Name].[Month Number]" caption="Month Number" propertyName="Month Number" numFmtId="0" hierarchy="102" level="3" memberPropertyField="1">
      <sharedItems containsSemiMixedTypes="0" containsString="0"/>
    </cacheField>
    <cacheField name="[Monthly Calendar Enquiry Created].[Financial].[Month Name].[Quarter]" caption="Quarter" propertyName="Quarter" numFmtId="0" hierarchy="102" level="3" memberPropertyField="1">
      <sharedItems containsSemiMixedTypes="0" containsString="0"/>
    </cacheField>
    <cacheField name="[Monthly Calendar Outcome Date].[Financial].[Year]" caption="Year" numFmtId="0" hierarchy="107" level="1">
      <sharedItems containsSemiMixedTypes="0" containsString="0"/>
    </cacheField>
    <cacheField name="[Monthly Calendar Outcome Date].[Financial].[Quarter]" caption="Quarter" numFmtId="0" hierarchy="107" level="2">
      <sharedItems containsSemiMixedTypes="0" containsString="0"/>
    </cacheField>
    <cacheField name="[Monthly Calendar Outcome Date].[Financial].[Month Name]" caption="Month Name" numFmtId="0" hierarchy="107" level="3">
      <sharedItems containsSemiMixedTypes="0" containsString="0"/>
    </cacheField>
    <cacheField name="[Monthly Calendar Outcome Date].[Financial].[Quarter].[Year]" caption="Year" propertyName="Year" numFmtId="0" hierarchy="107" level="2" memberPropertyField="1">
      <sharedItems containsSemiMixedTypes="0" containsString="0"/>
    </cacheField>
    <cacheField name="[Monthly Calendar Outcome Date].[Financial].[Month Name].[Month Number]" caption="Month Number" propertyName="Month Number" numFmtId="0" hierarchy="107" level="3" memberPropertyField="1">
      <sharedItems containsSemiMixedTypes="0" containsString="0"/>
    </cacheField>
    <cacheField name="[Monthly Calendar Outcome Date].[Financial].[Month Name].[Quarter]" caption="Quarter" propertyName="Quarter" numFmtId="0" hierarchy="107" level="3" memberPropertyField="1">
      <sharedItems containsSemiMixedTypes="0" containsString="0"/>
    </cacheField>
  </cacheFields>
  <cacheHierarchies count="130">
    <cacheHierarchy uniqueName="[AIC Outcome].[Advice Area]" caption="Advice Area" attribute="1" defaultMemberUniqueName="[AIC Outcome].[Advice Area].[All]" allUniqueName="[AIC Outcome].[Advice Area].[All]" dimensionUniqueName="[AIC Outcom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AIC Outcome].[Confirmation]" caption="Confirmation" attribute="1" defaultMemberUniqueName="[AIC Outcome].[Confirmation].[All]" allUniqueName="[AIC Outcome].[Confirmation].[All]" dimensionUniqueName="[AIC Outcome]" displayFolder="" count="0" unbalanced="0"/>
    <cacheHierarchy uniqueName="[AIC Outcome].[Financial Flag]" caption="Financial Flag" attribute="1" defaultMemberUniqueName="[AIC Outcome].[Financial Flag].[All]" allUniqueName="[AIC Outcome].[Financial Flag].[All]" dimensionUniqueName="[AIC Outcome]" displayFolder="" count="0" unbalanced="0"/>
    <cacheHierarchy uniqueName="[AIC Outcome].[Financial Outcome Category]" caption="Financial Outcome Category" attribute="1" defaultMemberUniqueName="[AIC Outcome].[Financial Outcome Category].[All]" allUniqueName="[AIC Outcome].[Financial Outcome Category].[All]" dimensionUniqueName="[AIC Outcome]" displayFolder="" count="0" unbalanced="0"/>
    <cacheHierarchy uniqueName="[AIC Outcome].[Frequency Of Amount]" caption="Frequency Of Amount" attribute="1" defaultMemberUniqueName="[AIC Outcome].[Frequency Of Amount].[All]" allUniqueName="[AIC Outcome].[Frequency Of Amount].[All]" dimensionUniqueName="[AIC Outcome]" displayFolder="" count="0" unbalanced="0"/>
    <cacheHierarchy uniqueName="[AIC Outcome].[Further Details]" caption="Further Details" attribute="1" defaultMemberUniqueName="[AIC Outcome].[Further Details].[All]" allUniqueName="[AIC Outcome].[Further Details].[All]" dimensionUniqueName="[AIC Outcome]" displayFolder="" count="0" unbalanced="0"/>
    <cacheHierarchy uniqueName="[AIC Outcome].[How Outcome Was Achieved]" caption="How Outcome Was Achieved" attribute="1" defaultMemberUniqueName="[AIC Outcome].[How Outcome Was Achieved].[All]" allUniqueName="[AIC Outcome].[How Outcome Was Achieved].[All]" dimensionUniqueName="[AIC Outcome]" displayFolder="" count="0" unbalanced="0"/>
    <cacheHierarchy uniqueName="[AIC Outcome].[Issue]" caption="Issue" attribute="1" defaultMemberUniqueName="[AIC Outcome].[Issue].[All]" allUniqueName="[AIC Outcome].[Issue].[All]" dimensionUniqueName="[AIC Outcome]" displayFolder="" count="0" unbalanced="0"/>
    <cacheHierarchy uniqueName="[AIC Outcome].[Outcome]" caption="Outcome" attribute="1" defaultMemberUniqueName="[AIC Outcome].[Outcome].[All]" allUniqueName="[AIC Outcome].[Outcome].[All]" dimensionUniqueName="[AIC Outcome]" displayFolder="" count="0" unbalanced="0"/>
    <cacheHierarchy uniqueName="[AIC Outcome].[Outcome Ready]" caption="Outcome Ready" attribute="1" defaultMemberUniqueName="[AIC Outcome].[Outcome Ready].[All]" allUniqueName="[AIC Outcome].[Outcome Ready].[All]" dimensionUniqueName="[AIC Outcome]" displayFolder="" count="0" unbalanced="0"/>
    <cacheHierarchy uniqueName="[AIC Outcome].[Type Of Outcome]" caption="Type Of Outcome" attribute="1" defaultMemberUniqueName="[AIC Outcome].[Type Of Outcome].[All]" allUniqueName="[AIC Outcome].[Type Of Outcome].[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0" unbalanced="0"/>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 Enquiry Created].[Financial]" caption="Monthly Calendar Enquiry Created.Financial" time="1" defaultMemberUniqueName="[Monthly Calendar Enquiry Created].[Financial].[All]" allUniqueName="[Monthly Calendar Enquiry Created].[Financial].[All]" dimensionUniqueName="[Monthly Calendar Enquiry Created]" displayFolder="" count="4" unbalanced="0">
      <fieldsUsage count="4">
        <fieldUsage x="-1"/>
        <fieldUsage x="0"/>
        <fieldUsage x="1"/>
        <fieldUsage x="2"/>
      </fieldsUsage>
    </cacheHierarchy>
    <cacheHierarchy uniqueName="[Monthly Calendar Enquiry Created].[Month Name]" caption="Monthly Calendar Enquiry Created.Month Name" attribute="1" time="1" defaultMemberUniqueName="[Monthly Calendar Enquiry Created].[Month Name].[All]" allUniqueName="[Monthly Calendar Enquiry Created].[Month Name].[All]" dimensionUniqueName="[Monthly Calendar Enquiry Created]" displayFolder="" count="0" unbalanced="0"/>
    <cacheHierarchy uniqueName="[Monthly Calendar Enquiry Created].[Month Number]" caption="Monthly Calendar Enquiry Created.Month Number" attribute="1" time="1" defaultMemberUniqueName="[Monthly Calendar Enquiry Created].[Month Number].[All]" allUniqueName="[Monthly Calendar Enquiry Created].[Month Number].[All]" dimensionUniqueName="[Monthly Calendar Enquiry Created]" displayFolder="" count="0" unbalanced="0"/>
    <cacheHierarchy uniqueName="[Monthly Calendar Enquiry Created].[Quarter]" caption="Monthly Calendar Enquiry Created.Quarter" attribute="1" time="1" defaultMemberUniqueName="[Monthly Calendar Enquiry Created].[Quarter].[All]" allUniqueName="[Monthly Calendar Enquiry Created].[Quarter].[All]" dimensionUniqueName="[Monthly Calendar Enquiry Created]" displayFolder="" count="0" unbalanced="0"/>
    <cacheHierarchy uniqueName="[Monthly Calendar Enquiry Created].[Year]" caption="Monthly Calendar Enquiry Created.Year" attribute="1" time="1" defaultMemberUniqueName="[Monthly Calendar Enquiry Created].[Year].[All]" allUniqueName="[Monthly Calendar Enquiry Created].[Year].[All]" dimensionUniqueName="[Monthly Calendar Enquiry Created]" displayFolder="" count="0" unbalanced="0"/>
    <cacheHierarchy uniqueName="[Monthly Calendar Outcome Date].[Financial]" caption="Monthly Calendar Outcome Date.Financial" time="1" defaultMemberUniqueName="[Monthly Calendar Outcome Date].[Financial].[All]" allUniqueName="[Monthly Calendar Outcome Date].[Financial].[All]" dimensionUniqueName="[Monthly Calendar Outcome Date]" displayFolder="" count="4" unbalanced="0">
      <fieldsUsage count="4">
        <fieldUsage x="-1"/>
        <fieldUsage x="6"/>
        <fieldUsage x="7"/>
        <fieldUsage x="8"/>
      </fieldsUsage>
    </cacheHierarchy>
    <cacheHierarchy uniqueName="[Monthly Calendar Outcome Date].[Month Name]" caption="Monthly Calendar Outcome Date.Month Name" attribute="1" time="1" defaultMemberUniqueName="[Monthly Calendar Outcome Date].[Month Name].[All]" allUniqueName="[Monthly Calendar Outcome Date].[Month Name].[All]" dimensionUniqueName="[Monthly Calendar Outcome Date]" displayFolder="" count="0" unbalanced="0"/>
    <cacheHierarchy uniqueName="[Monthly Calendar Outcome Date].[Month Number]" caption="Monthly Calendar Outcome Date.Month Number" attribute="1" time="1" defaultMemberUniqueName="[Monthly Calendar Outcome Date].[Month Number].[All]" allUniqueName="[Monthly Calendar Outcome Date].[Month Number].[All]" dimensionUniqueName="[Monthly Calendar Outcome Date]" displayFolder="" count="0" unbalanced="0"/>
    <cacheHierarchy uniqueName="[Monthly Calendar Outcome Date].[Quarter]" caption="Monthly Calendar Outcome Date.Quarter" attribute="1" time="1" defaultMemberUniqueName="[Monthly Calendar Outcome Date].[Quarter].[All]" allUniqueName="[Monthly Calendar Outcome Date].[Quarter].[All]" dimensionUniqueName="[Monthly Calendar Outcome Date]" displayFolder="" count="0" unbalanced="0"/>
    <cacheHierarchy uniqueName="[Monthly Calendar Outcome Date].[Year]" caption="Monthly Calendar Outcome Date.Year" attribute="1" time="1" defaultMemberUniqueName="[Monthly Calendar Outcome Date].[Year].[All]" allUniqueName="[Monthly Calendar Outcome Date].[Year].[All]" dimensionUniqueName="[Monthly Calendar Outcome Date]" displayFolder="" count="0" unbalanced="0"/>
    <cacheHierarchy uniqueName="[National Funder].[Funder]" caption="Funder" attribute="1" defaultMemberUniqueName="[National Funder].[Funder].[All]" allUniqueName="[National Funder].[Funder].[All]" dimensionUniqueName="[National Funder]" displayFolder="" count="0"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 Enquiry Created].[Date ID]" caption="Monthly Calendar Enquiry Created.Date ID" attribute="1" time="1" keyAttribute="1" defaultMemberUniqueName="[Monthly Calendar Enquiry Created].[Date ID].[All]" allUniqueName="[Monthly Calendar Enquiry Created].[Date ID].[All]" dimensionUniqueName="[Monthly Calendar Enquiry Created]" displayFolder="" count="0" unbalanced="0" hidden="1"/>
    <cacheHierarchy uniqueName="[Monthly Calendar Outcome Date].[Date ID]" caption="Monthly Calendar Outcome Date.Date ID" attribute="1" time="1" keyAttribute="1" defaultMemberUniqueName="[Monthly Calendar Outcome Date].[Date ID].[All]" allUniqueName="[Monthly Calendar Outcome Date].[Date ID].[All]" dimensionUniqueName="[Monthly Calendar Outcome Date]"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Annualised Value]" caption="Annualised Value" measure="1" displayFolder="" measureGroup="Advice" count="0"/>
    <cacheHierarchy uniqueName="[Measures].[Number of Outcomes]" caption="Number of Outcomes" measure="1" displayFolder="" measureGroup="Advice" count="0"/>
    <cacheHierarchy uniqueName="[Measures].[Unique Client Count]" caption="Unique Client Count" measure="1" displayFolder="" measureGroup="Client" count="0"/>
  </cacheHierarchies>
  <kpis count="0"/>
  <dimensions count="12">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Enquiry Created" uniqueName="[Monthly Calendar Enquiry Created]" caption="Monthly Calendar Enquiry Created"/>
    <dimension name="Monthly Calendar Outcome Date" uniqueName="[Monthly Calendar Outcome Date]" caption="Monthly Calendar Outcome Date"/>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7"/>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7"/>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OnLoad="1" refreshedBy="John Willoughby" refreshedDate="42835.684585069444" backgroundQuery="1" createdVersion="4" refreshedVersion="4" minRefreshableVersion="3" recordCount="0" supportSubquery="1" supportAdvancedDrill="1">
  <cacheSource type="external" connectionId="3"/>
  <cacheFields count="12">
    <cacheField name="[Monthly Calendar Outcome Date].[Financial].[Year]" caption="Year" numFmtId="0" hierarchy="107" level="1">
      <sharedItems count="1">
        <s v="[Monthly Calendar Outcome Date].[Financial].[Year].&amp;[2016-17]" c="2016-17"/>
      </sharedItems>
    </cacheField>
    <cacheField name="[Monthly Calendar Outcome Date].[Financial].[Quarter]" caption="Quarter" numFmtId="0" hierarchy="107" level="2" mappingCount="1">
      <sharedItems count="4">
        <s v="[Monthly Calendar Outcome Date].[Financial].[Quarter].&amp;[Q1]&amp;[2016-17]" c="Q1" cp="1">
          <x/>
        </s>
        <s v="[Monthly Calendar Outcome Date].[Financial].[Quarter].&amp;[Q2]&amp;[2016-17]" c="Q2" cp="1">
          <x/>
        </s>
        <s v="[Monthly Calendar Outcome Date].[Financial].[Quarter].&amp;[Q3]&amp;[2016-17]" c="Q3" cp="1">
          <x/>
        </s>
        <s v="[Monthly Calendar Outcome Date].[Financial].[Quarter].&amp;[Q4]&amp;[2016-17]" c="Q4" cp="1">
          <x/>
        </s>
      </sharedItems>
      <mpMap v="3"/>
    </cacheField>
    <cacheField name="[Monthly Calendar Outcome Date].[Financial].[Month Name]" caption="Month Name" numFmtId="0" hierarchy="107" level="3" mappingCount="2">
      <sharedItems count="12">
        <s v="[Monthly Calendar Outcome Date].[Financial].[Month Name].&amp;[April]&amp;[2016-17]" c="April" cp="2">
          <x/>
          <x/>
        </s>
        <s v="[Monthly Calendar Outcome Date].[Financial].[Month Name].&amp;[May]&amp;[2016-17]" c="May" cp="2">
          <x v="1"/>
          <x/>
        </s>
        <s v="[Monthly Calendar Outcome Date].[Financial].[Month Name].&amp;[June]&amp;[2016-17]" c="June" cp="2">
          <x v="2"/>
          <x/>
        </s>
        <s v="[Monthly Calendar Outcome Date].[Financial].[Month Name].&amp;[July]&amp;[2016-17]" c="July" cp="2">
          <x v="3"/>
          <x v="1"/>
        </s>
        <s v="[Monthly Calendar Outcome Date].[Financial].[Month Name].&amp;[August]&amp;[2016-17]" c="August" cp="2">
          <x v="4"/>
          <x v="1"/>
        </s>
        <s v="[Monthly Calendar Outcome Date].[Financial].[Month Name].&amp;[September]&amp;[2016-17]" c="September" cp="2">
          <x v="5"/>
          <x v="1"/>
        </s>
        <s v="[Monthly Calendar Outcome Date].[Financial].[Month Name].&amp;[October]&amp;[2016-17]" c="October" cp="2">
          <x v="6"/>
          <x v="2"/>
        </s>
        <s v="[Monthly Calendar Outcome Date].[Financial].[Month Name].&amp;[November]&amp;[2016-17]" c="November" cp="2">
          <x v="7"/>
          <x v="2"/>
        </s>
        <s v="[Monthly Calendar Outcome Date].[Financial].[Month Name].&amp;[December]&amp;[2016-17]" c="December" cp="2">
          <x v="8"/>
          <x v="2"/>
        </s>
        <s v="[Monthly Calendar Outcome Date].[Financial].[Month Name].&amp;[January]&amp;[2016-17]" c="January" cp="2">
          <x v="9"/>
          <x v="3"/>
        </s>
        <s v="[Monthly Calendar Outcome Date].[Financial].[Month Name].&amp;[February]&amp;[2016-17]" c="February" cp="2">
          <x v="10"/>
          <x v="3"/>
        </s>
        <s v="[Monthly Calendar Outcome Date].[Financial].[Month Name].&amp;[March]&amp;[2016-17]" c="March" cp="2">
          <x v="11"/>
          <x v="3"/>
        </s>
      </sharedItems>
      <mpMap v="4"/>
      <mpMap v="5"/>
    </cacheField>
    <cacheField name="[Monthly Calendar Outcome Date].[Financial].[Quarter].[Year]" caption="Year" propertyName="Year" numFmtId="0" hierarchy="107" level="2" memberPropertyField="1">
      <sharedItems count="1">
        <s v="2016-17"/>
      </sharedItems>
    </cacheField>
    <cacheField name="[Monthly Calendar Outcome Date].[Financial].[Month Name].[Month Number]" caption="Month Number" propertyName="Month Number" numFmtId="0" hierarchy="107" level="3" memberPropertyField="1">
      <sharedItems containsSemiMixedTypes="0" containsString="0" containsNumber="1" containsInteger="1" minValue="1" maxValue="12" count="12">
        <n v="4"/>
        <n v="5"/>
        <n v="6"/>
        <n v="7"/>
        <n v="8"/>
        <n v="9"/>
        <n v="10"/>
        <n v="11"/>
        <n v="12"/>
        <n v="1"/>
        <n v="2"/>
        <n v="3"/>
      </sharedItems>
    </cacheField>
    <cacheField name="[Monthly Calendar Outcome Date].[Financial].[Month Name].[Quarter]" caption="Quarter" propertyName="Quarter" numFmtId="0" hierarchy="107" level="3" memberPropertyField="1">
      <sharedItems count="4">
        <s v="Q1"/>
        <s v="Q2"/>
        <s v="Q3"/>
        <s v="Q4"/>
      </sharedItems>
    </cacheField>
    <cacheField name="[Monthly Calendar Enquiry Created].[Financial].[Year]" caption="Year" numFmtId="0" hierarchy="102" level="1">
      <sharedItems containsSemiMixedTypes="0" containsString="0"/>
    </cacheField>
    <cacheField name="[Monthly Calendar Enquiry Created].[Financial].[Quarter]" caption="Quarter" numFmtId="0" hierarchy="102" level="2">
      <sharedItems containsSemiMixedTypes="0" containsString="0"/>
    </cacheField>
    <cacheField name="[Monthly Calendar Enquiry Created].[Financial].[Month Name]" caption="Month Name" numFmtId="0" hierarchy="102" level="3">
      <sharedItems containsSemiMixedTypes="0" containsString="0"/>
    </cacheField>
    <cacheField name="[Monthly Calendar Enquiry Created].[Financial].[Quarter].[Year]" caption="Year" propertyName="Year" numFmtId="0" hierarchy="102" level="2" memberPropertyField="1">
      <sharedItems containsSemiMixedTypes="0" containsString="0"/>
    </cacheField>
    <cacheField name="[Monthly Calendar Enquiry Created].[Financial].[Month Name].[Month Number]" caption="Month Number" propertyName="Month Number" numFmtId="0" hierarchy="102" level="3" memberPropertyField="1">
      <sharedItems containsSemiMixedTypes="0" containsString="0"/>
    </cacheField>
    <cacheField name="[Monthly Calendar Enquiry Created].[Financial].[Month Name].[Quarter]" caption="Quarter" propertyName="Quarter" numFmtId="0" hierarchy="102" level="3" memberPropertyField="1">
      <sharedItems containsSemiMixedTypes="0" containsString="0"/>
    </cacheField>
  </cacheFields>
  <cacheHierarchies count="130">
    <cacheHierarchy uniqueName="[AIC Outcome].[Advice Area]" caption="Advice Area" attribute="1" defaultMemberUniqueName="[AIC Outcome].[Advice Area].[All]" allUniqueName="[AIC Outcome].[Advice Area].[All]" dimensionUniqueName="[AIC Outcom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AIC Outcome].[Confirmation]" caption="Confirmation" attribute="1" defaultMemberUniqueName="[AIC Outcome].[Confirmation].[All]" allUniqueName="[AIC Outcome].[Confirmation].[All]" dimensionUniqueName="[AIC Outcome]" displayFolder="" count="0" unbalanced="0"/>
    <cacheHierarchy uniqueName="[AIC Outcome].[Financial Flag]" caption="Financial Flag" attribute="1" defaultMemberUniqueName="[AIC Outcome].[Financial Flag].[All]" allUniqueName="[AIC Outcome].[Financial Flag].[All]" dimensionUniqueName="[AIC Outcome]" displayFolder="" count="0" unbalanced="0"/>
    <cacheHierarchy uniqueName="[AIC Outcome].[Financial Outcome Category]" caption="Financial Outcome Category" attribute="1" defaultMemberUniqueName="[AIC Outcome].[Financial Outcome Category].[All]" allUniqueName="[AIC Outcome].[Financial Outcome Category].[All]" dimensionUniqueName="[AIC Outcome]" displayFolder="" count="0" unbalanced="0"/>
    <cacheHierarchy uniqueName="[AIC Outcome].[Frequency Of Amount]" caption="Frequency Of Amount" attribute="1" defaultMemberUniqueName="[AIC Outcome].[Frequency Of Amount].[All]" allUniqueName="[AIC Outcome].[Frequency Of Amount].[All]" dimensionUniqueName="[AIC Outcome]" displayFolder="" count="0" unbalanced="0"/>
    <cacheHierarchy uniqueName="[AIC Outcome].[Further Details]" caption="Further Details" attribute="1" defaultMemberUniqueName="[AIC Outcome].[Further Details].[All]" allUniqueName="[AIC Outcome].[Further Details].[All]" dimensionUniqueName="[AIC Outcome]" displayFolder="" count="0" unbalanced="0"/>
    <cacheHierarchy uniqueName="[AIC Outcome].[How Outcome Was Achieved]" caption="How Outcome Was Achieved" attribute="1" defaultMemberUniqueName="[AIC Outcome].[How Outcome Was Achieved].[All]" allUniqueName="[AIC Outcome].[How Outcome Was Achieved].[All]" dimensionUniqueName="[AIC Outcome]" displayFolder="" count="0" unbalanced="0"/>
    <cacheHierarchy uniqueName="[AIC Outcome].[Issue]" caption="Issue" attribute="1" defaultMemberUniqueName="[AIC Outcome].[Issue].[All]" allUniqueName="[AIC Outcome].[Issue].[All]" dimensionUniqueName="[AIC Outcome]" displayFolder="" count="0" unbalanced="0"/>
    <cacheHierarchy uniqueName="[AIC Outcome].[Outcome]" caption="Outcome" attribute="1" defaultMemberUniqueName="[AIC Outcome].[Outcome].[All]" allUniqueName="[AIC Outcome].[Outcome].[All]" dimensionUniqueName="[AIC Outcome]" displayFolder="" count="0" unbalanced="0"/>
    <cacheHierarchy uniqueName="[AIC Outcome].[Outcome Ready]" caption="Outcome Ready" attribute="1" defaultMemberUniqueName="[AIC Outcome].[Outcome Ready].[All]" allUniqueName="[AIC Outcome].[Outcome Ready].[All]" dimensionUniqueName="[AIC Outcome]" displayFolder="" count="0" unbalanced="0"/>
    <cacheHierarchy uniqueName="[AIC Outcome].[Type Of Outcome]" caption="Type Of Outcome" attribute="1" defaultMemberUniqueName="[AIC Outcome].[Type Of Outcome].[All]" allUniqueName="[AIC Outcome].[Type Of Outcome].[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0" unbalanced="0"/>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 Enquiry Created].[Financial]" caption="Monthly Calendar Enquiry Created.Financial" time="1" defaultMemberUniqueName="[Monthly Calendar Enquiry Created].[Financial].[All]" allUniqueName="[Monthly Calendar Enquiry Created].[Financial].[All]" dimensionUniqueName="[Monthly Calendar Enquiry Created]" displayFolder="" count="4" unbalanced="0">
      <fieldsUsage count="4">
        <fieldUsage x="-1"/>
        <fieldUsage x="6"/>
        <fieldUsage x="7"/>
        <fieldUsage x="8"/>
      </fieldsUsage>
    </cacheHierarchy>
    <cacheHierarchy uniqueName="[Monthly Calendar Enquiry Created].[Month Name]" caption="Monthly Calendar Enquiry Created.Month Name" attribute="1" time="1" defaultMemberUniqueName="[Monthly Calendar Enquiry Created].[Month Name].[All]" allUniqueName="[Monthly Calendar Enquiry Created].[Month Name].[All]" dimensionUniqueName="[Monthly Calendar Enquiry Created]" displayFolder="" count="0" unbalanced="0"/>
    <cacheHierarchy uniqueName="[Monthly Calendar Enquiry Created].[Month Number]" caption="Monthly Calendar Enquiry Created.Month Number" attribute="1" time="1" defaultMemberUniqueName="[Monthly Calendar Enquiry Created].[Month Number].[All]" allUniqueName="[Monthly Calendar Enquiry Created].[Month Number].[All]" dimensionUniqueName="[Monthly Calendar Enquiry Created]" displayFolder="" count="0" unbalanced="0"/>
    <cacheHierarchy uniqueName="[Monthly Calendar Enquiry Created].[Quarter]" caption="Monthly Calendar Enquiry Created.Quarter" attribute="1" time="1" defaultMemberUniqueName="[Monthly Calendar Enquiry Created].[Quarter].[All]" allUniqueName="[Monthly Calendar Enquiry Created].[Quarter].[All]" dimensionUniqueName="[Monthly Calendar Enquiry Created]" displayFolder="" count="0" unbalanced="0"/>
    <cacheHierarchy uniqueName="[Monthly Calendar Enquiry Created].[Year]" caption="Monthly Calendar Enquiry Created.Year" attribute="1" time="1" defaultMemberUniqueName="[Monthly Calendar Enquiry Created].[Year].[All]" allUniqueName="[Monthly Calendar Enquiry Created].[Year].[All]" dimensionUniqueName="[Monthly Calendar Enquiry Created]" displayFolder="" count="0" unbalanced="0"/>
    <cacheHierarchy uniqueName="[Monthly Calendar Outcome Date].[Financial]" caption="Monthly Calendar Outcome Date.Financial" time="1" defaultMemberUniqueName="[Monthly Calendar Outcome Date].[Financial].[All]" allUniqueName="[Monthly Calendar Outcome Date].[Financial].[All]" dimensionUniqueName="[Monthly Calendar Outcome Date]" displayFolder="" count="4" unbalanced="0">
      <fieldsUsage count="4">
        <fieldUsage x="-1"/>
        <fieldUsage x="0"/>
        <fieldUsage x="1"/>
        <fieldUsage x="2"/>
      </fieldsUsage>
    </cacheHierarchy>
    <cacheHierarchy uniqueName="[Monthly Calendar Outcome Date].[Month Name]" caption="Monthly Calendar Outcome Date.Month Name" attribute="1" time="1" defaultMemberUniqueName="[Monthly Calendar Outcome Date].[Month Name].[All]" allUniqueName="[Monthly Calendar Outcome Date].[Month Name].[All]" dimensionUniqueName="[Monthly Calendar Outcome Date]" displayFolder="" count="0" unbalanced="0"/>
    <cacheHierarchy uniqueName="[Monthly Calendar Outcome Date].[Month Number]" caption="Monthly Calendar Outcome Date.Month Number" attribute="1" time="1" defaultMemberUniqueName="[Monthly Calendar Outcome Date].[Month Number].[All]" allUniqueName="[Monthly Calendar Outcome Date].[Month Number].[All]" dimensionUniqueName="[Monthly Calendar Outcome Date]" displayFolder="" count="0" unbalanced="0"/>
    <cacheHierarchy uniqueName="[Monthly Calendar Outcome Date].[Quarter]" caption="Monthly Calendar Outcome Date.Quarter" attribute="1" time="1" defaultMemberUniqueName="[Monthly Calendar Outcome Date].[Quarter].[All]" allUniqueName="[Monthly Calendar Outcome Date].[Quarter].[All]" dimensionUniqueName="[Monthly Calendar Outcome Date]" displayFolder="" count="0" unbalanced="0"/>
    <cacheHierarchy uniqueName="[Monthly Calendar Outcome Date].[Year]" caption="Monthly Calendar Outcome Date.Year" attribute="1" time="1" defaultMemberUniqueName="[Monthly Calendar Outcome Date].[Year].[All]" allUniqueName="[Monthly Calendar Outcome Date].[Year].[All]" dimensionUniqueName="[Monthly Calendar Outcome Date]" displayFolder="" count="0" unbalanced="0"/>
    <cacheHierarchy uniqueName="[National Funder].[Funder]" caption="Funder" attribute="1" defaultMemberUniqueName="[National Funder].[Funder].[All]" allUniqueName="[National Funder].[Funder].[All]" dimensionUniqueName="[National Funder]" displayFolder="" count="0"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 Enquiry Created].[Date ID]" caption="Monthly Calendar Enquiry Created.Date ID" attribute="1" time="1" keyAttribute="1" defaultMemberUniqueName="[Monthly Calendar Enquiry Created].[Date ID].[All]" allUniqueName="[Monthly Calendar Enquiry Created].[Date ID].[All]" dimensionUniqueName="[Monthly Calendar Enquiry Created]" displayFolder="" count="0" unbalanced="0" hidden="1"/>
    <cacheHierarchy uniqueName="[Monthly Calendar Outcome Date].[Date ID]" caption="Monthly Calendar Outcome Date.Date ID" attribute="1" time="1" keyAttribute="1" defaultMemberUniqueName="[Monthly Calendar Outcome Date].[Date ID].[All]" allUniqueName="[Monthly Calendar Outcome Date].[Date ID].[All]" dimensionUniqueName="[Monthly Calendar Outcome Date]"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Annualised Value]" caption="Annualised Value" measure="1" displayFolder="" measureGroup="Advice" count="0"/>
    <cacheHierarchy uniqueName="[Measures].[Number of Outcomes]" caption="Number of Outcomes" measure="1" displayFolder="" measureGroup="Advice" count="0"/>
    <cacheHierarchy uniqueName="[Measures].[Unique Client Count]" caption="Unique Client Count" measure="1" displayFolder="" measureGroup="Client" count="0"/>
  </cacheHierarchies>
  <kpis count="0"/>
  <dimensions count="12">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Enquiry Created" uniqueName="[Monthly Calendar Enquiry Created]" caption="Monthly Calendar Enquiry Created"/>
    <dimension name="Monthly Calendar Outcome Date" uniqueName="[Monthly Calendar Outcome Date]" caption="Monthly Calendar Outcome Date"/>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7"/>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7"/>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OnLoad="1" refreshedBy="John Willoughby" refreshedDate="42835.684624074071" backgroundQuery="1" createdVersion="4" refreshedVersion="4" minRefreshableVersion="3" recordCount="0" supportSubquery="1" supportAdvancedDrill="1">
  <cacheSource type="external" connectionId="3"/>
  <cacheFields count="12">
    <cacheField name="[Monthly Calendar Outcome Date].[Financial].[Year]" caption="Year" numFmtId="0" hierarchy="107" level="1">
      <sharedItems containsSemiMixedTypes="0" containsString="0"/>
    </cacheField>
    <cacheField name="[Monthly Calendar Outcome Date].[Financial].[Quarter]" caption="Quarter" numFmtId="0" hierarchy="107" level="2">
      <sharedItems containsSemiMixedTypes="0" containsString="0"/>
    </cacheField>
    <cacheField name="[Monthly Calendar Outcome Date].[Financial].[Month Name]" caption="Month Name" numFmtId="0" hierarchy="107" level="3">
      <sharedItems containsSemiMixedTypes="0" containsString="0"/>
    </cacheField>
    <cacheField name="[Monthly Calendar Outcome Date].[Financial].[Quarter].[Year]" caption="Year" propertyName="Year" numFmtId="0" hierarchy="107" level="2" memberPropertyField="1">
      <sharedItems containsSemiMixedTypes="0" containsString="0"/>
    </cacheField>
    <cacheField name="[Monthly Calendar Outcome Date].[Financial].[Month Name].[Month Number]" caption="Month Number" propertyName="Month Number" numFmtId="0" hierarchy="107" level="3" memberPropertyField="1">
      <sharedItems containsSemiMixedTypes="0" containsString="0"/>
    </cacheField>
    <cacheField name="[Monthly Calendar Outcome Date].[Financial].[Month Name].[Quarter]" caption="Quarter" propertyName="Quarter" numFmtId="0" hierarchy="107" level="3" memberPropertyField="1">
      <sharedItems containsSemiMixedTypes="0" containsString="0"/>
    </cacheField>
    <cacheField name="[Monthly Calendar Enquiry Created].[Financial].[Year]" caption="Year" numFmtId="0" hierarchy="102" level="1">
      <sharedItems containsSemiMixedTypes="0" containsString="0"/>
    </cacheField>
    <cacheField name="[Monthly Calendar Enquiry Created].[Financial].[Quarter]" caption="Quarter" numFmtId="0" hierarchy="102" level="2">
      <sharedItems containsSemiMixedTypes="0" containsString="0"/>
    </cacheField>
    <cacheField name="[Monthly Calendar Enquiry Created].[Financial].[Month Name]" caption="Month Name" numFmtId="0" hierarchy="102" level="3">
      <sharedItems containsSemiMixedTypes="0" containsString="0"/>
    </cacheField>
    <cacheField name="[Monthly Calendar Enquiry Created].[Financial].[Quarter].[Year]" caption="Year" propertyName="Year" numFmtId="0" hierarchy="102" level="2" memberPropertyField="1">
      <sharedItems containsSemiMixedTypes="0" containsString="0"/>
    </cacheField>
    <cacheField name="[Monthly Calendar Enquiry Created].[Financial].[Month Name].[Month Number]" caption="Month Number" propertyName="Month Number" numFmtId="0" hierarchy="102" level="3" memberPropertyField="1">
      <sharedItems containsSemiMixedTypes="0" containsString="0"/>
    </cacheField>
    <cacheField name="[Monthly Calendar Enquiry Created].[Financial].[Month Name].[Quarter]" caption="Quarter" propertyName="Quarter" numFmtId="0" hierarchy="102" level="3" memberPropertyField="1">
      <sharedItems containsSemiMixedTypes="0" containsString="0"/>
    </cacheField>
  </cacheFields>
  <cacheHierarchies count="130">
    <cacheHierarchy uniqueName="[AIC Outcome].[Advice Area]" caption="Advice Area" attribute="1" defaultMemberUniqueName="[AIC Outcome].[Advice Area].[All]" allUniqueName="[AIC Outcome].[Advice Area].[All]" dimensionUniqueName="[AIC Outcome]" displayFolder="" count="0" unbalanced="0"/>
    <cacheHierarchy uniqueName="[AIC Outcome].[AIC]" caption="AIC" defaultMemberUniqueName="[AIC Outcome].[AIC].[All]" allUniqueName="[AIC Outcome].[AIC].[All]" dimensionUniqueName="[AIC Outcome]" displayFolder="" count="0" unbalanced="0"/>
    <cacheHierarchy uniqueName="[AIC Outcome].[AIC Part1]" caption="AIC Part1" attribute="1" defaultMemberUniqueName="[AIC Outcome].[AIC Part1].[All]" allUniqueName="[AIC Outcome].[AIC Part1].[All]" dimensionUniqueName="[AIC Outcome]" displayFolder="" count="0" unbalanced="0"/>
    <cacheHierarchy uniqueName="[AIC Outcome].[AIC Part2]" caption="AIC Part2" attribute="1" defaultMemberUniqueName="[AIC Outcome].[AIC Part2].[All]" allUniqueName="[AIC Outcome].[AIC Part2].[All]" dimensionUniqueName="[AIC Outcome]" displayFolder="" count="0" unbalanced="0"/>
    <cacheHierarchy uniqueName="[AIC Outcome].[AIC Part3]" caption="AIC Part3" attribute="1" defaultMemberUniqueName="[AIC Outcome].[AIC Part3].[All]" allUniqueName="[AIC Outcome].[AIC Part3].[All]" dimensionUniqueName="[AIC Outcome]" displayFolder="" count="0" unbalanced="0"/>
    <cacheHierarchy uniqueName="[AIC Outcome].[Confirmation]" caption="Confirmation" attribute="1" defaultMemberUniqueName="[AIC Outcome].[Confirmation].[All]" allUniqueName="[AIC Outcome].[Confirmation].[All]" dimensionUniqueName="[AIC Outcome]" displayFolder="" count="0" unbalanced="0"/>
    <cacheHierarchy uniqueName="[AIC Outcome].[Financial Flag]" caption="Financial Flag" attribute="1" defaultMemberUniqueName="[AIC Outcome].[Financial Flag].[All]" allUniqueName="[AIC Outcome].[Financial Flag].[All]" dimensionUniqueName="[AIC Outcome]" displayFolder="" count="0" unbalanced="0"/>
    <cacheHierarchy uniqueName="[AIC Outcome].[Financial Outcome Category]" caption="Financial Outcome Category" attribute="1" defaultMemberUniqueName="[AIC Outcome].[Financial Outcome Category].[All]" allUniqueName="[AIC Outcome].[Financial Outcome Category].[All]" dimensionUniqueName="[AIC Outcome]" displayFolder="" count="0" unbalanced="0"/>
    <cacheHierarchy uniqueName="[AIC Outcome].[Frequency Of Amount]" caption="Frequency Of Amount" attribute="1" defaultMemberUniqueName="[AIC Outcome].[Frequency Of Amount].[All]" allUniqueName="[AIC Outcome].[Frequency Of Amount].[All]" dimensionUniqueName="[AIC Outcome]" displayFolder="" count="0" unbalanced="0"/>
    <cacheHierarchy uniqueName="[AIC Outcome].[Further Details]" caption="Further Details" attribute="1" defaultMemberUniqueName="[AIC Outcome].[Further Details].[All]" allUniqueName="[AIC Outcome].[Further Details].[All]" dimensionUniqueName="[AIC Outcome]" displayFolder="" count="0" unbalanced="0"/>
    <cacheHierarchy uniqueName="[AIC Outcome].[How Outcome Was Achieved]" caption="How Outcome Was Achieved" attribute="1" defaultMemberUniqueName="[AIC Outcome].[How Outcome Was Achieved].[All]" allUniqueName="[AIC Outcome].[How Outcome Was Achieved].[All]" dimensionUniqueName="[AIC Outcome]" displayFolder="" count="0" unbalanced="0"/>
    <cacheHierarchy uniqueName="[AIC Outcome].[Issue]" caption="Issue" attribute="1" defaultMemberUniqueName="[AIC Outcome].[Issue].[All]" allUniqueName="[AIC Outcome].[Issue].[All]" dimensionUniqueName="[AIC Outcome]" displayFolder="" count="0" unbalanced="0"/>
    <cacheHierarchy uniqueName="[AIC Outcome].[Outcome]" caption="Outcome" attribute="1" defaultMemberUniqueName="[AIC Outcome].[Outcome].[All]" allUniqueName="[AIC Outcome].[Outcome].[All]" dimensionUniqueName="[AIC Outcome]" displayFolder="" count="0" unbalanced="0"/>
    <cacheHierarchy uniqueName="[AIC Outcome].[Outcome Ready]" caption="Outcome Ready" attribute="1" defaultMemberUniqueName="[AIC Outcome].[Outcome Ready].[All]" allUniqueName="[AIC Outcome].[Outcome Ready].[All]" dimensionUniqueName="[AIC Outcome]" displayFolder="" count="0" unbalanced="0"/>
    <cacheHierarchy uniqueName="[AIC Outcome].[Type Of Outcome]" caption="Type Of Outcome" attribute="1" defaultMemberUniqueName="[AIC Outcome].[Type Of Outcome].[All]" allUniqueName="[AIC Outcome].[Type Of Outcome].[All]" dimensionUniqueName="[AIC Outcome]" displayFolder="" count="0" unbalanced="0"/>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BEF Feedback Rating By Central SP]" caption="BEF Feedback Rating By Central SP" attribute="1" defaultMemberUniqueName="[Event Profile].[BEF Feedback Rating By Central SP].[All]" allUniqueName="[Event Profile].[BEF Feedback Rating By Central SP].[All]" dimensionUniqueName="[Ev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Enquiry]" caption="Parent Enquiry" attribute="1" defaultMemberUniqueName="[Event Profile].[Parent Enquiry].[All]" allUniqueName="[Event Profile].[Parent Enquiry].[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0" unbalanced="0"/>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 Enquiry Created].[Financial]" caption="Monthly Calendar Enquiry Created.Financial" time="1" defaultMemberUniqueName="[Monthly Calendar Enquiry Created].[Financial].[All]" allUniqueName="[Monthly Calendar Enquiry Created].[Financial].[All]" dimensionUniqueName="[Monthly Calendar Enquiry Created]" displayFolder="" count="4" unbalanced="0">
      <fieldsUsage count="4">
        <fieldUsage x="-1"/>
        <fieldUsage x="6"/>
        <fieldUsage x="7"/>
        <fieldUsage x="8"/>
      </fieldsUsage>
    </cacheHierarchy>
    <cacheHierarchy uniqueName="[Monthly Calendar Enquiry Created].[Month Name]" caption="Monthly Calendar Enquiry Created.Month Name" attribute="1" time="1" defaultMemberUniqueName="[Monthly Calendar Enquiry Created].[Month Name].[All]" allUniqueName="[Monthly Calendar Enquiry Created].[Month Name].[All]" dimensionUniqueName="[Monthly Calendar Enquiry Created]" displayFolder="" count="0" unbalanced="0"/>
    <cacheHierarchy uniqueName="[Monthly Calendar Enquiry Created].[Month Number]" caption="Monthly Calendar Enquiry Created.Month Number" attribute="1" time="1" defaultMemberUniqueName="[Monthly Calendar Enquiry Created].[Month Number].[All]" allUniqueName="[Monthly Calendar Enquiry Created].[Month Number].[All]" dimensionUniqueName="[Monthly Calendar Enquiry Created]" displayFolder="" count="0" unbalanced="0"/>
    <cacheHierarchy uniqueName="[Monthly Calendar Enquiry Created].[Quarter]" caption="Monthly Calendar Enquiry Created.Quarter" attribute="1" time="1" defaultMemberUniqueName="[Monthly Calendar Enquiry Created].[Quarter].[All]" allUniqueName="[Monthly Calendar Enquiry Created].[Quarter].[All]" dimensionUniqueName="[Monthly Calendar Enquiry Created]" displayFolder="" count="0" unbalanced="0"/>
    <cacheHierarchy uniqueName="[Monthly Calendar Enquiry Created].[Year]" caption="Monthly Calendar Enquiry Created.Year" attribute="1" time="1" defaultMemberUniqueName="[Monthly Calendar Enquiry Created].[Year].[All]" allUniqueName="[Monthly Calendar Enquiry Created].[Year].[All]" dimensionUniqueName="[Monthly Calendar Enquiry Created]" displayFolder="" count="0" unbalanced="0"/>
    <cacheHierarchy uniqueName="[Monthly Calendar Outcome Date].[Financial]" caption="Monthly Calendar Outcome Date.Financial" time="1" defaultMemberUniqueName="[Monthly Calendar Outcome Date].[Financial].[All]" allUniqueName="[Monthly Calendar Outcome Date].[Financial].[All]" dimensionUniqueName="[Monthly Calendar Outcome Date]" displayFolder="" count="4" unbalanced="0">
      <fieldsUsage count="4">
        <fieldUsage x="-1"/>
        <fieldUsage x="0"/>
        <fieldUsage x="1"/>
        <fieldUsage x="2"/>
      </fieldsUsage>
    </cacheHierarchy>
    <cacheHierarchy uniqueName="[Monthly Calendar Outcome Date].[Month Name]" caption="Monthly Calendar Outcome Date.Month Name" attribute="1" time="1" defaultMemberUniqueName="[Monthly Calendar Outcome Date].[Month Name].[All]" allUniqueName="[Monthly Calendar Outcome Date].[Month Name].[All]" dimensionUniqueName="[Monthly Calendar Outcome Date]" displayFolder="" count="0" unbalanced="0"/>
    <cacheHierarchy uniqueName="[Monthly Calendar Outcome Date].[Month Number]" caption="Monthly Calendar Outcome Date.Month Number" attribute="1" time="1" defaultMemberUniqueName="[Monthly Calendar Outcome Date].[Month Number].[All]" allUniqueName="[Monthly Calendar Outcome Date].[Month Number].[All]" dimensionUniqueName="[Monthly Calendar Outcome Date]" displayFolder="" count="0" unbalanced="0"/>
    <cacheHierarchy uniqueName="[Monthly Calendar Outcome Date].[Quarter]" caption="Monthly Calendar Outcome Date.Quarter" attribute="1" time="1" defaultMemberUniqueName="[Monthly Calendar Outcome Date].[Quarter].[All]" allUniqueName="[Monthly Calendar Outcome Date].[Quarter].[All]" dimensionUniqueName="[Monthly Calendar Outcome Date]" displayFolder="" count="0" unbalanced="0"/>
    <cacheHierarchy uniqueName="[Monthly Calendar Outcome Date].[Year]" caption="Monthly Calendar Outcome Date.Year" attribute="1" time="1" defaultMemberUniqueName="[Monthly Calendar Outcome Date].[Year].[All]" allUniqueName="[Monthly Calendar Outcome Date].[Year].[All]" dimensionUniqueName="[Monthly Calendar Outcome Date]" displayFolder="" count="0" unbalanced="0"/>
    <cacheHierarchy uniqueName="[National Funder].[Funder]" caption="Funder" attribute="1" defaultMemberUniqueName="[National Funder].[Funder].[All]" allUniqueName="[National Funder].[Funder].[All]" dimensionUniqueName="[National Funder]" displayFolder="" count="0"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AIC Outcome].[AIC Outcome ID]" caption="AIC Outcome ID" attribute="1" keyAttribute="1" defaultMemberUniqueName="[AIC Outcome].[AIC Outcome ID].[All]" allUniqueName="[AIC Outcome].[AIC Outcome ID].[All]" dimensionUniqueName="[AIC Outcom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 Enquiry Created].[Date ID]" caption="Monthly Calendar Enquiry Created.Date ID" attribute="1" time="1" keyAttribute="1" defaultMemberUniqueName="[Monthly Calendar Enquiry Created].[Date ID].[All]" allUniqueName="[Monthly Calendar Enquiry Created].[Date ID].[All]" dimensionUniqueName="[Monthly Calendar Enquiry Created]" displayFolder="" count="0" unbalanced="0" hidden="1"/>
    <cacheHierarchy uniqueName="[Monthly Calendar Outcome Date].[Date ID]" caption="Monthly Calendar Outcome Date.Date ID" attribute="1" time="1" keyAttribute="1" defaultMemberUniqueName="[Monthly Calendar Outcome Date].[Date ID].[All]" allUniqueName="[Monthly Calendar Outcome Date].[Date ID].[All]" dimensionUniqueName="[Monthly Calendar Outcome Date]"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Annualised Value]" caption="Annualised Value" measure="1" displayFolder="" measureGroup="Advice" count="0"/>
    <cacheHierarchy uniqueName="[Measures].[Number of Outcomes]" caption="Number of Outcomes" measure="1" displayFolder="" measureGroup="Advice" count="0"/>
    <cacheHierarchy uniqueName="[Measures].[Unique Client Count]" caption="Unique Client Count" measure="1" displayFolder="" measureGroup="Client" count="0"/>
  </cacheHierarchies>
  <kpis count="0"/>
  <dimensions count="12">
    <dimension name="AIC Outcome" uniqueName="[AIC Outcome]" caption="AIC Outcom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Enquiry Created" uniqueName="[Monthly Calendar Enquiry Created]" caption="Monthly Calendar Enquiry Created"/>
    <dimension name="Monthly Calendar Outcome Date" uniqueName="[Monthly Calendar Outcome Date]" caption="Monthly Calendar Outcome Date"/>
    <dimension name="National Funder" uniqueName="[National Funder]" caption="National Funder"/>
    <dimension name="Work Level" uniqueName="[Work Level]" caption="Work Level"/>
    <dimension name="Work Type" uniqueName="[Work Type]" caption="Work Type"/>
  </dimensions>
  <measureGroups count="2">
    <measureGroup name="Advice" caption="Advice"/>
    <measureGroup name="Client" caption="Client"/>
  </measureGroups>
  <maps count="22">
    <map measureGroup="0" dimension="0"/>
    <map measureGroup="0" dimension="1"/>
    <map measureGroup="0" dimension="2"/>
    <map measureGroup="0" dimension="3"/>
    <map measureGroup="0" dimension="4"/>
    <map measureGroup="0" dimension="5"/>
    <map measureGroup="0" dimension="7"/>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7"/>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invalid="1" saveData="0" refreshOnLoad="1" refreshedBy="John Willoughby" refreshedDate="42835.684641782405" backgroundQuery="1" createdVersion="3" refreshedVersion="4" minRefreshableVersion="3" recordCount="0" tupleCache="1" supportSubquery="1" supportAdvancedDrill="1">
  <cacheSource type="external" connectionId="2"/>
  <cacheFields count="16">
    <cacheField name="[Client Event Type].[Client Event Type].[Client Event Type]" caption="Client Event Type" numFmtId="0" hierarchy="2" level="1">
      <sharedItems count="7">
        <s v="[Client Event Type].[Client Event Type].&amp;[Email]" c="Email"/>
        <s v="[Client Event Type].[Client Event Type].&amp;[Enquiry]" c="Enquiry"/>
        <s v="[Client Event Type].[Client Event Type].&amp;[Gateway]" c="Gateway"/>
        <s v="[Client Event Type].[Client Event Type].&amp;[Face to face]" c="Face to face"/>
        <s v="[Client Event Type].[Client Event Type].&amp;[Phone call]" c="Phone call"/>
        <s v="[Client Event Type].[Client Event Type].&amp;[Day sheet]" c="Day sheet"/>
        <s v="[Client Event Type].[Client Event Type].&amp;[Letter]" c="Letter"/>
      </sharedItems>
    </cacheField>
    <cacheField name="[Monthly Calendar].[Financial].[Year]" caption="Year" numFmtId="0" hierarchy="89" level="1">
      <sharedItems count="1">
        <s v="[Monthly Calendar].[Financial].[Year].&amp;[2016-17]" c="2016-17"/>
      </sharedItems>
    </cacheField>
    <cacheField name="[Local Organisation].[CAB].[Government Region]" caption="Government Region" numFmtId="0" hierarchy="84" level="1">
      <sharedItems containsSemiMixedTypes="0" containsString="0"/>
    </cacheField>
    <cacheField name="[Local Organisation].[CAB].[Member]" caption="Member" numFmtId="0" hierarchy="84" level="2">
      <sharedItems count="2">
        <s v="[Local Organisation].[CAB].[Member].&amp;[Citizens Advice Member]&amp;[Not recorded/not applicable]" c="Citizens Advice Member"/>
        <s v="[Local Organisation].[CAB].[Member].&amp;[York (member)]&amp;[Yorkshire &amp; the Humber]" c="York (member)"/>
      </sharedItems>
    </cacheField>
    <cacheField name="[Measures].[MeasuresLevel]" caption="MeasuresLevel" numFmtId="0" hierarchy="88">
      <sharedItems count="2">
        <s v="[Measures].[Unique Client Count]" c="Unique Client Count"/>
        <s v="[Measures].[Number Of Activities]" c="Number Of Activities"/>
      </sharedItems>
    </cacheField>
    <cacheField name="[Client Profile].[Age Group].[Age Group]" caption="Age Group" numFmtId="0" hierarchy="26" level="1">
      <sharedItems count="23">
        <s v="[Client Profile].[Age Group].&amp;[35-39]" c="35-39"/>
        <s v="[Client Profile].[Age Group].&amp;[30-34]" c="30-34"/>
        <s v="[Client Profile].[Age Group].&amp;[95-99]" c="95-99"/>
        <s v="[Client Profile].[Age Group].&amp;[85-89]" c="85-89"/>
        <s v="[Client Profile].[Age Group].&amp;[60-64]" c="60-64"/>
        <s v="[Client Profile].[Age Group].&amp;[75-79]" c="75-79"/>
        <s v="[Client Profile].[Age Group].&amp;[65-69]" c="65-69"/>
        <s v="[Client Profile].[Age Group].&amp;[80-84]" c="80-84"/>
        <s v="[Client Profile].[Age Group].&amp;[25-29]" c="25-29"/>
        <s v="[Client Profile].[Age Group].&amp;[5-9]" c="5-9"/>
        <s v="[Client Profile].[Age Group].&amp;[10-14]" c="10-14"/>
        <s v="[Client Profile].[Age Group].&amp;[50-54]" c="50-54"/>
        <s v="[Client Profile].[Age Group].&amp;[45-49]" c="45-49"/>
        <s v="[Client Profile].[Age Group].&amp;[55-59]" c="55-59"/>
        <s v="[Client Profile].[Age Group].&amp;[70-74]" c="70-74"/>
        <s v="[Client Profile].[Age Group].&amp;[15-19]" c="15-19"/>
        <s v="[Client Profile].[Age Group].&amp;[20-24]" c="20-24"/>
        <s v="[Client Profile].[Age Group].&amp;[0-4]" c="0-4"/>
        <s v="[Client Profile].[Age Group].&amp;[100-104]" c="100-104"/>
        <s v="[Client Profile].[Age Group].&amp;[90-94]" c="90-94"/>
        <s v="[Client Profile].[Age Group].&amp;[40-44]" c="40-44"/>
        <s v="[Client Profile].[Age Group].&amp;[Not record]" c="Not record"/>
        <s v="[Client Profile].[Age Group].&amp;[Not recorded/not applicable]" c="Not recorded/not applicable"/>
      </sharedItems>
    </cacheField>
    <cacheField name="[Event Profile].[Channel].[Channel]" caption="Channel" numFmtId="0" hierarchy="54" level="1">
      <sharedItems count="10">
        <s v="[Event Profile].[Channel].&amp;[Adviceline Phone]" c="Adviceline Phone"/>
        <s v="[Event Profile].[Channel].&amp;[Not recorded/not applicable]" c="Not recorded/not applicable"/>
        <s v="[Event Profile].[Channel].&amp;[Letter/Mail]" c="Letter/Mail"/>
        <s v="[Event Profile].[Channel].&amp;[Home Visit]" c="Home Visit"/>
        <s v="[Event Profile].[Channel].&amp;[Social Media]" c="Social Media"/>
        <s v="[Event Profile].[Channel].&amp;[Telephone]" c="Telephone"/>
        <s v="[Event Profile].[Channel].&amp;[Face to Face]" c="Face to Face"/>
        <s v="[Event Profile].[Channel].&amp;[Webchat]" c="Webchat"/>
        <s v="[Event Profile].[Channel].&amp;[Email]" c="Email"/>
        <s v="[Event Profile].[Channel].&amp;[E-mail]" c="E-mail"/>
      </sharedItems>
    </cacheField>
    <cacheField name="[Client Profile].[Gender].[Gender]" caption="Gender" numFmtId="0" hierarchy="35" level="1">
      <sharedItems count="7">
        <s v="[Client Profile].[Gender].&amp;[Trans - Female]" c="Trans - Female"/>
        <s v="[Client Profile].[Gender].&amp;[Trans]" c="Trans"/>
        <s v="[Client Profile].[Gender].&amp;[Trans - Male]" c="Trans - Male"/>
        <s v="[Client Profile].[Gender].&amp;[Not recorded/not applicable]" c="Not recorded/not applicable"/>
        <s v="[Client Profile].[Gender].&amp;[Female]" c="Female"/>
        <s v="[Client Profile].[Gender].&amp;[Male]" c="Male"/>
        <s v="[Client Profile].[Gender].&amp;[Unknown]" c="Unknown"/>
      </sharedItems>
    </cacheField>
    <cacheField name="[Client Profile].[Ethnic Origin].[Ethnic Origin]" caption="Ethnic Origin" numFmtId="0" hierarchy="32" level="1">
      <sharedItems count="25">
        <s v="[Client Profile].[Ethnic Origin].&amp;[Asian or Asian British - Chinese]" c="Asian or Asian British - Chinese"/>
        <s v="[Client Profile].[Ethnic Origin].&amp;[Mixed - White &amp; Black African]" c="Mixed - White &amp; Black African"/>
        <s v="[Client Profile].[Ethnic Origin].&amp;[Declined to Reply]" c="Declined to Reply"/>
        <s v="[Client Profile].[Ethnic Origin].&amp;[White - Welsh]" c="White - Welsh"/>
        <s v="[Client Profile].[Ethnic Origin].&amp;[White - British]" c="White - British"/>
        <s v="[Client Profile].[Ethnic Origin].&amp;[White - Gypsy or Irish Traveller]" c="White - Gypsy or Irish Traveller"/>
        <s v="[Client Profile].[Ethnic Origin].&amp;[White - Irish]" c="White - Irish"/>
        <s v="[Client Profile].[Ethnic Origin].&amp;[Mixed - White &amp; Asian]" c="Mixed - White &amp; Asian"/>
        <s v="[Client Profile].[Ethnic Origin].&amp;[Mixed - Other]" c="Mixed - Other"/>
        <s v="[Client Profile].[Ethnic Origin].&amp;[Not recorded/not applicable]" c="Not recorded/not applicable"/>
        <s v="[Client Profile].[Ethnic Origin].&amp;[White - Northern Irish]" c="White - Northern Irish"/>
        <s v="[Client Profile].[Ethnic Origin].&amp;[Asian or Asian British - Bangladeshi]" c="Asian or Asian British - Bangladeshi"/>
        <s v="[Client Profile].[Ethnic Origin].&amp;[White - Scottish]" c="White - Scottish"/>
        <s v="[Client Profile].[Ethnic Origin].&amp;[Black or Black British - Caribbean]" c="Black or Black British - Caribbean"/>
        <s v="[Client Profile].[Ethnic Origin].&amp;[Asian or Asian British - Indian]" c="Asian or Asian British - Indian"/>
        <s v="[Client Profile].[Ethnic Origin].&amp;[Unknown]" c="Unknown"/>
        <s v="[Client Profile].[Ethnic Origin].&amp;[Mixed - White &amp; Black Caribbean]" c="Mixed - White &amp; Black Caribbean"/>
        <s v="[Client Profile].[Ethnic Origin].&amp;[White - English]" c="White - English"/>
        <s v="[Client Profile].[Ethnic Origin].&amp;[Asian or Asian British - Other]" c="Asian or Asian British - Other"/>
        <s v="[Client Profile].[Ethnic Origin].&amp;[Black or Black British - Other]" c="Black or Black British - Other"/>
        <s v="[Client Profile].[Ethnic Origin].&amp;[Black or Black British - African]" c="Black or Black British - African"/>
        <s v="[Client Profile].[Ethnic Origin].&amp;[Asian or Asian British - Pakistani]" c="Asian or Asian British - Pakistani"/>
        <s v="[Client Profile].[Ethnic Origin].&amp;[White - Other]" c="White - Other"/>
        <s v="[Client Profile].[Ethnic Origin].&amp;[Other - Arab]" c="Other - Arab"/>
        <s v="[Client Profile].[Ethnic Origin].&amp;[Other - Any Other]" c="Other - Any Other"/>
      </sharedItems>
    </cacheField>
    <cacheField name="[Client Profile].[Disability or Health Problems].[Disability or Health Problems]" caption="Disability or Health Problems" numFmtId="0" hierarchy="31" level="1">
      <sharedItems count="5">
        <s v="[Client Profile].[Disability or Health Problems].&amp;[Disabled]" c="Disabled"/>
        <s v="[Client Profile].[Disability or Health Problems].&amp;[Unknown/withheld]" c="Unknown/withheld"/>
        <s v="[Client Profile].[Disability or Health Problems].&amp;[Not disabled/no health problems]" c="Not disabled/no health problems"/>
        <s v="[Client Profile].[Disability or Health Problems].&amp;[Long-term health condition]" c="Long-term health condition"/>
        <s v="[Client Profile].[Disability or Health Problems].&amp;[Not recorded/not applicable]" c="Not recorded/not applicable"/>
      </sharedItems>
    </cacheField>
    <cacheField name="[Client Profile].[Type Of Disability or Condition].[Type Of Disability or Condition]" caption="Type Of Disability or Condition" numFmtId="0" hierarchy="53" level="1">
      <sharedItems count="11">
        <s v="[Client Profile].[Type Of Disability or Condition].&amp;[Learning Difficulty]" c="Learning Difficulty"/>
        <s v="[Client Profile].[Type Of Disability or Condition].&amp;[Mental Health]" c="Mental Health"/>
        <s v="[Client Profile].[Type Of Disability or Condition].&amp;[Physical Impairment (non-sensory)]" c="Physical Impairment (non-sensory)"/>
        <s v="[Client Profile].[Type Of Disability or Condition].&amp;[Not recorded/not applicable]" c="Not recorded/not applicable"/>
        <s v="[Client Profile].[Type Of Disability or Condition].&amp;[Deaf]" c="Deaf"/>
        <s v="[Client Profile].[Type Of Disability or Condition].&amp;[Visual Impairment]" c="Visual Impairment"/>
        <s v="[Client Profile].[Type Of Disability or Condition].&amp;[Long-Term Health Condition]" c="Long-Term Health Condition"/>
        <s v="[Client Profile].[Type Of Disability or Condition].&amp;[Other Disability or Type Not Given]" c="Other Disability or Type Not Given"/>
        <s v="[Client Profile].[Type Of Disability or Condition].&amp;[Hearing Impairment]" c="Hearing Impairment"/>
        <s v="[Client Profile].[Type Of Disability or Condition].&amp;[Cognitive Impairment]" c="Cognitive Impairment"/>
        <s v="[Client Profile].[Type Of Disability or Condition].&amp;[Multiple Impairments]" c="Multiple Impairments"/>
      </sharedItems>
    </cacheField>
    <cacheField name="[Client Profile].[Age].[Age]" caption="Age" numFmtId="0" hierarchy="25" level="1">
      <sharedItems count="114">
        <s v="[Client Profile].[Age].&amp;[104]" c="104"/>
        <s v="[Client Profile].[Age].&amp;[88]" c="88"/>
        <s v="[Client Profile].[Age].&amp;[100]" c="100"/>
        <s v="[Client Profile].[Age].&amp;[55]" c="55"/>
        <s v="[Client Profile].[Age].&amp;[31]" c="31"/>
        <s v="[Client Profile].[Age].&amp;[105]" c="105"/>
        <s v="[Client Profile].[Age].&amp;[85]" c="85"/>
        <s v="[Client Profile].[Age].&amp;[62]" c="62"/>
        <s v="[Client Profile].[Age].&amp;[73]" c="73"/>
        <s v="[Client Profile].[Age].&amp;[48]" c="48"/>
        <s v="[Client Profile].[Age].&amp;[34]" c="34"/>
        <s v="[Client Profile].[Age].&amp;[9]" c="9"/>
        <s v="[Client Profile].[Age].&amp;[102]" c="102"/>
        <s v="[Client Profile].[Age].&amp;[57]" c="57"/>
        <s v="[Client Profile].[Age].&amp;[21]" c="21"/>
        <s v="[Client Profile].[Age].&amp;[38]" c="38"/>
        <s v="[Client Profile].[Age].&amp;[90]" c="90"/>
        <s v="[Client Profile].[Age].&amp;[84]" c="84"/>
        <s v="[Client Profile].[Age].&amp;[91]" c="91"/>
        <s v="[Client Profile].[Age].&amp;[78]" c="78"/>
        <s v="[Client Profile].[Age].&amp;[93]" c="93"/>
        <s v="[Client Profile].[Age].&amp;[49]" c="49"/>
        <s v="[Client Profile].[Age].&amp;[12]" c="12"/>
        <s v="[Client Profile].[Age].&amp;[103]" c="103"/>
        <s v="[Client Profile].[Age].&amp;[24]" c="24"/>
        <s v="[Client Profile].[Age].&amp;[Not recorded/not applicable]" c="Not recorded/not applicable"/>
        <s v="[Client Profile].[Age].&amp;[89]" c="89"/>
        <s v="[Client Profile].[Age].&amp;[82]" c="82"/>
        <s v="[Client Profile].[Age].&amp;[0]" c="0"/>
        <s v="[Client Profile].[Age].&amp;[39]" c="39"/>
        <s v="[Client Profile].[Age].&amp;[22]" c="22"/>
        <s v="[Client Profile].[Age].&amp;[50]" c="50"/>
        <s v="[Client Profile].[Age].&amp;[25]" c="25"/>
        <s v="[Client Profile].[Age].&amp;[70]" c="70"/>
        <s v="[Client Profile].[Age].&amp;[28]" c="28"/>
        <s v="[Client Profile].[Age].&amp;[76]" c="76"/>
        <s v="[Client Profile].[Age].&amp;[16]" c="16"/>
        <s v="[Client Profile].[Age].&amp;[19]" c="19"/>
        <s v="[Client Profile].[Age].&amp;[10]" c="10"/>
        <s v="[Client Profile].[Age].&amp;[30]" c="30"/>
        <s v="[Client Profile].[Age].&amp;[29]" c="29"/>
        <s v="[Client Profile].[Age].&amp;[52]" c="52"/>
        <s v="[Client Profile].[Age].&amp;[106]" c="106"/>
        <s v="[Client Profile].[Age].&amp;[59]" c="59"/>
        <s v="[Client Profile].[Age].&amp;[56]" c="56"/>
        <s v="[Client Profile].[Age].&amp;[40]" c="40"/>
        <s v="[Client Profile].[Age].&amp;[97]" c="97"/>
        <s v="[Client Profile].[Age].&amp;[51]" c="51"/>
        <s v="[Client Profile].[Age].&amp;[20]" c="20"/>
        <s v="[Client Profile].[Age].&amp;[77]" c="77"/>
        <s v="[Client Profile].[Age].&amp;[64]" c="64"/>
        <s v="[Client Profile].[Age].&amp;[5]" c="5"/>
        <s v="[Client Profile].[Age].&amp;[27]" c="27"/>
        <s v="[Client Profile].[Age].&amp;[2]" c="2"/>
        <s v="[Client Profile].[Age].&amp;[69]" c="69"/>
        <s v="[Client Profile].[Age].&amp;[8]" c="8"/>
        <s v="[Client Profile].[Age].&amp;[37]" c="37"/>
        <s v="[Client Profile].[Age].&amp;[4]" c="4"/>
        <s v="[Client Profile].[Age].&amp;[111]" c="111"/>
        <s v="[Client Profile].[Age].&amp;[35]" c="35"/>
        <s v="[Client Profile].[Age].&amp;[43]" c="43"/>
        <s v="[Client Profile].[Age].&amp;[81]" c="81"/>
        <s v="[Client Profile].[Age].&amp;[23]" c="23"/>
        <s v="[Client Profile].[Age].&amp;[80]" c="80"/>
        <s v="[Client Profile].[Age].&amp;[99]" c="99"/>
        <s v="[Client Profile].[Age].&amp;[107]" c="107"/>
        <s v="[Client Profile].[Age].&amp;[46]" c="46"/>
        <s v="[Client Profile].[Age].&amp;[45]" c="45"/>
        <s v="[Client Profile].[Age].&amp;[41]" c="41"/>
        <s v="[Client Profile].[Age].&amp;[53]" c="53"/>
        <s v="[Client Profile].[Age].&amp;[67]" c="67"/>
        <s v="[Client Profile].[Age].&amp;[26]" c="26"/>
        <s v="[Client Profile].[Age].&amp;[113]" c="113"/>
        <s v="[Client Profile].[Age].&amp;[44]" c="44"/>
        <s v="[Client Profile].[Age].&amp;[54]" c="54"/>
        <s v="[Client Profile].[Age].&amp;[1]" c="1"/>
        <s v="[Client Profile].[Age].&amp;[33]" c="33"/>
        <s v="[Client Profile].[Age].&amp;[109]" c="109"/>
        <s v="[Client Profile].[Age].&amp;[96]" c="96"/>
        <s v="[Client Profile].[Age].&amp;[61]" c="61"/>
        <s v="[Client Profile].[Age].&amp;[94]" c="94"/>
        <s v="[Client Profile].[Age].&amp;[6]" c="6"/>
        <s v="[Client Profile].[Age].&amp;[95]" c="95"/>
        <s v="[Client Profile].[Age].&amp;[114]" c="114"/>
        <s v="[Client Profile].[Age].&amp;[87]" c="87"/>
        <s v="[Client Profile].[Age].&amp;[74]" c="74"/>
        <s v="[Client Profile].[Age].&amp;[101]" c="101"/>
        <s v="[Client Profile].[Age].&amp;[58]" c="58"/>
        <s v="[Client Profile].[Age].&amp;[112]" c="112"/>
        <s v="[Client Profile].[Age].&amp;[17]" c="17"/>
        <s v="[Client Profile].[Age].&amp;[98]" c="98"/>
        <s v="[Client Profile].[Age].&amp;[60]" c="60"/>
        <s v="[Client Profile].[Age].&amp;[92]" c="92"/>
        <s v="[Client Profile].[Age].&amp;[3]" c="3"/>
        <s v="[Client Profile].[Age].&amp;[18]" c="18"/>
        <s v="[Client Profile].[Age].&amp;[36]" c="36"/>
        <s v="[Client Profile].[Age].&amp;[42]" c="42"/>
        <s v="[Client Profile].[Age].&amp;[47]" c="47"/>
        <s v="[Client Profile].[Age].&amp;[15]" c="15"/>
        <s v="[Client Profile].[Age].&amp;[71]" c="71"/>
        <s v="[Client Profile].[Age].&amp;[79]" c="79"/>
        <s v="[Client Profile].[Age].&amp;[75]" c="75"/>
        <s v="[Client Profile].[Age].&amp;[66]" c="66"/>
        <s v="[Client Profile].[Age].&amp;[11]" c="11"/>
        <s v="[Client Profile].[Age].&amp;[83]" c="83"/>
        <s v="[Client Profile].[Age].&amp;[63]" c="63"/>
        <s v="[Client Profile].[Age].&amp;[65]" c="65"/>
        <s v="[Client Profile].[Age].&amp;[14]" c="14"/>
        <s v="[Client Profile].[Age].&amp;[13]" c="13"/>
        <s v="[Client Profile].[Age].&amp;[7]" c="7"/>
        <s v="[Client Profile].[Age].&amp;[32]" c="32"/>
        <s v="[Client Profile].[Age].&amp;[86]" c="86"/>
        <s v="[Client Profile].[Age].&amp;[68]" c="68"/>
        <s v="[Client Profile].[Age].&amp;[72]" c="72"/>
      </sharedItems>
    </cacheField>
    <cacheField name="[Event Profile].[Parent Gateway].[Parent Gateway]" caption="Parent Gateway" numFmtId="0" hierarchy="67" level="1">
      <sharedItems count="3">
        <s v="[Event Profile].[Parent Gateway].&amp;[Yes]" c="Yes"/>
        <s v="[Event Profile].[Parent Gateway].&amp;[Not recorded/not applicable]" c="Not recorded/not applicable"/>
        <s v="[Event Profile].[Parent Gateway].&amp;[No]" c="No"/>
      </sharedItems>
    </cacheField>
    <cacheField name="[Work Type].[Work Type].[Work Type]" caption="Work Type" numFmtId="0" hierarchy="98" level="1">
      <sharedItems count="5">
        <s v="[Work Type].[Work Type].&amp;[Casework Preparation]" c="Casework Preparation"/>
        <s v="[Work Type].[Work Type].&amp;[Not recorded/not applicable]" c="Not recorded/not applicable"/>
        <s v="[Work Type].[Work Type].&amp;[BEF Preparation]" c="BEF Preparation"/>
        <s v="[Work Type].[Work Type].&amp;[Client]" c="Client"/>
        <s v="[Work Type].[Work Type].&amp;[Third Party]" c="Third Party"/>
      </sharedItems>
    </cacheField>
    <cacheField name="[Work Level].[Work Level].[Work Level]" caption="Work Level" numFmtId="0" hierarchy="97" level="1">
      <sharedItems count="7">
        <s v="[Work Level].[Work Level].&amp;[Signposting]" c="Signposting"/>
        <s v="[Work Level].[Work Level].&amp;[Advice and referral]" c="Advice and referral"/>
        <s v="[Work Level].[Work Level].&amp;[Information]" c="Information"/>
        <s v="[Work Level].[Work Level].&amp;[Advice and limited action]" c="Advice and limited action"/>
        <s v="[Work Level].[Work Level].&amp;[Specialist casework]" c="Specialist casework"/>
        <s v="[Work Level].[Work Level].&amp;[Generalist casework]" c="Generalist casework"/>
        <s v="[Work Level].[Work Level].&amp;[Advice]" c="Advice"/>
      </sharedItems>
    </cacheField>
    <cacheField name="[Event Profile].[Day Sheet Contact Channel].[Day Sheet Contact Channel]" caption="Day Sheet Contact Channel" numFmtId="0" hierarchy="56" level="1">
      <sharedItems count="4">
        <s v="[Event Profile].[Day Sheet Contact Channel].&amp;[Email]" c="Email"/>
        <s v="[Event Profile].[Day Sheet Contact Channel].&amp;[Telephone]" c="Telephone"/>
        <s v="[Event Profile].[Day Sheet Contact Channel].&amp;[Face to Face]" c="Face to Face"/>
        <s v="[Event Profile].[Day Sheet Contact Channel].&amp;[Phone Adviceline]" c="Phone Adviceline"/>
      </sharedItems>
    </cacheField>
  </cacheFields>
  <cacheHierarchies count="110">
    <cacheHierarchy uniqueName="[Activity Status].[Activity Status]" caption="Activity Status" attribute="1" defaultMemberUniqueName="[Activity Status].[Activity Status].[All]" allUniqueName="[Activity Status].[Activity Status].[All]" dimensionUniqueName="[Activity Status]" displayFolder="" count="2" unbalanced="0"/>
    <cacheHierarchy uniqueName="[Activity Status].[Activity Status ID]" caption="Activity Status ID" attribute="1" keyAttribute="1" defaultMemberUniqueName="[Activity Status].[Activity Status ID].[All]" allUniqueName="[Activity Status].[Activity Status ID].[All]" dimensionUniqueName="[Activity Status]" displayFolder="" count="2" unbalanced="0"/>
    <cacheHierarchy uniqueName="[Client Event Type].[Client Event Type]" caption="Client Event Type" attribute="1" defaultMemberUniqueName="[Client Event Type].[Client Event Type].[All]" allUniqueName="[Client Event Type].[Client Event Type].[All]" dimensionUniqueName="[Client Event Type]" displayFolder="" count="2" unbalanced="0">
      <fieldsUsage count="2">
        <fieldUsage x="-1"/>
        <fieldUsage x="0"/>
      </fieldsUsage>
    </cacheHierarchy>
    <cacheHierarchy uniqueName="[Client Geography].[Census Output Area]" caption="Census Output Area" attribute="1" defaultMemberUniqueName="[Client Geography].[Census Output Area].[All]" allUniqueName="[Client Geography].[Census Output Area].[All]" dimensionUniqueName="[Client Geography]" displayFolder="" count="2" unbalanced="0"/>
    <cacheHierarchy uniqueName="[Client Geography].[CensusOutputArea]" caption="CensusOutputArea" defaultMemberUniqueName="[Client Geography].[CensusOutputArea].[All]" allUniqueName="[Client Geography].[CensusOutputArea].[All]" dimensionUniqueName="[Client Geography]" displayFolder="" count="2" unbalanced="0"/>
    <cacheHierarchy uniqueName="[Client Geography].[ClientCounty]" caption="ClientCounty" defaultMemberUniqueName="[Client Geography].[ClientCounty].[All]" allUniqueName="[Client Geography].[ClientCounty].[All]" dimensionUniqueName="[Client Geography]" displayFolder="" count="2" unbalanced="0"/>
    <cacheHierarchy uniqueName="[Client Geography].[ClientParish]" caption="ClientParish" defaultMemberUniqueName="[Client Geography].[ClientParish].[All]" allUniqueName="[Client Geography].[ClientParish].[All]" dimensionUniqueName="[Client Geography]" displayFolder="" count="2"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2"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2" unbalanced="0"/>
    <cacheHierarchy uniqueName="[Client Geography].[County]" caption="County" attribute="1" defaultMemberUniqueName="[Client Geography].[County].[All]" allUniqueName="[Client Geography].[County].[All]" dimensionUniqueName="[Client Geography]" displayFolder="" count="2" unbalanced="0"/>
    <cacheHierarchy uniqueName="[Client Geography].[Local Authority]" caption="Local Authority" attribute="1" defaultMemberUniqueName="[Client Geography].[Local Authority].[All]" allUniqueName="[Client Geography].[Local Authority].[All]" dimensionUniqueName="[Client Geography]" displayFolder="" count="2"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2" unbalanced="0"/>
    <cacheHierarchy uniqueName="[Client Geography].[Local council]" caption="Local council" defaultMemberUniqueName="[Client Geography].[Local council].[All]" allUniqueName="[Client Geography].[Local council].[All]" dimensionUniqueName="[Client Geography]" displayFolder="" count="3"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2" unbalanced="0"/>
    <cacheHierarchy uniqueName="[Client Geography].[LowerSuperOutputArea]" caption="LowerSuperOutputArea" defaultMemberUniqueName="[Client Geography].[LowerSuperOutputArea].[All]" allUniqueName="[Client Geography].[LowerSuperOutputArea].[All]" dimensionUniqueName="[Client Geography]" displayFolder="" count="2" unbalanced="0"/>
    <cacheHierarchy uniqueName="[Client Geography].[Parish]" caption="Parish" attribute="1" defaultMemberUniqueName="[Client Geography].[Parish].[All]" allUniqueName="[Client Geography].[Parish].[All]" dimensionUniqueName="[Client Geography]" displayFolder="" count="2"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2" unbalanced="0"/>
    <cacheHierarchy uniqueName="[Client Geography].[Political]" caption="Political" defaultMemberUniqueName="[Client Geography].[Political].[All]" allUniqueName="[Client Geography].[Political].[All]" dimensionUniqueName="[Client Geography]" displayFolder="" count="3" unbalanced="0"/>
    <cacheHierarchy uniqueName="[Client Geography].[Political Party]" caption="Political Party" attribute="1" defaultMemberUniqueName="[Client Geography].[Political Party].[All]" allUniqueName="[Client Geography].[Political Party].[All]" dimensionUniqueName="[Client Geography]" displayFolder="" count="2" unbalanced="0"/>
    <cacheHierarchy uniqueName="[Client Geography].[Primary care]" caption="Primary care" defaultMemberUniqueName="[Client Geography].[Primary care].[All]" allUniqueName="[Client Geography].[Primary care].[All]" dimensionUniqueName="[Client Geography]" displayFolder="" count="2" unbalanced="0"/>
    <cacheHierarchy uniqueName="[Client Geography].[Primary Care Trust]" caption="Primary Care Trust" attribute="1" defaultMemberUniqueName="[Client Geography].[Primary Care Trust].[All]" allUniqueName="[Client Geography].[Primary Care Trust].[All]" dimensionUniqueName="[Client Geography]" displayFolder="" count="2"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2"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2"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2"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2" unbalanced="0"/>
    <cacheHierarchy uniqueName="[Client Profile].[Age]" caption="Age" attribute="1" defaultMemberUniqueName="[Client Profile].[Age].[All]" allUniqueName="[Client Profile].[Age].[All]" allCaption="All" dimensionUniqueName="[Client Profile]" displayFolder="" count="2" unbalanced="0">
      <fieldsUsage count="2">
        <fieldUsage x="-1"/>
        <fieldUsage x="11"/>
      </fieldsUsage>
    </cacheHierarchy>
    <cacheHierarchy uniqueName="[Client Profile].[Age Group]" caption="Age Group" attribute="1" defaultMemberUniqueName="[Client Profile].[Age Group].[All]" allUniqueName="[Client Profile].[Age Group].[All]" allCaption="All" dimensionUniqueName="[Client Profile]" displayFolder="" count="2" unbalanced="0">
      <fieldsUsage count="2">
        <fieldUsage x="-1"/>
        <fieldUsage x="5"/>
      </fieldsUsage>
    </cacheHierarchy>
    <cacheHierarchy uniqueName="[Client Profile].[Anonymous]" caption="Anonymous" attribute="1" defaultMemberUniqueName="[Client Profile].[Anonymous].[All]" allUniqueName="[Client Profile].[Anonymous].[All]" dimensionUniqueName="[Client Profile]" displayFolder="" count="2"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2"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2"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2"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2" unbalanced="0">
      <fieldsUsage count="2">
        <fieldUsage x="-1"/>
        <fieldUsage x="9"/>
      </fieldsUsage>
    </cacheHierarchy>
    <cacheHierarchy uniqueName="[Client Profile].[Ethnic Origin]" caption="Ethnic Origin" attribute="1" defaultMemberUniqueName="[Client Profile].[Ethnic Origin].[All]" allUniqueName="[Client Profile].[Ethnic Origin].[All]" allCaption="All" dimensionUniqueName="[Client Profile]" displayFolder="" count="2" unbalanced="0">
      <fieldsUsage count="2">
        <fieldUsage x="-1"/>
        <fieldUsage x="8"/>
      </fieldsUsage>
    </cacheHierarchy>
    <cacheHierarchy uniqueName="[Client Profile].[First Language]" caption="First Language" attribute="1" defaultMemberUniqueName="[Client Profile].[First Language].[All]" allUniqueName="[Client Profile].[First Language].[All]" dimensionUniqueName="[Client Profile]" displayFolder="" count="2"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2" unbalanced="0"/>
    <cacheHierarchy uniqueName="[Client Profile].[Gender]" caption="Gender" attribute="1" defaultMemberUniqueName="[Client Profile].[Gender].[All]" allUniqueName="[Client Profile].[Gender].[All]" allCaption="All" dimensionUniqueName="[Client Profile]" displayFolder="" count="2" unbalanced="0">
      <fieldsUsage count="2">
        <fieldUsage x="-1"/>
        <fieldUsage x="7"/>
      </fieldsUsage>
    </cacheHierarchy>
    <cacheHierarchy uniqueName="[Client Profile].[Household Type]" caption="Household Type" attribute="1" defaultMemberUniqueName="[Client Profile].[Household Type].[All]" allUniqueName="[Client Profile].[Household Type].[All]" dimensionUniqueName="[Client Profile]" displayFolder="" count="2" unbalanced="0"/>
    <cacheHierarchy uniqueName="[Client Profile].[Housing Tenure]" caption="Housing Tenure" attribute="1" defaultMemberUniqueName="[Client Profile].[Housing Tenure].[All]" allUniqueName="[Client Profile].[Housing Tenure].[All]" dimensionUniqueName="[Client Profile]" displayFolder="" count="2" unbalanced="0"/>
    <cacheHierarchy uniqueName="[Client Profile].[Incomes Profile]" caption="Incomes Profile" attribute="1" defaultMemberUniqueName="[Client Profile].[Incomes Profile].[All]" allUniqueName="[Client Profile].[Incomes Profile].[All]" dimensionUniqueName="[Client Profile]" displayFolder="" count="2" unbalanced="0"/>
    <cacheHierarchy uniqueName="[Client Profile].[Local Code A Set 1]" caption="Local Code A Set 1" attribute="1" defaultMemberUniqueName="[Client Profile].[Local Code A Set 1].[All]" allUniqueName="[Client Profile].[Local Code A Set 1].[All]" dimensionUniqueName="[Client Profile]" displayFolder="" count="2" unbalanced="0"/>
    <cacheHierarchy uniqueName="[Client Profile].[Local Code A Set 2]" caption="Local Code A Set 2" attribute="1" defaultMemberUniqueName="[Client Profile].[Local Code A Set 2].[All]" allUniqueName="[Client Profile].[Local Code A Set 2].[All]" dimensionUniqueName="[Client Profile]" displayFolder="" count="2" unbalanced="0"/>
    <cacheHierarchy uniqueName="[Client Profile].[Local Code A Set 3]" caption="Local Code A Set 3" attribute="1" defaultMemberUniqueName="[Client Profile].[Local Code A Set 3].[All]" allUniqueName="[Client Profile].[Local Code A Set 3].[All]" dimensionUniqueName="[Client Profile]" displayFolder="" count="2" unbalanced="0"/>
    <cacheHierarchy uniqueName="[Client Profile].[Local Code B Set 1]" caption="Local Code B Set 1" attribute="1" defaultMemberUniqueName="[Client Profile].[Local Code B Set 1].[All]" allUniqueName="[Client Profile].[Local Code B Set 1].[All]" dimensionUniqueName="[Client Profile]" displayFolder="" count="2" unbalanced="0"/>
    <cacheHierarchy uniqueName="[Client Profile].[Local Code B Set 2]" caption="Local Code B Set 2" attribute="1" defaultMemberUniqueName="[Client Profile].[Local Code B Set 2].[All]" allUniqueName="[Client Profile].[Local Code B Set 2].[All]" dimensionUniqueName="[Client Profile]" displayFolder="" count="2" unbalanced="0"/>
    <cacheHierarchy uniqueName="[Client Profile].[Local Code B Set 3]" caption="Local Code B Set 3" attribute="1" defaultMemberUniqueName="[Client Profile].[Local Code B Set 3].[All]" allUniqueName="[Client Profile].[Local Code B Set 3].[All]" dimensionUniqueName="[Client Profile]" displayFolder="" count="2" unbalanced="0"/>
    <cacheHierarchy uniqueName="[Client Profile].[Marital Status]" caption="Marital Status" attribute="1" defaultMemberUniqueName="[Client Profile].[Marital Status].[All]" allUniqueName="[Client Profile].[Marital Status].[All]" dimensionUniqueName="[Client Profile]" displayFolder="" count="2" unbalanced="0"/>
    <cacheHierarchy uniqueName="[Client Profile].[Nationality]" caption="Nationality" attribute="1" defaultMemberUniqueName="[Client Profile].[Nationality].[All]" allUniqueName="[Client Profile].[Nationality].[All]" dimensionUniqueName="[Client Profile]" displayFolder="" count="2" unbalanced="0"/>
    <cacheHierarchy uniqueName="[Client Profile].[Occupation]" caption="Occupation" attribute="1" defaultMemberUniqueName="[Client Profile].[Occupation].[All]" allUniqueName="[Client Profile].[Occupation].[All]" dimensionUniqueName="[Client Profile]" displayFolder="" count="2"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2" unbalanced="0"/>
    <cacheHierarchy uniqueName="[Client Profile].[RBL]" caption="RBL" attribute="1" defaultMemberUniqueName="[Client Profile].[RBL].[All]" allUniqueName="[Client Profile].[RBL].[All]" dimensionUniqueName="[Client Profile]" displayFolder="" count="2" unbalanced="0"/>
    <cacheHierarchy uniqueName="[Client Profile].[Religion or Belief]" caption="Religion or Belief" attribute="1" defaultMemberUniqueName="[Client Profile].[Religion or Belief].[All]" allUniqueName="[Client Profile].[Religion or Belief].[All]" dimensionUniqueName="[Client Profile]" displayFolder="" count="2" unbalanced="0"/>
    <cacheHierarchy uniqueName="[Client Profile].[Second Language]" caption="Second Language" attribute="1" defaultMemberUniqueName="[Client Profile].[Second Language].[All]" allUniqueName="[Client Profile].[Second Language].[All]" dimensionUniqueName="[Client Profile]" displayFolder="" count="2" unbalanced="0"/>
    <cacheHierarchy uniqueName="[Client Profile].[Sexual Orientation]" caption="Sexual Orientation" attribute="1" defaultMemberUniqueName="[Client Profile].[Sexual Orientation].[All]" allUniqueName="[Client Profile].[Sexual Orientation].[All]" dimensionUniqueName="[Client Profile]" displayFolder="" count="2"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2" unbalanced="0">
      <fieldsUsage count="2">
        <fieldUsage x="-1"/>
        <fieldUsage x="10"/>
      </fieldsUsage>
    </cacheHierarchy>
    <cacheHierarchy uniqueName="[Event Profile].[Channel]" caption="Channel" attribute="1" defaultMemberUniqueName="[Event Profile].[Channel].[All]" allUniqueName="[Event Profile].[Channel].[All]" allCaption="All" dimensionUniqueName="[Event Profile]" displayFolder="" count="2" unbalanced="0">
      <fieldsUsage count="2">
        <fieldUsage x="-1"/>
        <fieldUsage x="6"/>
      </fieldsUsage>
    </cacheHierarchy>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2" unbalanced="0"/>
    <cacheHierarchy uniqueName="[Event Profile].[Day Sheet Contact Channel]" caption="Day Sheet Contact Channel" attribute="1" defaultMemberUniqueName="[Event Profile].[Day Sheet Contact Channel].[All]" allUniqueName="[Event Profile].[Day Sheet Contact Channel].[All]" allCaption="All" dimensionUniqueName="[Event Profile]" displayFolder="" count="2" unbalanced="0">
      <fieldsUsage count="2">
        <fieldUsage x="-1"/>
        <fieldUsage x="15"/>
      </fieldsUsage>
    </cacheHierarchy>
    <cacheHierarchy uniqueName="[Event Profile].[Enquiry Closure Reason]" caption="Enquiry Closure Reason" attribute="1" defaultMemberUniqueName="[Event Profile].[Enquiry Closure Reason].[All]" allUniqueName="[Event Profile].[Enquiry Closure Reason].[All]" dimensionUniqueName="[Event Profile]" displayFolder="" count="2" unbalanced="0"/>
    <cacheHierarchy uniqueName="[Event Profile].[Enquiry Status]" caption="Enquiry Status" attribute="1" defaultMemberUniqueName="[Event Profile].[Enquiry Status].[All]" allUniqueName="[Event Profile].[Enquiry Status].[All]" dimensionUniqueName="[Event Profile]" displayFolder="" count="2" unbalanced="0"/>
    <cacheHierarchy uniqueName="[Event Profile].[Enquiry Type]" caption="Enquiry Type" attribute="1" defaultMemberUniqueName="[Event Profile].[Enquiry Type].[All]" allUniqueName="[Event Profile].[Enquiry Type].[All]" dimensionUniqueName="[Event Profile]" displayFolder="" count="2"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2"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2"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2" unbalanced="0"/>
    <cacheHierarchy uniqueName="[Event Profile].[Next Step]" caption="Next Step" attribute="1" defaultMemberUniqueName="[Event Profile].[Next Step].[All]" allUniqueName="[Event Profile].[Next Step].[All]" dimensionUniqueName="[Event Profile]" displayFolder="" count="2" unbalanced="0"/>
    <cacheHierarchy uniqueName="[Event Profile].[No Bank Account]" caption="No Bank Account" attribute="1" defaultMemberUniqueName="[Event Profile].[No Bank Account].[All]" allUniqueName="[Event Profile].[No Bank Account].[All]" dimensionUniqueName="[Event Profile]" displayFolder="" count="2"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2" unbalanced="0"/>
    <cacheHierarchy uniqueName="[Event Profile].[No Savings Held]" caption="No Savings Held" attribute="1" defaultMemberUniqueName="[Event Profile].[No Savings Held].[All]" allUniqueName="[Event Profile].[No Savings Held].[All]" dimensionUniqueName="[Event Profile]" displayFolder="" count="2" unbalanced="0"/>
    <cacheHierarchy uniqueName="[Event Profile].[Parent Gateway]" caption="Parent Gateway" attribute="1" defaultMemberUniqueName="[Event Profile].[Parent Gateway].[All]" allUniqueName="[Event Profile].[Parent Gateway].[All]" allCaption="All" dimensionUniqueName="[Event Profile]" displayFolder="" count="2" unbalanced="0">
      <fieldsUsage count="2">
        <fieldUsage x="-1"/>
        <fieldUsage x="12"/>
      </fieldsUsage>
    </cacheHierarchy>
    <cacheHierarchy uniqueName="[Event Profile].[Priority Debts Owed]" caption="Priority Debts Owed" attribute="1" defaultMemberUniqueName="[Event Profile].[Priority Debts Owed].[All]" allUniqueName="[Event Profile].[Priority Debts Owed].[All]" dimensionUniqueName="[Event Profile]" displayFolder="" count="2" unbalanced="0"/>
    <cacheHierarchy uniqueName="[Event Profile].[Receives Benefit]" caption="Receives Benefit" attribute="1" defaultMemberUniqueName="[Event Profile].[Receives Benefit].[All]" allUniqueName="[Event Profile].[Receives Benefit].[All]" dimensionUniqueName="[Event Profile]" displayFolder="" count="2" unbalanced="0"/>
    <cacheHierarchy uniqueName="[Event Profile].[Referral Details]" caption="Referral Details" attribute="1" defaultMemberUniqueName="[Event Profile].[Referral Details].[All]" allUniqueName="[Event Profile].[Referral Details].[All]" dimensionUniqueName="[Event Profile]" displayFolder="" count="2" unbalanced="0"/>
    <cacheHierarchy uniqueName="[Event Profile].[Referred By]" caption="Referred By" attribute="1" defaultMemberUniqueName="[Event Profile].[Referred By].[All]" allUniqueName="[Event Profile].[Referred By].[All]" dimensionUniqueName="[Event Profile]" displayFolder="" count="2" unbalanced="0"/>
    <cacheHierarchy uniqueName="[Event Profile].[Signposted Details]" caption="Signposted Details" attribute="1" defaultMemberUniqueName="[Event Profile].[Signposted Details].[All]" allUniqueName="[Event Profile].[Signposted Details].[All]" dimensionUniqueName="[Event Profile]" displayFolder="" count="2" unbalanced="0"/>
    <cacheHierarchy uniqueName="[Event Profile].[Signposted To]" caption="Signposted To" attribute="1" defaultMemberUniqueName="[Event Profile].[Signposted To].[All]" allUniqueName="[Event Profile].[Signposted To].[All]" dimensionUniqueName="[Event Profile]" displayFolder="" count="2"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2"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2" unbalanced="0"/>
    <cacheHierarchy uniqueName="[Event Profile].[Total Numberof Debts]" caption="Total Numberof Debts" attribute="1" defaultMemberUniqueName="[Event Profile].[Total Numberof Debts].[All]" allUniqueName="[Event Profile].[Total Numberof Debts].[All]" dimensionUniqueName="[Event Profile]" displayFolder="" count="2"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2" unbalanced="0"/>
    <cacheHierarchy uniqueName="[Event Profile].[Universal Credit]" caption="Universal Credit" attribute="1" defaultMemberUniqueName="[Event Profile].[Universal Credit].[All]" allUniqueName="[Event Profile].[Universal Credit].[All]" dimensionUniqueName="[Event Profile]" displayFolder="" count="2" unbalanced="0"/>
    <cacheHierarchy uniqueName="[Event Profile].[Urgency]" caption="Urgency" attribute="1" defaultMemberUniqueName="[Event Profile].[Urgency].[All]" allUniqueName="[Event Profile].[Urgency].[All]" dimensionUniqueName="[Event Profile]" displayFolder="" count="2"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2" unbalanced="0"/>
    <cacheHierarchy uniqueName="[Local Funder].[Funder]" caption="Funder" attribute="1" defaultMemberUniqueName="[Local Funder].[Funder].[All]" allUniqueName="[Local Funder].[Funder].[All]" dimensionUniqueName="[Local Funder]" displayFolder="" count="2" unbalanced="0"/>
    <cacheHierarchy uniqueName="[Local Funder].[Funder ID]" caption="Funder ID" attribute="1" keyAttribute="1" defaultMemberUniqueName="[Local Funder].[Funder ID].[All]" allUniqueName="[Local Funder].[Funder ID].[All]" dimensionUniqueName="[Local Funder]" displayFolder="" count="2" unbalanced="0"/>
    <cacheHierarchy uniqueName="[Local Organisation].[Bureau]" caption="Bureau" attribute="1" defaultMemberUniqueName="[Local Organisation].[Bureau].[All]" allUniqueName="[Local Organisation].[Bureau].[All]" dimensionUniqueName="[Local Organisation]" displayFolder="" count="2" unbalanced="0"/>
    <cacheHierarchy uniqueName="[Local Organisation].[CAB]" caption="CAB" defaultMemberUniqueName="[Local Organisation].[CAB].[All]" allUniqueName="[Local Organisation].[CAB].[All]" dimensionUniqueName="[Local Organisation]" displayFolder="" count="5" unbalanced="0">
      <fieldsUsage count="3">
        <fieldUsage x="-1"/>
        <fieldUsage x="2"/>
        <fieldUsage x="3"/>
      </fieldsUsage>
    </cacheHierarchy>
    <cacheHierarchy uniqueName="[Local Organisation].[Government Region]" caption="Government Region" attribute="1" defaultMemberUniqueName="[Local Organisation].[Government Region].[All]" allUniqueName="[Local Organisation].[Government Region].[All]" dimensionUniqueName="[Local Organisation]" displayFolder="" count="2" unbalanced="0"/>
    <cacheHierarchy uniqueName="[Local Organisation].[Member]" caption="Member" attribute="1" defaultMemberUniqueName="[Local Organisation].[Member].[All]" allUniqueName="[Local Organisation].[Member].[All]" dimensionUniqueName="[Local Organisation]" displayFolder="" count="2" unbalanced="0"/>
    <cacheHierarchy uniqueName="[Local Organisation].[Outreach]" caption="Outreach" attribute="1" defaultMemberUniqueName="[Local Organisation].[Outreach].[All]" allUniqueName="[Local Organisation].[Outreach].[All]" dimensionUniqueName="[Local Organisation]" displayFolder="" count="2" unbalanced="0"/>
    <cacheHierarchy uniqueName="[Measures]" caption="Measures" attribute="1" keyAttribute="1" defaultMemberUniqueName="[Measures].[Number Of Activities]" dimensionUniqueName="[Measures]" displayFolder="" measures="1" count="1" unbalanced="0">
      <fieldsUsage count="1">
        <fieldUsage x="4"/>
      </fieldsUsage>
    </cacheHierarchy>
    <cacheHierarchy uniqueName="[Monthly Calendar].[Financial]" caption="Financial" time="1" defaultMemberUniqueName="[Monthly Calendar].[Financial].[All]" allUniqueName="[Monthly Calendar].[Financial].[All]" dimensionUniqueName="[Monthly Calendar]" displayFolder="" count="4" unbalanced="0">
      <fieldsUsage count="2">
        <fieldUsage x="-1"/>
        <fieldUsage x="1"/>
      </fieldsUsage>
    </cacheHierarchy>
    <cacheHierarchy uniqueName="[Monthly Calendar].[Month Name]" caption="Month Name" attribute="1" time="1" defaultMemberUniqueName="[Monthly Calendar].[Month Name].[All]" allUniqueName="[Monthly Calendar].[Month Name].[All]" dimensionUniqueName="[Monthly Calendar]" displayFolder="" count="2" unbalanced="0"/>
    <cacheHierarchy uniqueName="[Monthly Calendar].[Month Number]" caption="Month Number" attribute="1" time="1" defaultMemberUniqueName="[Monthly Calendar].[Month Number].[All]" allUniqueName="[Monthly Calendar].[Month Number].[All]" dimensionUniqueName="[Monthly Calendar]" displayFolder="" count="2" unbalanced="0"/>
    <cacheHierarchy uniqueName="[Monthly Calendar].[Quarter]" caption="Quarter" attribute="1" time="1" defaultMemberUniqueName="[Monthly Calendar].[Quarter].[All]" allUniqueName="[Monthly Calendar].[Quarter].[All]" dimensionUniqueName="[Monthly Calendar]" displayFolder="" count="2" unbalanced="0"/>
    <cacheHierarchy uniqueName="[Monthly Calendar].[Year]" caption="Year" attribute="1" time="1" defaultMemberUniqueName="[Monthly Calendar].[Year].[All]" allUniqueName="[Monthly Calendar].[Year].[All]" dimensionUniqueName="[Monthly Calendar]" displayFolder="" count="2" unbalanced="0"/>
    <cacheHierarchy uniqueName="[National Funder].[Funder]" caption="Funder" attribute="1" defaultMemberUniqueName="[National Funder].[Funder].[All]" allUniqueName="[National Funder].[Funder].[All]" allCaption="All" dimensionUniqueName="[National Funder]" displayFolder="" count="2" unbalanced="0"/>
    <cacheHierarchy uniqueName="[National Funder].[Funder ID]" caption="Funder ID" attribute="1" keyAttribute="1" defaultMemberUniqueName="[National Funder].[Funder ID].[All]" allUniqueName="[National Funder].[Funder ID].[All]" dimensionUniqueName="[National Funder]" displayFolder="" count="2" unbalanced="0"/>
    <cacheHierarchy uniqueName="[National Funder].[Funder Type]" caption="Funder Type" attribute="1" defaultMemberUniqueName="[National Funder].[Funder Type].[All]" allUniqueName="[National Funder].[Funder Type].[All]" dimensionUniqueName="[National Funder]" displayFolder="" count="2" unbalanced="0"/>
    <cacheHierarchy uniqueName="[Work Level].[Work Level]" caption="Work Level" attribute="1" defaultMemberUniqueName="[Work Level].[Work Level].[All]" allUniqueName="[Work Level].[Work Level].[All]" allCaption="All" dimensionUniqueName="[Work Level]" displayFolder="" count="2" unbalanced="0">
      <fieldsUsage count="2">
        <fieldUsage x="-1"/>
        <fieldUsage x="14"/>
      </fieldsUsage>
    </cacheHierarchy>
    <cacheHierarchy uniqueName="[Work Type].[Work Type]" caption="Work Type" attribute="1" defaultMemberUniqueName="[Work Type].[Work Type].[All]" allUniqueName="[Work Type].[Work Type].[All]" dimensionUniqueName="[Work Type]" displayFolder="" count="2" unbalanced="0">
      <fieldsUsage count="2">
        <fieldUsage x="-1"/>
        <fieldUsage x="13"/>
      </fieldsUsage>
    </cacheHierarchy>
    <cacheHierarchy uniqueName="[Client Event Type].[Client Event Type ID]" caption="Client Event Type ID" attribute="1" keyAttribute="1" defaultMemberUniqueName="[Client Event Type].[Client Event Type ID].[All]" allUniqueName="[Client Event Type].[Client Event Type ID].[All]" dimensionUniqueName="[Client Event Type]" displayFolder="" count="2"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2"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2" unbalanced="0" hidden="1"/>
    <cacheHierarchy uniqueName="[Event Profile].[Event Profile ID]" caption="Event Profile ID" attribute="1" keyAttribute="1" defaultMemberUniqueName="[Event Profile].[Event Profile ID].[All]" allUniqueName="[Event Profile].[Event Profile ID].[All]" dimensionUniqueName="[Event Profile]" displayFolder="" count="2" unbalanced="0" hidden="1"/>
    <cacheHierarchy uniqueName="[Local Funder].[Funder Type]" caption="Funder Type" attribute="1" defaultMemberUniqueName="[Local Funder].[Funder Type].[All]" allUniqueName="[Local Funder].[Funder Type].[All]" dimensionUniqueName="[Local Funder]" displayFolder="" count="2"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2" unbalanced="0" hidden="1"/>
    <cacheHierarchy uniqueName="[Monthly Calendar].[Date ID]" caption="Date ID" attribute="1" time="1" keyAttribute="1" defaultMemberUniqueName="[Monthly Calendar].[Date ID].[All]" allUniqueName="[Monthly Calendar].[Date ID].[All]" dimensionUniqueName="[Monthly Calendar]" displayFolder="" count="2" unbalanced="0" hidden="1"/>
    <cacheHierarchy uniqueName="[Work Level].[Work Level ID]" caption="Work Level ID" attribute="1" keyAttribute="1" defaultMemberUniqueName="[Work Level].[Work Level ID].[All]" allUniqueName="[Work Level].[Work Level ID].[All]" dimensionUniqueName="[Work Level]" displayFolder="" count="2" unbalanced="0" hidden="1"/>
    <cacheHierarchy uniqueName="[Work Type].[Work Type ID]" caption="Work Type ID" attribute="1" keyAttribute="1" defaultMemberUniqueName="[Work Type].[Work Type ID].[All]" allUniqueName="[Work Type].[Work Type ID].[All]" dimensionUniqueName="[Work Type]" displayFolder="" count="2" unbalanced="0" hidden="1"/>
    <cacheHierarchy uniqueName="[Measures].[Number Of Activities]" caption="Number Of Activities" measure="1" displayFolder="" measureGroup="Activities" count="0"/>
    <cacheHierarchy uniqueName="[Measures].[Unique Client Count]" caption="Unique Client Count" measure="1" displayFolder="" measureGroup="Client" count="0"/>
  </cacheHierarchies>
  <kpis count="0"/>
  <tupleCache>
    <entries count="321">
      <n v="1433">
        <tpls c="5">
          <tpl fld="0" item="4"/>
          <tpl hier="84" item="6"/>
          <tpl fld="4" item="0"/>
          <tpl hier="89" item="2"/>
          <tpl hier="94" item="4"/>
        </tpls>
      </n>
      <n v="3282">
        <tpls c="5">
          <tpl hier="2" item="0"/>
          <tpl hier="84" item="6"/>
          <tpl fld="4" item="0"/>
          <tpl hier="89" item="2"/>
          <tpl hier="94" item="4"/>
        </tpls>
      </n>
      <n v="1">
        <tpls c="5">
          <tpl fld="0" item="5"/>
          <tpl hier="84" item="6"/>
          <tpl fld="4" item="0"/>
          <tpl hier="89" item="2"/>
          <tpl hier="94" item="4"/>
        </tpls>
      </n>
      <n v="3698">
        <tpls c="5">
          <tpl hier="2" item="1"/>
          <tpl hier="84" item="6"/>
          <tpl fld="4" item="0"/>
          <tpl hier="89" item="2"/>
          <tpl hier="94" item="4"/>
        </tpls>
      </n>
      <n v="506">
        <tpls c="5">
          <tpl fld="0" item="0"/>
          <tpl hier="84" item="6"/>
          <tpl fld="4" item="0"/>
          <tpl hier="89" item="2"/>
          <tpl hier="94" item="4"/>
        </tpls>
      </n>
      <n v="2535">
        <tpls c="5">
          <tpl fld="0" item="6"/>
          <tpl hier="84" item="6"/>
          <tpl fld="4" item="0"/>
          <tpl hier="89" item="2"/>
          <tpl hier="94" item="4"/>
        </tpls>
      </n>
      <n v="1550">
        <tpls c="5">
          <tpl fld="0" item="5"/>
          <tpl hier="84" item="6"/>
          <tpl hier="88" item="4294967295"/>
          <tpl hier="89" item="2"/>
          <tpl hier="94" item="4"/>
        </tpls>
      </n>
      <n v="1299">
        <tpls c="5">
          <tpl fld="0" item="2"/>
          <tpl hier="84" item="6"/>
          <tpl fld="4" item="0"/>
          <tpl hier="89" item="2"/>
          <tpl hier="94" item="4"/>
        </tpls>
      </n>
      <n v="2771">
        <tpls c="5">
          <tpl fld="0" item="3"/>
          <tpl hier="84" item="6"/>
          <tpl fld="4" item="0"/>
          <tpl hier="89" item="2"/>
          <tpl hier="94" item="4"/>
        </tpls>
      </n>
      <n v="2891">
        <tpls c="5">
          <tpl fld="0" item="1"/>
          <tpl hier="84" item="6"/>
          <tpl fld="4" item="0"/>
          <tpl hier="89" item="2"/>
          <tpl hier="94" item="4"/>
        </tpls>
      </n>
      <n v="4108">
        <tpls c="5">
          <tpl hier="2" item="5"/>
          <tpl hier="84" item="6"/>
          <tpl fld="4" item="0"/>
          <tpl hier="89" item="2"/>
          <tpl hier="94" item="4"/>
        </tpls>
      </n>
      <n v="2314">
        <tpls c="6">
          <tpl fld="0" item="6"/>
          <tpl hier="84" item="6"/>
          <tpl hier="88" item="4294967295"/>
          <tpl hier="89" item="2"/>
          <tpl hier="94" item="4"/>
          <tpl fld="13" item="0"/>
        </tpls>
      </n>
      <n v="11654">
        <tpls c="5">
          <tpl fld="0" item="6"/>
          <tpl hier="84" item="6"/>
          <tpl hier="88" item="4294967295"/>
          <tpl hier="89" item="2"/>
          <tpl hier="94" item="4"/>
        </tpls>
      </n>
      <n v="135">
        <tpls c="6">
          <tpl fld="0" item="4"/>
          <tpl hier="84" item="6"/>
          <tpl hier="88" item="4294967295"/>
          <tpl hier="89" item="2"/>
          <tpl hier="94" item="4"/>
          <tpl fld="13" item="0"/>
        </tpls>
      </n>
      <n v="3">
        <tpls c="7">
          <tpl fld="0" item="1"/>
          <tpl fld="6" item="0"/>
          <tpl fld="12" item="0"/>
          <tpl hier="84" item="6"/>
          <tpl hier="88" item="4294967295"/>
          <tpl hier="89" item="2"/>
          <tpl hier="94" item="4"/>
        </tpls>
      </n>
      <n v="901">
        <tpls c="6">
          <tpl fld="0" item="5"/>
          <tpl hier="84" item="6"/>
          <tpl hier="88" item="4294967295"/>
          <tpl hier="89" item="2"/>
          <tpl hier="94" item="4"/>
          <tpl fld="14" item="0"/>
        </tpls>
      </n>
      <m>
        <tpls c="6">
          <tpl fld="0" item="4"/>
          <tpl hier="84" item="6"/>
          <tpl hier="88" item="4294967295"/>
          <tpl hier="89" item="2"/>
          <tpl hier="94" item="4"/>
          <tpl fld="13" item="2"/>
        </tpls>
      </m>
      <m>
        <tpls c="6">
          <tpl fld="0" item="4"/>
          <tpl hier="84" item="6"/>
          <tpl hier="88" item="4294967295"/>
          <tpl hier="89" item="2"/>
          <tpl hier="94" item="4"/>
          <tpl fld="13" item="1"/>
        </tpls>
      </m>
      <n v="163">
        <tpls c="6">
          <tpl fld="0" item="0"/>
          <tpl hier="84" item="6"/>
          <tpl hier="88" item="4294967295"/>
          <tpl hier="89" item="2"/>
          <tpl hier="94" item="4"/>
          <tpl fld="13" item="0"/>
        </tpls>
      </n>
      <n v="5282">
        <tpls c="5">
          <tpl fld="0" item="3"/>
          <tpl hier="84" item="6"/>
          <tpl hier="88" item="4294967295"/>
          <tpl hier="89" item="2"/>
          <tpl hier="94" item="4"/>
        </tpls>
      </n>
      <n v="45">
        <tpls c="7">
          <tpl fld="0" item="1"/>
          <tpl fld="6" item="2"/>
          <tpl fld="12" item="1"/>
          <tpl hier="84" item="6"/>
          <tpl hier="88" item="4294967295"/>
          <tpl hier="89" item="2"/>
          <tpl hier="94" item="4"/>
        </tpls>
      </n>
      <n v="1475">
        <tpls c="6">
          <tpl fld="0" item="4"/>
          <tpl hier="84" item="6"/>
          <tpl hier="88" item="4294967295"/>
          <tpl hier="89" item="2"/>
          <tpl hier="94" item="4"/>
          <tpl fld="13" item="4"/>
        </tpls>
      </n>
      <n v="1118">
        <tpls c="6">
          <tpl fld="0" item="0"/>
          <tpl hier="84" item="6"/>
          <tpl hier="88" item="4294967295"/>
          <tpl hier="89" item="2"/>
          <tpl hier="94" item="4"/>
          <tpl fld="13" item="4"/>
        </tpls>
      </n>
      <n v="205">
        <tpls c="7">
          <tpl fld="0" item="1"/>
          <tpl fld="6" item="5"/>
          <tpl fld="12" item="1"/>
          <tpl hier="84" item="6"/>
          <tpl hier="88" item="4294967295"/>
          <tpl hier="89" item="2"/>
          <tpl hier="94" item="4"/>
        </tpls>
      </n>
      <n v="14">
        <tpls c="7">
          <tpl fld="0" item="1"/>
          <tpl fld="6" item="0"/>
          <tpl hier="67" item="4294967295"/>
          <tpl hier="84" item="6"/>
          <tpl hier="88" item="4294967295"/>
          <tpl hier="89" item="2"/>
          <tpl hier="94" item="4"/>
        </tpls>
      </n>
      <m>
        <tpls c="7">
          <tpl fld="0" item="1"/>
          <tpl fld="6" item="1"/>
          <tpl fld="12" item="0"/>
          <tpl hier="84" item="6"/>
          <tpl hier="88" item="4294967295"/>
          <tpl hier="89" item="2"/>
          <tpl hier="94" item="4"/>
        </tpls>
      </m>
      <n v="30">
        <tpls c="6">
          <tpl fld="0" item="3"/>
          <tpl hier="84" item="6"/>
          <tpl hier="88" item="4294967295"/>
          <tpl hier="89" item="2"/>
          <tpl hier="94" item="4"/>
          <tpl fld="13" item="0"/>
        </tpls>
      </n>
      <n v="261">
        <tpls c="7">
          <tpl fld="0" item="1"/>
          <tpl fld="6" item="5"/>
          <tpl hier="67" item="4294967295"/>
          <tpl hier="84" item="6"/>
          <tpl hier="88" item="4294967295"/>
          <tpl hier="89" item="2"/>
          <tpl hier="94" item="4"/>
        </tpls>
      </n>
      <n v="1">
        <tpls c="7">
          <tpl fld="0" item="1"/>
          <tpl fld="6" item="2"/>
          <tpl fld="12" item="0"/>
          <tpl hier="84" item="6"/>
          <tpl hier="88" item="4294967295"/>
          <tpl hier="89" item="2"/>
          <tpl hier="94" item="4"/>
        </tpls>
      </n>
      <m>
        <tpls c="6">
          <tpl fld="0" item="3"/>
          <tpl hier="84" item="6"/>
          <tpl hier="88" item="4294967295"/>
          <tpl hier="89" item="2"/>
          <tpl hier="94" item="4"/>
          <tpl fld="13" item="2"/>
        </tpls>
      </m>
      <m>
        <tpls c="6">
          <tpl fld="0" item="5"/>
          <tpl fld="12" item="1"/>
          <tpl hier="84" item="6"/>
          <tpl hier="88" item="4294967295"/>
          <tpl hier="89" item="2"/>
          <tpl hier="94" item="4"/>
        </tpls>
      </m>
      <n v="4578">
        <tpls c="5">
          <tpl fld="0" item="4"/>
          <tpl hier="84" item="6"/>
          <tpl hier="88" item="4294967295"/>
          <tpl hier="89" item="2"/>
          <tpl hier="94" item="4"/>
        </tpls>
      </n>
      <n v="90">
        <tpls c="6">
          <tpl fld="0" item="5"/>
          <tpl fld="15" item="3"/>
          <tpl hier="84" item="6"/>
          <tpl hier="88" item="4294967295"/>
          <tpl hier="89" item="2"/>
          <tpl hier="94" item="4"/>
        </tpls>
      </n>
      <n v="530">
        <tpls c="6">
          <tpl fld="0" item="1"/>
          <tpl fld="12" item="0"/>
          <tpl hier="84" item="6"/>
          <tpl hier="88" item="4294967295"/>
          <tpl hier="89" item="2"/>
          <tpl hier="94" item="4"/>
        </tpls>
      </n>
      <m>
        <tpls c="6">
          <tpl fld="0" item="3"/>
          <tpl hier="84" item="6"/>
          <tpl hier="88" item="4294967295"/>
          <tpl hier="89" item="2"/>
          <tpl hier="94" item="4"/>
          <tpl fld="13" item="1"/>
        </tpls>
      </m>
      <n v="7042">
        <tpls c="6">
          <tpl hier="2" item="7"/>
          <tpl hier="67" item="4294967295"/>
          <tpl hier="84" item="6"/>
          <tpl hier="88" item="4294967295"/>
          <tpl hier="89" item="2"/>
          <tpl hier="94" item="4"/>
        </tpls>
      </n>
      <n v="1550">
        <tpls c="6">
          <tpl fld="0" item="5"/>
          <tpl hier="84" item="6"/>
          <tpl hier="88" item="4294967295"/>
          <tpl hier="89" item="2"/>
          <tpl hier="94" item="4"/>
          <tpl hier="97" item="4294967295"/>
        </tpls>
      </n>
      <n v="2922">
        <tpls c="6">
          <tpl hier="2" item="7"/>
          <tpl fld="12" item="2"/>
          <tpl hier="84" item="6"/>
          <tpl hier="88" item="4294967295"/>
          <tpl hier="89" item="2"/>
          <tpl hier="94" item="4"/>
        </tpls>
      </n>
      <m>
        <tpls c="7">
          <tpl fld="0" item="1"/>
          <tpl fld="6" item="3"/>
          <tpl fld="12" item="0"/>
          <tpl hier="84" item="6"/>
          <tpl hier="88" item="4294967295"/>
          <tpl hier="89" item="2"/>
          <tpl hier="94" item="4"/>
        </tpls>
      </m>
      <n v="11">
        <tpls c="7">
          <tpl fld="0" item="1"/>
          <tpl fld="6" item="0"/>
          <tpl fld="12" item="1"/>
          <tpl hier="84" item="6"/>
          <tpl hier="88" item="4294967295"/>
          <tpl hier="89" item="2"/>
          <tpl hier="94" item="4"/>
        </tpls>
      </n>
      <n v="1550">
        <tpls c="6">
          <tpl fld="0" item="5"/>
          <tpl hier="67" item="4294967295"/>
          <tpl hier="84" item="6"/>
          <tpl hier="88" item="4294967295"/>
          <tpl hier="89" item="2"/>
          <tpl hier="94" item="4"/>
        </tpls>
      </n>
      <m>
        <tpls c="6">
          <tpl fld="0" item="5"/>
          <tpl fld="15" item="0"/>
          <tpl hier="84" item="6"/>
          <tpl hier="88" item="4294967295"/>
          <tpl hier="89" item="2"/>
          <tpl hier="94" item="4"/>
        </tpls>
      </m>
      <n v="4120">
        <tpls c="7">
          <tpl fld="0" item="1"/>
          <tpl hier="54" item="4294967295"/>
          <tpl hier="67" item="4294967295"/>
          <tpl hier="84" item="6"/>
          <tpl hier="88" item="4294967295"/>
          <tpl hier="89" item="2"/>
          <tpl hier="94" item="4"/>
        </tpls>
      </n>
      <n v="1392">
        <tpls c="6">
          <tpl fld="0" item="5"/>
          <tpl fld="15" item="2"/>
          <tpl hier="84" item="6"/>
          <tpl hier="88" item="4294967295"/>
          <tpl hier="89" item="2"/>
          <tpl hier="94" item="4"/>
        </tpls>
      </n>
      <n v="5">
        <tpls c="7">
          <tpl fld="0" item="1"/>
          <tpl fld="6" item="3"/>
          <tpl hier="67" item="4294967295"/>
          <tpl hier="84" item="6"/>
          <tpl hier="88" item="4294967295"/>
          <tpl hier="89" item="2"/>
          <tpl hier="94" item="4"/>
        </tpls>
      </n>
      <n v="1">
        <tpls c="7">
          <tpl fld="0" item="1"/>
          <tpl fld="6" item="1"/>
          <tpl hier="67" item="4294967295"/>
          <tpl hier="84" item="6"/>
          <tpl hier="88" item="4294967295"/>
          <tpl hier="89" item="2"/>
          <tpl hier="94" item="4"/>
        </tpls>
      </n>
      <n v="530">
        <tpls c="6">
          <tpl hier="2" item="7"/>
          <tpl fld="12" item="0"/>
          <tpl hier="84" item="6"/>
          <tpl hier="88" item="4294967295"/>
          <tpl hier="89" item="2"/>
          <tpl hier="94" item="4"/>
        </tpls>
      </n>
      <n v="6955">
        <tpls c="6">
          <tpl fld="0" item="6"/>
          <tpl hier="84" item="6"/>
          <tpl hier="88" item="4294967295"/>
          <tpl hier="89" item="2"/>
          <tpl hier="94" item="4"/>
          <tpl fld="13" item="3"/>
        </tpls>
      </n>
      <n v="943">
        <tpls c="6">
          <tpl fld="0" item="0"/>
          <tpl hier="84" item="6"/>
          <tpl hier="88" item="4294967295"/>
          <tpl hier="89" item="2"/>
          <tpl hier="94" item="4"/>
          <tpl fld="13" item="3"/>
        </tpls>
      </n>
      <n v="5">
        <tpls c="7">
          <tpl fld="0" item="1"/>
          <tpl fld="6" item="3"/>
          <tpl fld="12" item="1"/>
          <tpl hier="84" item="6"/>
          <tpl hier="88" item="4294967295"/>
          <tpl hier="89" item="2"/>
          <tpl hier="94" item="4"/>
        </tpls>
      </n>
      <n v="19">
        <tpls c="7">
          <tpl fld="0" item="1"/>
          <tpl fld="6" item="9"/>
          <tpl hier="67" item="4294967295"/>
          <tpl hier="84" item="6"/>
          <tpl hier="88" item="4294967295"/>
          <tpl hier="89" item="2"/>
          <tpl hier="94" item="4"/>
        </tpls>
      </n>
      <n v="68">
        <tpls c="6">
          <tpl fld="0" item="5"/>
          <tpl fld="15" item="1"/>
          <tpl hier="84" item="6"/>
          <tpl hier="88" item="4294967295"/>
          <tpl hier="89" item="2"/>
          <tpl hier="94" item="4"/>
        </tpls>
      </n>
      <m>
        <tpls c="7">
          <tpl fld="0" item="1"/>
          <tpl fld="6" item="7"/>
          <tpl fld="12" item="0"/>
          <tpl hier="84" item="6"/>
          <tpl hier="88" item="4294967295"/>
          <tpl hier="89" item="2"/>
          <tpl hier="94" item="4"/>
        </tpls>
      </m>
      <n v="3590">
        <tpls c="7">
          <tpl fld="0" item="1"/>
          <tpl hier="54" item="4294967295"/>
          <tpl fld="12" item="1"/>
          <tpl hier="84" item="6"/>
          <tpl hier="88" item="4294967295"/>
          <tpl hier="89" item="2"/>
          <tpl hier="94" item="4"/>
        </tpls>
      </n>
      <m>
        <tpls c="6">
          <tpl fld="0" item="0"/>
          <tpl hier="84" item="6"/>
          <tpl hier="88" item="4294967295"/>
          <tpl hier="89" item="2"/>
          <tpl hier="94" item="4"/>
          <tpl fld="13" item="2"/>
        </tpls>
      </m>
      <n v="2224">
        <tpls c="5">
          <tpl fld="0" item="0"/>
          <tpl hier="84" item="6"/>
          <tpl hier="88" item="4294967295"/>
          <tpl hier="89" item="2"/>
          <tpl hier="94" item="4"/>
        </tpls>
      </n>
      <n v="530">
        <tpls c="7">
          <tpl fld="0" item="1"/>
          <tpl hier="54" item="4294967295"/>
          <tpl fld="12" item="0"/>
          <tpl hier="84" item="6"/>
          <tpl hier="88" item="4294967295"/>
          <tpl hier="89" item="2"/>
          <tpl hier="94" item="4"/>
        </tpls>
      </n>
      <n v="56">
        <tpls c="7">
          <tpl fld="0" item="1"/>
          <tpl fld="6" item="5"/>
          <tpl fld="12" item="0"/>
          <tpl hier="84" item="6"/>
          <tpl hier="88" item="4294967295"/>
          <tpl hier="89" item="2"/>
          <tpl hier="94" item="4"/>
        </tpls>
      </n>
      <n v="816">
        <tpls c="6">
          <tpl fld="0" item="2"/>
          <tpl fld="6" item="0"/>
          <tpl hier="84" item="6"/>
          <tpl hier="88" item="4294967295"/>
          <tpl hier="89" item="2"/>
          <tpl hier="94" item="4"/>
        </tpls>
      </n>
      <n v="70">
        <tpls c="6">
          <tpl fld="0" item="3"/>
          <tpl hier="84" item="6"/>
          <tpl hier="88" item="4294967295"/>
          <tpl hier="89" item="2"/>
          <tpl hier="94" item="4"/>
          <tpl fld="13" item="4"/>
        </tpls>
      </n>
      <n v="1">
        <tpls c="7">
          <tpl fld="0" item="1"/>
          <tpl fld="6" item="1"/>
          <tpl fld="12" item="1"/>
          <tpl hier="84" item="6"/>
          <tpl hier="88" item="4294967295"/>
          <tpl hier="89" item="2"/>
          <tpl hier="94" item="4"/>
        </tpls>
      </n>
      <n v="1550">
        <tpls c="6">
          <tpl fld="0" item="5"/>
          <tpl hier="56" item="4294967295"/>
          <tpl hier="84" item="6"/>
          <tpl hier="88" item="4294967295"/>
          <tpl hier="89" item="2"/>
          <tpl hier="94" item="4"/>
        </tpls>
      </n>
      <m>
        <tpls c="6">
          <tpl fld="0" item="2"/>
          <tpl fld="6" item="7"/>
          <tpl hier="84" item="6"/>
          <tpl hier="88" item="4294967295"/>
          <tpl hier="89" item="2"/>
          <tpl hier="94" item="4"/>
        </tpls>
      </m>
      <n v="3590">
        <tpls c="6">
          <tpl hier="2" item="7"/>
          <tpl fld="12" item="1"/>
          <tpl hier="84" item="6"/>
          <tpl hier="88" item="4294967295"/>
          <tpl hier="89" item="2"/>
          <tpl hier="94" item="4"/>
        </tpls>
      </n>
      <n v="801">
        <tpls c="6">
          <tpl fld="0" item="1"/>
          <tpl hier="84" item="6"/>
          <tpl hier="88" item="4294967295"/>
          <tpl hier="89" item="2"/>
          <tpl hier="94" item="4"/>
          <tpl fld="14" item="4"/>
        </tpls>
      </n>
      <n v="46">
        <tpls c="7">
          <tpl fld="0" item="1"/>
          <tpl fld="6" item="2"/>
          <tpl hier="67" item="4294967295"/>
          <tpl hier="84" item="6"/>
          <tpl hier="88" item="4294967295"/>
          <tpl hier="89" item="2"/>
          <tpl hier="94" item="4"/>
        </tpls>
      </n>
      <m>
        <tpls c="7">
          <tpl fld="0" item="1"/>
          <tpl fld="6" item="4"/>
          <tpl fld="12" item="1"/>
          <tpl hier="84" item="6"/>
          <tpl hier="88" item="4294967295"/>
          <tpl hier="89" item="2"/>
          <tpl hier="94" item="4"/>
        </tpls>
      </m>
      <n v="1037">
        <tpls c="6">
          <tpl fld="0" item="1"/>
          <tpl hier="84" item="6"/>
          <tpl hier="88" item="4294967295"/>
          <tpl hier="89" item="2"/>
          <tpl hier="94" item="4"/>
          <tpl fld="14" item="3"/>
        </tpls>
      </n>
      <n v="1">
        <tpls c="7">
          <tpl fld="0" item="1"/>
          <tpl fld="6" item="9"/>
          <tpl fld="12" item="0"/>
          <tpl hier="84" item="6"/>
          <tpl hier="88" item="4294967295"/>
          <tpl hier="89" item="2"/>
          <tpl hier="94" item="4"/>
        </tpls>
      </n>
      <n v="18">
        <tpls c="7">
          <tpl fld="0" item="1"/>
          <tpl fld="6" item="9"/>
          <tpl fld="12" item="1"/>
          <tpl hier="84" item="6"/>
          <tpl hier="88" item="4294967295"/>
          <tpl hier="89" item="2"/>
          <tpl hier="94" item="4"/>
        </tpls>
      </n>
      <m>
        <tpls c="7">
          <tpl fld="0" item="1"/>
          <tpl fld="6" item="4"/>
          <tpl hier="67" item="4294967295"/>
          <tpl hier="84" item="6"/>
          <tpl hier="88" item="4294967295"/>
          <tpl hier="89" item="2"/>
          <tpl hier="94" item="4"/>
        </tpls>
      </m>
      <m>
        <tpls c="7">
          <tpl fld="0" item="1"/>
          <tpl fld="6" item="4"/>
          <tpl fld="12" item="0"/>
          <tpl hier="84" item="6"/>
          <tpl hier="88" item="4294967295"/>
          <tpl hier="89" item="2"/>
          <tpl hier="94" item="4"/>
        </tpls>
      </m>
      <m>
        <tpls c="6">
          <tpl fld="0" item="1"/>
          <tpl fld="12" item="2"/>
          <tpl hier="84" item="6"/>
          <tpl hier="88" item="4294967295"/>
          <tpl hier="89" item="2"/>
          <tpl hier="94" item="4"/>
        </tpls>
      </m>
      <n v="1372">
        <tpls c="6">
          <tpl fld="0" item="2"/>
          <tpl fld="12" item="2"/>
          <tpl hier="84" item="6"/>
          <tpl hier="88" item="4294967295"/>
          <tpl hier="89" item="2"/>
          <tpl hier="94" item="4"/>
        </tpls>
      </n>
      <m>
        <tpls c="6">
          <tpl fld="0" item="2"/>
          <tpl fld="12" item="0"/>
          <tpl hier="84" item="6"/>
          <tpl hier="88" item="4294967295"/>
          <tpl hier="89" item="2"/>
          <tpl hier="94" item="4"/>
        </tpls>
      </m>
      <n v="1550">
        <tpls c="6">
          <tpl fld="0" item="5"/>
          <tpl fld="12" item="2"/>
          <tpl hier="84" item="6"/>
          <tpl hier="88" item="4294967295"/>
          <tpl hier="89" item="2"/>
          <tpl hier="94" item="4"/>
        </tpls>
      </n>
      <m>
        <tpls c="6">
          <tpl fld="0" item="2"/>
          <tpl fld="12" item="1"/>
          <tpl hier="84" item="6"/>
          <tpl hier="88" item="4294967295"/>
          <tpl hier="89" item="2"/>
          <tpl hier="94" item="4"/>
        </tpls>
      </m>
      <n v="3590">
        <tpls c="6">
          <tpl fld="0" item="1"/>
          <tpl fld="12" item="1"/>
          <tpl hier="84" item="6"/>
          <tpl hier="88" item="4294967295"/>
          <tpl hier="89" item="2"/>
          <tpl hier="94" item="4"/>
        </tpls>
      </n>
      <n v="4120">
        <tpls c="6">
          <tpl fld="0" item="1"/>
          <tpl hier="67" item="4294967295"/>
          <tpl hier="84" item="6"/>
          <tpl hier="88" item="4294967295"/>
          <tpl hier="89" item="2"/>
          <tpl hier="94" item="4"/>
        </tpls>
      </n>
      <n v="1372">
        <tpls c="6">
          <tpl fld="0" item="2"/>
          <tpl hier="67" item="4294967295"/>
          <tpl hier="84" item="6"/>
          <tpl hier="88" item="4294967295"/>
          <tpl hier="89" item="2"/>
          <tpl hier="94" item="4"/>
        </tpls>
      </n>
      <m>
        <tpls c="7">
          <tpl fld="0" item="1"/>
          <tpl fld="6" item="7"/>
          <tpl fld="12" item="1"/>
          <tpl hier="84" item="6"/>
          <tpl hier="88" item="4294967295"/>
          <tpl hier="89" item="2"/>
          <tpl hier="94" item="4"/>
        </tpls>
      </m>
      <m>
        <tpls c="7">
          <tpl fld="0" item="1"/>
          <tpl fld="6" item="7"/>
          <tpl hier="67" item="4294967295"/>
          <tpl hier="84" item="6"/>
          <tpl hier="88" item="4294967295"/>
          <tpl hier="89" item="2"/>
          <tpl hier="94" item="4"/>
        </tpls>
      </m>
      <n v="4">
        <tpls c="6">
          <tpl fld="0" item="2"/>
          <tpl fld="6" item="2"/>
          <tpl hier="84" item="6"/>
          <tpl hier="88" item="4294967295"/>
          <tpl hier="89" item="2"/>
          <tpl hier="94" item="4"/>
        </tpls>
      </n>
      <n v="1372">
        <tpls c="6">
          <tpl fld="0" item="2"/>
          <tpl hier="54" item="4294967295"/>
          <tpl hier="84" item="6"/>
          <tpl hier="88" item="4294967295"/>
          <tpl hier="89" item="2"/>
          <tpl hier="94" item="4"/>
        </tpls>
      </n>
      <n v="324">
        <tpls c="6">
          <tpl fld="0" item="2"/>
          <tpl fld="6" item="6"/>
          <tpl hier="84" item="6"/>
          <tpl hier="88" item="4294967295"/>
          <tpl hier="89" item="2"/>
          <tpl hier="94" item="4"/>
        </tpls>
      </n>
      <n v="5">
        <tpls c="6">
          <tpl fld="0" item="2"/>
          <tpl fld="6" item="8"/>
          <tpl hier="84" item="6"/>
          <tpl hier="88" item="4294967295"/>
          <tpl hier="89" item="2"/>
          <tpl hier="94" item="4"/>
        </tpls>
      </n>
      <m>
        <tpls c="6">
          <tpl fld="0" item="2"/>
          <tpl fld="6" item="4"/>
          <tpl hier="84" item="6"/>
          <tpl hier="88" item="4294967295"/>
          <tpl hier="89" item="2"/>
          <tpl hier="94" item="4"/>
        </tpls>
      </m>
      <n v="223">
        <tpls c="6">
          <tpl fld="0" item="2"/>
          <tpl fld="6" item="5"/>
          <tpl hier="84" item="6"/>
          <tpl hier="88" item="4294967295"/>
          <tpl hier="89" item="2"/>
          <tpl hier="94" item="4"/>
        </tpls>
      </n>
      <n v="851">
        <tpls c="6">
          <tpl fld="0" item="1"/>
          <tpl hier="84" item="6"/>
          <tpl hier="88" item="4294967295"/>
          <tpl hier="89" item="2"/>
          <tpl hier="94" item="4"/>
          <tpl fld="14" item="2"/>
        </tpls>
      </n>
      <n v="295">
        <tpls c="6">
          <tpl fld="0" item="1"/>
          <tpl hier="84" item="6"/>
          <tpl hier="88" item="4294967295"/>
          <tpl hier="89" item="2"/>
          <tpl hier="94" item="4"/>
          <tpl fld="14" item="5"/>
        </tpls>
      </n>
      <n v="813">
        <tpls c="6">
          <tpl fld="0" item="1"/>
          <tpl hier="84" item="6"/>
          <tpl hier="88" item="4294967295"/>
          <tpl hier="89" item="2"/>
          <tpl hier="94" item="4"/>
          <tpl fld="14" item="6"/>
        </tpls>
      </n>
      <n v="322">
        <tpls c="6">
          <tpl fld="0" item="1"/>
          <tpl hier="84" item="6"/>
          <tpl hier="88" item="4294967295"/>
          <tpl hier="89" item="2"/>
          <tpl hier="94" item="4"/>
          <tpl fld="14" item="1"/>
        </tpls>
      </n>
      <n v="3305">
        <tpls c="7">
          <tpl fld="0" item="1"/>
          <tpl fld="6" item="6"/>
          <tpl fld="12" item="1"/>
          <tpl hier="84" item="6"/>
          <tpl hier="88" item="4294967295"/>
          <tpl hier="89" item="2"/>
          <tpl hier="94" item="4"/>
        </tpls>
      </n>
      <n v="469">
        <tpls c="7">
          <tpl fld="0" item="1"/>
          <tpl fld="6" item="6"/>
          <tpl fld="12" item="0"/>
          <tpl hier="84" item="6"/>
          <tpl hier="88" item="4294967295"/>
          <tpl hier="89" item="2"/>
          <tpl hier="94" item="4"/>
        </tpls>
      </n>
      <n v="3774">
        <tpls c="7">
          <tpl fld="0" item="1"/>
          <tpl fld="6" item="6"/>
          <tpl hier="67" item="4294967295"/>
          <tpl hier="84" item="6"/>
          <tpl hier="88" item="4294967295"/>
          <tpl hier="89" item="2"/>
          <tpl hier="94" item="4"/>
        </tpls>
      </n>
      <m>
        <tpls c="6">
          <tpl fld="0" item="5"/>
          <tpl fld="12" item="0"/>
          <tpl hier="84" item="6"/>
          <tpl hier="88" item="4294967295"/>
          <tpl hier="89" item="2"/>
          <tpl hier="94" item="4"/>
        </tpls>
      </m>
      <m>
        <tpls c="6">
          <tpl fld="0" item="6"/>
          <tpl hier="84" item="6"/>
          <tpl hier="88" item="4294967295"/>
          <tpl hier="89" item="2"/>
          <tpl hier="94" item="4"/>
          <tpl fld="13" item="1"/>
        </tpls>
      </m>
      <n v="2378">
        <tpls c="6">
          <tpl fld="0" item="6"/>
          <tpl hier="84" item="6"/>
          <tpl hier="88" item="4294967295"/>
          <tpl hier="89" item="2"/>
          <tpl hier="94" item="4"/>
          <tpl fld="13" item="4"/>
        </tpls>
      </n>
      <n v="2968">
        <tpls c="6">
          <tpl fld="0" item="4"/>
          <tpl hier="84" item="6"/>
          <tpl hier="88" item="4294967295"/>
          <tpl hier="89" item="2"/>
          <tpl hier="94" item="4"/>
          <tpl fld="13" item="3"/>
        </tpls>
      </n>
      <n v="5182">
        <tpls c="6">
          <tpl fld="0" item="3"/>
          <tpl hier="84" item="6"/>
          <tpl hier="88" item="4294967295"/>
          <tpl hier="89" item="2"/>
          <tpl hier="94" item="4"/>
          <tpl fld="13" item="3"/>
        </tpls>
      </n>
      <n v="23738">
        <tpls c="5">
          <tpl hier="2" item="8"/>
          <tpl hier="84" item="6"/>
          <tpl hier="88" item="4294967295"/>
          <tpl hier="89" item="2"/>
          <tpl hier="94" item="4"/>
        </tpls>
      </n>
      <n v="7">
        <tpls c="6">
          <tpl fld="0" item="6"/>
          <tpl hier="84" item="6"/>
          <tpl hier="88" item="4294967295"/>
          <tpl hier="89" item="2"/>
          <tpl hier="94" item="4"/>
          <tpl fld="13" item="2"/>
        </tpls>
      </n>
      <n v="649">
        <tpls c="6">
          <tpl fld="0" item="5"/>
          <tpl hier="84" item="6"/>
          <tpl hier="88" item="4294967295"/>
          <tpl hier="89" item="2"/>
          <tpl hier="94" item="4"/>
          <tpl fld="14" item="2"/>
        </tpls>
      </n>
      <m>
        <tpls c="6">
          <tpl fld="0" item="0"/>
          <tpl hier="84" item="6"/>
          <tpl hier="88" item="4294967295"/>
          <tpl hier="89" item="2"/>
          <tpl hier="94" item="4"/>
          <tpl fld="13" item="1"/>
        </tpls>
      </m>
      <n v="73">
        <tpls c="6">
          <tpl hier="2" item="9"/>
          <tpl fld="11" item="13"/>
          <tpl hier="84" item="6"/>
          <tpl fld="4" item="0"/>
          <tpl hier="89" item="2"/>
          <tpl hier="94" item="4"/>
        </tpls>
      </n>
      <n v="46">
        <tpls c="6">
          <tpl hier="2" item="9"/>
          <tpl fld="11" item="14"/>
          <tpl hier="84" item="6"/>
          <tpl fld="4" item="0"/>
          <tpl hier="89" item="2"/>
          <tpl hier="94" item="4"/>
        </tpls>
      </n>
      <n v="16">
        <tpls c="6">
          <tpl hier="2" item="9"/>
          <tpl fld="8" item="0"/>
          <tpl hier="84" item="6"/>
          <tpl fld="4" item="0"/>
          <tpl hier="89" item="2"/>
          <tpl hier="94" item="4"/>
        </tpls>
      </n>
      <n v="90">
        <tpls c="6">
          <tpl hier="2" item="9"/>
          <tpl fld="8" item="5"/>
          <tpl hier="84" item="6"/>
          <tpl fld="4" item="0"/>
          <tpl hier="89" item="2"/>
          <tpl hier="94" item="4"/>
        </tpls>
      </n>
      <n v="4108">
        <tpls c="6">
          <tpl hier="2" item="9"/>
          <tpl hier="32" item="4294967295"/>
          <tpl hier="84" item="6"/>
          <tpl fld="4" item="0"/>
          <tpl hier="89" item="2"/>
          <tpl hier="94" item="4"/>
        </tpls>
      </n>
      <n v="88">
        <tpls c="6">
          <tpl hier="2" item="9"/>
          <tpl fld="11" item="15"/>
          <tpl hier="84" item="6"/>
          <tpl fld="4" item="0"/>
          <tpl hier="89" item="2"/>
          <tpl hier="94" item="4"/>
        </tpls>
      </n>
      <n v="81">
        <tpls c="6">
          <tpl hier="2" item="9"/>
          <tpl fld="11" item="29"/>
          <tpl hier="84" item="6"/>
          <tpl fld="4" item="0"/>
          <tpl hier="89" item="2"/>
          <tpl hier="94" item="4"/>
        </tpls>
      </n>
      <n v="2">
        <tpls c="6">
          <tpl hier="2" item="9"/>
          <tpl fld="11" item="16"/>
          <tpl hier="84" item="6"/>
          <tpl fld="4" item="0"/>
          <tpl hier="89" item="2"/>
          <tpl hier="94" item="4"/>
        </tpls>
      </n>
      <n v="51">
        <tpls c="6">
          <tpl hier="2" item="9"/>
          <tpl fld="11" item="30"/>
          <tpl hier="84" item="6"/>
          <tpl fld="4" item="0"/>
          <tpl hier="89" item="2"/>
          <tpl hier="94" item="4"/>
        </tpls>
      </n>
      <n v="4">
        <tpls c="6">
          <tpl hier="2" item="9"/>
          <tpl fld="11" item="17"/>
          <tpl hier="84" item="6"/>
          <tpl fld="4" item="0"/>
          <tpl hier="89" item="2"/>
          <tpl hier="94" item="4"/>
        </tpls>
      </n>
      <n v="3">
        <tpls c="6">
          <tpl hier="2" item="9"/>
          <tpl fld="11" item="28"/>
          <tpl hier="84" item="6"/>
          <tpl fld="4" item="0"/>
          <tpl hier="89" item="2"/>
          <tpl hier="94" item="4"/>
        </tpls>
      </n>
      <n v="6">
        <tpls c="6">
          <tpl hier="2" item="9"/>
          <tpl fld="7" item="1"/>
          <tpl hier="84" item="6"/>
          <tpl fld="4" item="0"/>
          <tpl hier="89" item="2"/>
          <tpl hier="94" item="4"/>
        </tpls>
      </n>
      <m>
        <tpls c="6">
          <tpl hier="2" item="9"/>
          <tpl fld="11" item="0"/>
          <tpl hier="84" item="6"/>
          <tpl fld="4" item="0"/>
          <tpl hier="89" item="2"/>
          <tpl hier="94" item="4"/>
        </tpls>
      </m>
      <n v="13">
        <tpls c="6">
          <tpl hier="2" item="9"/>
          <tpl fld="11" item="61"/>
          <tpl hier="84" item="6"/>
          <tpl fld="4" item="0"/>
          <tpl hier="89" item="2"/>
          <tpl hier="94" item="4"/>
        </tpls>
      </n>
      <n v="39">
        <tpls c="6">
          <tpl hier="2" item="9"/>
          <tpl fld="8" item="2"/>
          <tpl hier="84" item="6"/>
          <tpl fld="4" item="0"/>
          <tpl hier="89" item="2"/>
          <tpl hier="94" item="4"/>
        </tpls>
      </n>
      <n v="70">
        <tpls c="6">
          <tpl hier="2" item="9"/>
          <tpl fld="11" item="45"/>
          <tpl hier="84" item="6"/>
          <tpl fld="4" item="0"/>
          <tpl hier="89" item="2"/>
          <tpl hier="94" item="4"/>
        </tpls>
      </n>
      <n v="10">
        <tpls c="6">
          <tpl hier="2" item="9"/>
          <tpl fld="11" item="6"/>
          <tpl hier="84" item="6"/>
          <tpl fld="4" item="0"/>
          <tpl hier="89" item="2"/>
          <tpl hier="94" item="4"/>
        </tpls>
      </n>
      <n v="5">
        <tpls c="6">
          <tpl hier="2" item="9"/>
          <tpl fld="8" item="3"/>
          <tpl hier="84" item="6"/>
          <tpl fld="4" item="0"/>
          <tpl hier="89" item="2"/>
          <tpl hier="94" item="4"/>
        </tpls>
      </n>
      <m>
        <tpls c="6">
          <tpl hier="2" item="9"/>
          <tpl fld="11" item="22"/>
          <tpl hier="84" item="6"/>
          <tpl fld="4" item="0"/>
          <tpl hier="89" item="2"/>
          <tpl hier="94" item="4"/>
        </tpls>
      </m>
      <n v="78">
        <tpls c="6">
          <tpl hier="2" item="9"/>
          <tpl fld="11" item="32"/>
          <tpl hier="84" item="6"/>
          <tpl fld="4" item="0"/>
          <tpl hier="89" item="2"/>
          <tpl hier="94" item="4"/>
        </tpls>
      </n>
      <m>
        <tpls c="6">
          <tpl hier="2" item="9"/>
          <tpl fld="11" item="20"/>
          <tpl hier="84" item="6"/>
          <tpl fld="4" item="0"/>
          <tpl hier="89" item="2"/>
          <tpl hier="94" item="4"/>
        </tpls>
      </m>
      <n v="4">
        <tpls c="6">
          <tpl hier="2" item="9"/>
          <tpl fld="8" item="13"/>
          <tpl hier="84" item="6"/>
          <tpl fld="4" item="0"/>
          <tpl hier="89" item="2"/>
          <tpl hier="94" item="4"/>
        </tpls>
      </n>
      <n v="67">
        <tpls c="6">
          <tpl hier="2" item="9"/>
          <tpl fld="11" item="62"/>
          <tpl hier="84" item="6"/>
          <tpl fld="4" item="0"/>
          <tpl hier="89" item="2"/>
          <tpl hier="94" item="4"/>
        </tpls>
      </n>
      <n v="17">
        <tpls c="6">
          <tpl hier="2" item="9"/>
          <tpl fld="8" item="6"/>
          <tpl hier="84" item="6"/>
          <tpl fld="4" item="0"/>
          <tpl hier="89" item="2"/>
          <tpl hier="94" item="4"/>
        </tpls>
      </n>
      <n v="2494">
        <tpls c="6">
          <tpl hier="2" item="9"/>
          <tpl fld="7" item="4"/>
          <tpl hier="84" item="6"/>
          <tpl fld="4" item="0"/>
          <tpl hier="89" item="2"/>
          <tpl hier="94" item="4"/>
        </tpls>
      </n>
      <n v="4">
        <tpls c="6">
          <tpl hier="2" item="9"/>
          <tpl fld="8" item="16"/>
          <tpl hier="84" item="6"/>
          <tpl fld="4" item="0"/>
          <tpl hier="89" item="2"/>
          <tpl hier="94" item="4"/>
        </tpls>
      </n>
      <n v="88">
        <tpls c="6">
          <tpl hier="2" item="9"/>
          <tpl fld="11" item="9"/>
          <tpl hier="84" item="6"/>
          <tpl fld="4" item="0"/>
          <tpl hier="89" item="2"/>
          <tpl hier="94" item="4"/>
        </tpls>
      </n>
      <n v="83">
        <tpls c="6">
          <tpl hier="2" item="9"/>
          <tpl fld="11" item="69"/>
          <tpl hier="84" item="6"/>
          <tpl fld="4" item="0"/>
          <tpl hier="89" item="2"/>
          <tpl hier="94" item="4"/>
        </tpls>
      </n>
      <n v="94">
        <tpls c="6">
          <tpl hier="2" item="9"/>
          <tpl fld="11" item="71"/>
          <tpl hier="84" item="6"/>
          <tpl fld="4" item="0"/>
          <tpl hier="89" item="2"/>
          <tpl hier="94" item="4"/>
        </tpls>
      </n>
      <n v="11">
        <tpls c="6">
          <tpl hier="2" item="9"/>
          <tpl fld="8" item="8"/>
          <tpl hier="84" item="6"/>
          <tpl fld="4" item="0"/>
          <tpl hier="89" item="2"/>
          <tpl hier="94" item="4"/>
        </tpls>
      </n>
      <n v="78">
        <tpls c="6">
          <tpl hier="2" item="9"/>
          <tpl fld="11" item="73"/>
          <tpl hier="84" item="6"/>
          <tpl fld="4" item="0"/>
          <tpl hier="89" item="2"/>
          <tpl hier="94" item="4"/>
        </tpls>
      </n>
      <n v="84">
        <tpls c="6">
          <tpl hier="2" item="9"/>
          <tpl fld="11" item="76"/>
          <tpl hier="84" item="6"/>
          <tpl fld="4" item="0"/>
          <tpl hier="89" item="2"/>
          <tpl hier="94" item="4"/>
        </tpls>
      </n>
      <n v="149">
        <tpls c="6">
          <tpl hier="2" item="9"/>
          <tpl fld="8" item="15"/>
          <tpl hier="84" item="6"/>
          <tpl fld="4" item="0"/>
          <tpl hier="89" item="2"/>
          <tpl hier="94" item="4"/>
        </tpls>
      </n>
      <n v="47">
        <tpls c="6">
          <tpl hier="2" item="9"/>
          <tpl fld="11" item="50"/>
          <tpl hier="84" item="6"/>
          <tpl fld="4" item="0"/>
          <tpl hier="89" item="2"/>
          <tpl hier="94" item="4"/>
        </tpls>
      </n>
      <n v="19">
        <tpls c="6">
          <tpl hier="2" item="9"/>
          <tpl fld="11" item="8"/>
          <tpl hier="84" item="6"/>
          <tpl fld="4" item="0"/>
          <tpl hier="89" item="2"/>
          <tpl hier="94" item="4"/>
        </tpls>
      </n>
      <n v="1">
        <tpls c="6">
          <tpl hier="2" item="9"/>
          <tpl fld="11" item="78"/>
          <tpl hier="84" item="6"/>
          <tpl fld="4" item="0"/>
          <tpl hier="89" item="2"/>
          <tpl hier="94" item="4"/>
        </tpls>
      </n>
      <n v="64">
        <tpls c="6">
          <tpl hier="2" item="9"/>
          <tpl fld="11" item="24"/>
          <tpl hier="84" item="6"/>
          <tpl fld="4" item="0"/>
          <tpl hier="89" item="2"/>
          <tpl hier="94" item="4"/>
        </tpls>
      </n>
      <n v="71">
        <tpls c="6">
          <tpl hier="2" item="9"/>
          <tpl fld="11" item="60"/>
          <tpl hier="84" item="6"/>
          <tpl fld="4" item="0"/>
          <tpl hier="89" item="2"/>
          <tpl hier="94" item="4"/>
        </tpls>
      </n>
      <n v="102">
        <tpls c="6">
          <tpl hier="2" item="9"/>
          <tpl fld="8" item="17"/>
          <tpl hier="84" item="6"/>
          <tpl fld="4" item="0"/>
          <tpl hier="89" item="2"/>
          <tpl hier="94" item="4"/>
        </tpls>
      </n>
      <n v="1">
        <tpls c="6">
          <tpl hier="2" item="9"/>
          <tpl fld="11" item="1"/>
          <tpl hier="84" item="6"/>
          <tpl fld="4" item="0"/>
          <tpl hier="89" item="2"/>
          <tpl hier="94" item="4"/>
        </tpls>
      </n>
      <m>
        <tpls c="6">
          <tpl hier="2" item="9"/>
          <tpl fld="11" item="23"/>
          <tpl hier="84" item="6"/>
          <tpl fld="4" item="0"/>
          <tpl hier="89" item="2"/>
          <tpl hier="94" item="4"/>
        </tpls>
      </m>
      <n v="80">
        <tpls c="6">
          <tpl hier="2" item="9"/>
          <tpl fld="11" item="67"/>
          <tpl hier="84" item="6"/>
          <tpl fld="4" item="0"/>
          <tpl hier="89" item="2"/>
          <tpl hier="94" item="4"/>
        </tpls>
      </n>
      <n v="92">
        <tpls c="6">
          <tpl hier="2" item="9"/>
          <tpl fld="11" item="47"/>
          <tpl hier="84" item="6"/>
          <tpl fld="4" item="0"/>
          <tpl hier="89" item="2"/>
          <tpl hier="94" item="4"/>
        </tpls>
      </n>
      <n v="5">
        <tpls c="6">
          <tpl hier="2" item="9"/>
          <tpl fld="11" item="26"/>
          <tpl hier="84" item="6"/>
          <tpl fld="4" item="0"/>
          <tpl hier="89" item="2"/>
          <tpl hier="94" item="4"/>
        </tpls>
      </n>
      <m>
        <tpls c="6">
          <tpl hier="2" item="9"/>
          <tpl fld="11" item="11"/>
          <tpl hier="84" item="6"/>
          <tpl fld="4" item="0"/>
          <tpl hier="89" item="2"/>
          <tpl hier="94" item="4"/>
        </tpls>
      </m>
      <n v="31">
        <tpls c="6">
          <tpl hier="2" item="9"/>
          <tpl fld="11" item="33"/>
          <tpl hier="84" item="6"/>
          <tpl fld="4" item="0"/>
          <tpl hier="89" item="2"/>
          <tpl hier="94" item="4"/>
        </tpls>
      </n>
      <n v="15">
        <tpls c="6">
          <tpl hier="2" item="9"/>
          <tpl fld="8" item="14"/>
          <tpl hier="84" item="6"/>
          <tpl fld="4" item="0"/>
          <tpl hier="89" item="2"/>
          <tpl hier="94" item="4"/>
        </tpls>
      </n>
      <m>
        <tpls c="6">
          <tpl hier="2" item="9"/>
          <tpl fld="11" item="88"/>
          <tpl hier="84" item="6"/>
          <tpl fld="4" item="0"/>
          <tpl hier="89" item="2"/>
          <tpl hier="94" item="4"/>
        </tpls>
      </m>
      <m>
        <tpls c="6">
          <tpl hier="2" item="9"/>
          <tpl fld="11" item="55"/>
          <tpl hier="84" item="6"/>
          <tpl fld="4" item="0"/>
          <tpl hier="89" item="2"/>
          <tpl hier="94" item="4"/>
        </tpls>
      </m>
      <m>
        <tpls c="6">
          <tpl hier="2" item="9"/>
          <tpl fld="11" item="53"/>
          <tpl hier="84" item="6"/>
          <tpl fld="4" item="0"/>
          <tpl hier="89" item="2"/>
          <tpl hier="94" item="4"/>
        </tpls>
      </m>
      <m>
        <tpls c="7">
          <tpl hier="2" item="9"/>
          <tpl fld="9" item="1"/>
          <tpl fld="10" item="0"/>
          <tpl hier="84" item="6"/>
          <tpl fld="4" item="0"/>
          <tpl hier="89" item="2"/>
          <tpl hier="94" item="4"/>
        </tpls>
      </m>
      <m>
        <tpls c="6">
          <tpl hier="2" item="9"/>
          <tpl fld="7" item="0"/>
          <tpl hier="84" item="6"/>
          <tpl fld="4" item="0"/>
          <tpl hier="89" item="2"/>
          <tpl hier="94" item="4"/>
        </tpls>
      </m>
      <n v="99">
        <tpls c="6">
          <tpl hier="2" item="9"/>
          <tpl fld="11" item="56"/>
          <tpl hier="84" item="6"/>
          <tpl fld="4" item="0"/>
          <tpl hier="89" item="2"/>
          <tpl hier="94" item="4"/>
        </tpls>
      </n>
      <n v="64">
        <tpls c="6">
          <tpl hier="2" item="9"/>
          <tpl fld="11" item="43"/>
          <tpl hier="84" item="6"/>
          <tpl fld="4" item="0"/>
          <tpl hier="89" item="2"/>
          <tpl hier="94" item="4"/>
        </tpls>
      </n>
      <m>
        <tpls c="7">
          <tpl hier="2" item="9"/>
          <tpl fld="9" item="3"/>
          <tpl fld="10" item="3"/>
          <tpl hier="84" item="6"/>
          <tpl fld="4" item="0"/>
          <tpl hier="89" item="2"/>
          <tpl hier="94" item="4"/>
        </tpls>
      </m>
      <n v="84">
        <tpls c="6">
          <tpl hier="2" item="9"/>
          <tpl fld="11" item="25"/>
          <tpl hier="84" item="6"/>
          <tpl fld="4" item="0"/>
          <tpl hier="89" item="2"/>
          <tpl hier="94" item="4"/>
        </tpls>
      </n>
      <n v="89">
        <tpls c="6">
          <tpl hier="2" item="9"/>
          <tpl fld="11" item="59"/>
          <tpl hier="84" item="6"/>
          <tpl fld="4" item="0"/>
          <tpl hier="89" item="2"/>
          <tpl hier="94" item="4"/>
        </tpls>
      </n>
      <m>
        <tpls c="6">
          <tpl hier="2" item="9"/>
          <tpl fld="11" item="2"/>
          <tpl hier="84" item="6"/>
          <tpl fld="4" item="0"/>
          <tpl hier="89" item="2"/>
          <tpl hier="94" item="4"/>
        </tpls>
      </m>
      <n v="9">
        <tpls c="7">
          <tpl hier="2" item="9"/>
          <tpl fld="9" item="3"/>
          <tpl fld="10" item="5"/>
          <tpl hier="84" item="6"/>
          <tpl fld="4" item="0"/>
          <tpl hier="89" item="2"/>
          <tpl hier="94" item="4"/>
        </tpls>
      </n>
      <m>
        <tpls c="6">
          <tpl hier="2" item="9"/>
          <tpl fld="11" item="77"/>
          <tpl hier="84" item="6"/>
          <tpl fld="4" item="0"/>
          <tpl hier="89" item="2"/>
          <tpl hier="94" item="4"/>
        </tpls>
      </m>
      <m>
        <tpls c="7">
          <tpl hier="2" item="9"/>
          <tpl fld="9" item="2"/>
          <tpl fld="10" item="5"/>
          <tpl hier="84" item="6"/>
          <tpl fld="4" item="0"/>
          <tpl hier="89" item="2"/>
          <tpl hier="94" item="4"/>
        </tpls>
      </m>
      <m>
        <tpls c="7">
          <tpl hier="2" item="9"/>
          <tpl fld="9" item="1"/>
          <tpl fld="10" item="9"/>
          <tpl hier="84" item="6"/>
          <tpl fld="4" item="0"/>
          <tpl hier="89" item="2"/>
          <tpl hier="94" item="4"/>
        </tpls>
      </m>
      <n v="36">
        <tpls c="7">
          <tpl hier="2" item="9"/>
          <tpl fld="9" item="0"/>
          <tpl fld="10" item="7"/>
          <tpl hier="84" item="6"/>
          <tpl fld="4" item="0"/>
          <tpl hier="89" item="2"/>
          <tpl hier="94" item="4"/>
        </tpls>
      </n>
      <n v="7">
        <tpls c="6">
          <tpl hier="2" item="9"/>
          <tpl fld="11" item="63"/>
          <tpl hier="84" item="6"/>
          <tpl fld="4" item="0"/>
          <tpl hier="89" item="2"/>
          <tpl hier="94" item="4"/>
        </tpls>
      </n>
      <m>
        <tpls c="7">
          <tpl hier="2" item="9"/>
          <tpl fld="9" item="1"/>
          <tpl fld="10" item="7"/>
          <tpl hier="84" item="6"/>
          <tpl fld="4" item="0"/>
          <tpl hier="89" item="2"/>
          <tpl hier="94" item="4"/>
        </tpls>
      </m>
      <n v="82">
        <tpls c="6">
          <tpl hier="2" item="9"/>
          <tpl fld="11" item="74"/>
          <tpl hier="84" item="6"/>
          <tpl fld="4" item="0"/>
          <tpl hier="89" item="2"/>
          <tpl hier="94" item="4"/>
        </tpls>
      </n>
      <m>
        <tpls c="7">
          <tpl hier="2" item="9"/>
          <tpl fld="9" item="1"/>
          <tpl fld="10" item="10"/>
          <tpl hier="84" item="6"/>
          <tpl fld="4" item="0"/>
          <tpl hier="89" item="2"/>
          <tpl hier="94" item="4"/>
        </tpls>
      </m>
      <n v="2">
        <tpls c="6">
          <tpl hier="2" item="9"/>
          <tpl fld="8" item="1"/>
          <tpl hier="84" item="6"/>
          <tpl fld="4" item="0"/>
          <tpl hier="89" item="2"/>
          <tpl hier="94" item="4"/>
        </tpls>
      </n>
      <n v="31">
        <tpls c="6">
          <tpl hier="2" item="9"/>
          <tpl fld="11" item="48"/>
          <tpl hier="84" item="6"/>
          <tpl fld="4" item="0"/>
          <tpl hier="89" item="2"/>
          <tpl hier="94" item="4"/>
        </tpls>
      </n>
      <n v="80">
        <tpls c="6">
          <tpl hier="2" item="9"/>
          <tpl fld="11" item="96"/>
          <tpl hier="84" item="6"/>
          <tpl fld="4" item="0"/>
          <tpl hier="89" item="2"/>
          <tpl hier="94" item="4"/>
        </tpls>
      </n>
      <n v="9">
        <tpls c="7">
          <tpl hier="2" item="9"/>
          <tpl fld="9" item="0"/>
          <tpl fld="10" item="8"/>
          <tpl hier="84" item="6"/>
          <tpl fld="4" item="0"/>
          <tpl hier="89" item="2"/>
          <tpl hier="94" item="4"/>
        </tpls>
      </n>
      <n v="28">
        <tpls c="6">
          <tpl hier="2" item="9"/>
          <tpl fld="8" item="20"/>
          <tpl hier="84" item="6"/>
          <tpl fld="4" item="0"/>
          <tpl hier="89" item="2"/>
          <tpl hier="94" item="4"/>
        </tpls>
      </n>
      <m>
        <tpls c="6">
          <tpl hier="2" item="9"/>
          <tpl fld="11" item="57"/>
          <tpl hier="84" item="6"/>
          <tpl fld="4" item="0"/>
          <tpl hier="89" item="2"/>
          <tpl hier="94" item="4"/>
        </tpls>
      </m>
      <n v="5">
        <tpls c="6">
          <tpl hier="2" item="9"/>
          <tpl fld="11" item="27"/>
          <tpl hier="84" item="6"/>
          <tpl fld="4" item="0"/>
          <tpl hier="89" item="2"/>
          <tpl hier="94" item="4"/>
        </tpls>
      </n>
      <n v="94">
        <tpls c="6">
          <tpl hier="2" item="9"/>
          <tpl fld="11" item="66"/>
          <tpl hier="84" item="6"/>
          <tpl fld="4" item="0"/>
          <tpl hier="89" item="2"/>
          <tpl hier="94" item="4"/>
        </tpls>
      </n>
      <m>
        <tpls c="7">
          <tpl hier="2" item="9"/>
          <tpl fld="9" item="2"/>
          <tpl fld="10" item="10"/>
          <tpl hier="84" item="6"/>
          <tpl fld="4" item="0"/>
          <tpl hier="89" item="2"/>
          <tpl hier="94" item="4"/>
        </tpls>
      </m>
      <n v="54">
        <tpls c="7">
          <tpl hier="2" item="9"/>
          <tpl fld="9" item="0"/>
          <tpl fld="10" item="1"/>
          <tpl hier="84" item="6"/>
          <tpl fld="4" item="0"/>
          <tpl hier="89" item="2"/>
          <tpl hier="94" item="4"/>
        </tpls>
      </n>
      <n v="98">
        <tpls c="6">
          <tpl hier="2" item="9"/>
          <tpl fld="11" item="21"/>
          <tpl hier="84" item="6"/>
          <tpl fld="4" item="0"/>
          <tpl hier="89" item="2"/>
          <tpl hier="94" item="4"/>
        </tpls>
      </n>
      <m>
        <tpls c="7">
          <tpl hier="2" item="9"/>
          <tpl fld="9" item="2"/>
          <tpl fld="10" item="0"/>
          <tpl hier="84" item="6"/>
          <tpl fld="4" item="0"/>
          <tpl hier="89" item="2"/>
          <tpl hier="94" item="4"/>
        </tpls>
      </m>
      <n v="1">
        <tpls c="6">
          <tpl hier="2" item="9"/>
          <tpl fld="11" item="46"/>
          <tpl hier="84" item="6"/>
          <tpl fld="4" item="0"/>
          <tpl hier="89" item="2"/>
          <tpl hier="94" item="4"/>
        </tpls>
      </n>
      <n v="97">
        <tpls c="6">
          <tpl hier="2" item="9"/>
          <tpl fld="11" item="52"/>
          <tpl hier="84" item="6"/>
          <tpl fld="4" item="0"/>
          <tpl hier="89" item="2"/>
          <tpl hier="94" item="4"/>
        </tpls>
      </n>
      <n v="50">
        <tpls c="6">
          <tpl hier="2" item="9"/>
          <tpl fld="8" item="18"/>
          <tpl hier="84" item="6"/>
          <tpl fld="4" item="0"/>
          <tpl hier="89" item="2"/>
          <tpl hier="94" item="4"/>
        </tpls>
      </n>
      <n v="207">
        <tpls c="7">
          <tpl hier="2" item="9"/>
          <tpl fld="9" item="3"/>
          <tpl fld="10" item="2"/>
          <tpl hier="84" item="6"/>
          <tpl fld="4" item="0"/>
          <tpl hier="89" item="2"/>
          <tpl hier="94" item="4"/>
        </tpls>
      </n>
      <n v="16">
        <tpls c="7">
          <tpl hier="2" item="9"/>
          <tpl fld="9" item="3"/>
          <tpl fld="10" item="8"/>
          <tpl hier="84" item="6"/>
          <tpl fld="4" item="0"/>
          <tpl hier="89" item="2"/>
          <tpl hier="94" item="4"/>
        </tpls>
      </n>
      <n v="1">
        <tpls c="6">
          <tpl hier="2" item="9"/>
          <tpl fld="11" item="36"/>
          <tpl hier="84" item="6"/>
          <tpl fld="4" item="0"/>
          <tpl hier="89" item="2"/>
          <tpl hier="94" item="4"/>
        </tpls>
      </n>
      <n v="3211">
        <tpls c="6">
          <tpl hier="2" item="9"/>
          <tpl fld="8" item="4"/>
          <tpl hier="84" item="6"/>
          <tpl fld="4" item="0"/>
          <tpl hier="89" item="2"/>
          <tpl hier="94" item="4"/>
        </tpls>
      </n>
      <m>
        <tpls c="7">
          <tpl hier="2" item="9"/>
          <tpl fld="9" item="2"/>
          <tpl fld="10" item="2"/>
          <tpl hier="84" item="6"/>
          <tpl fld="4" item="0"/>
          <tpl hier="89" item="2"/>
          <tpl hier="94" item="4"/>
        </tpls>
      </m>
      <n v="7">
        <tpls c="6">
          <tpl hier="2" item="9"/>
          <tpl fld="8" item="21"/>
          <tpl hier="84" item="6"/>
          <tpl fld="4" item="0"/>
          <tpl hier="89" item="2"/>
          <tpl hier="94" item="4"/>
        </tpls>
      </n>
      <m>
        <tpls c="6">
          <tpl hier="2" item="9"/>
          <tpl fld="11" item="18"/>
          <tpl hier="84" item="6"/>
          <tpl fld="4" item="0"/>
          <tpl hier="89" item="2"/>
          <tpl hier="94" item="4"/>
        </tpls>
      </m>
      <n v="20">
        <tpls c="6">
          <tpl hier="2" item="9"/>
          <tpl fld="11" item="49"/>
          <tpl hier="84" item="6"/>
          <tpl fld="4" item="0"/>
          <tpl hier="89" item="2"/>
          <tpl hier="94" item="4"/>
        </tpls>
      </n>
      <n v="60">
        <tpls c="6">
          <tpl hier="2" item="9"/>
          <tpl fld="11" item="7"/>
          <tpl hier="84" item="6"/>
          <tpl fld="4" item="0"/>
          <tpl hier="89" item="2"/>
          <tpl hier="94" item="4"/>
        </tpls>
      </n>
      <n v="18">
        <tpls c="6">
          <tpl hier="2" item="9"/>
          <tpl fld="11" item="101"/>
          <tpl hier="84" item="6"/>
          <tpl fld="4" item="0"/>
          <tpl hier="89" item="2"/>
          <tpl hier="94" item="4"/>
        </tpls>
      </n>
      <n v="38">
        <tpls c="6">
          <tpl hier="2" item="9"/>
          <tpl fld="11" item="102"/>
          <tpl hier="84" item="6"/>
          <tpl fld="4" item="0"/>
          <tpl hier="89" item="2"/>
          <tpl hier="94" item="4"/>
        </tpls>
      </n>
      <n v="78">
        <tpls c="6">
          <tpl hier="2" item="9"/>
          <tpl fld="11" item="3"/>
          <tpl hier="84" item="6"/>
          <tpl fld="4" item="0"/>
          <tpl hier="89" item="2"/>
          <tpl hier="94" item="4"/>
        </tpls>
      </n>
      <n v="92">
        <tpls c="6">
          <tpl hier="2" item="9"/>
          <tpl fld="11" item="34"/>
          <tpl hier="84" item="6"/>
          <tpl fld="4" item="0"/>
          <tpl hier="89" item="2"/>
          <tpl hier="94" item="4"/>
        </tpls>
      </n>
      <m>
        <tpls c="6">
          <tpl hier="2" item="9"/>
          <tpl fld="11" item="103"/>
          <tpl hier="84" item="6"/>
          <tpl fld="4" item="0"/>
          <tpl hier="89" item="2"/>
          <tpl hier="94" item="4"/>
        </tpls>
      </m>
      <n v="1560">
        <tpls c="6">
          <tpl hier="2" item="9"/>
          <tpl fld="7" item="5"/>
          <tpl hier="84" item="6"/>
          <tpl fld="4" item="0"/>
          <tpl hier="89" item="2"/>
          <tpl hier="94" item="4"/>
        </tpls>
      </n>
      <n v="39">
        <tpls c="6">
          <tpl hier="2" item="9"/>
          <tpl fld="11" item="70"/>
          <tpl hier="84" item="6"/>
          <tpl fld="4" item="0"/>
          <tpl hier="89" item="2"/>
          <tpl hier="94" item="4"/>
        </tpls>
      </n>
      <m>
        <tpls c="6">
          <tpl hier="2" item="9"/>
          <tpl fld="11" item="12"/>
          <tpl hier="84" item="6"/>
          <tpl fld="4" item="0"/>
          <tpl hier="89" item="2"/>
          <tpl hier="94" item="4"/>
        </tpls>
      </m>
      <n v="71">
        <tpls c="6">
          <tpl hier="2" item="9"/>
          <tpl fld="11" item="105"/>
          <tpl hier="84" item="6"/>
          <tpl fld="4" item="0"/>
          <tpl hier="89" item="2"/>
          <tpl hier="94" item="4"/>
        </tpls>
      </n>
      <m>
        <tpls c="7">
          <tpl hier="2" item="9"/>
          <tpl fld="9" item="2"/>
          <tpl fld="10" item="9"/>
          <tpl hier="84" item="6"/>
          <tpl fld="4" item="0"/>
          <tpl hier="89" item="2"/>
          <tpl hier="94" item="4"/>
        </tpls>
      </m>
      <n v="82">
        <tpls c="6">
          <tpl hier="2" item="9"/>
          <tpl fld="11" item="41"/>
          <tpl hier="84" item="6"/>
          <tpl fld="4" item="0"/>
          <tpl hier="89" item="2"/>
          <tpl hier="94" item="4"/>
        </tpls>
      </n>
      <m>
        <tpls c="6">
          <tpl hier="2" item="9"/>
          <tpl fld="11" item="51"/>
          <tpl hier="84" item="6"/>
          <tpl fld="4" item="0"/>
          <tpl hier="89" item="2"/>
          <tpl hier="94" item="4"/>
        </tpls>
      </m>
      <m>
        <tpls c="7">
          <tpl hier="2" item="9"/>
          <tpl fld="9" item="2"/>
          <tpl fld="10" item="8"/>
          <tpl hier="84" item="6"/>
          <tpl fld="4" item="0"/>
          <tpl hier="89" item="2"/>
          <tpl hier="94" item="4"/>
        </tpls>
      </m>
      <n v="63">
        <tpls c="7">
          <tpl hier="2" item="9"/>
          <tpl fld="9" item="3"/>
          <tpl fld="10" item="10"/>
          <tpl hier="84" item="6"/>
          <tpl fld="4" item="0"/>
          <tpl hier="89" item="2"/>
          <tpl hier="94" item="4"/>
        </tpls>
      </n>
      <n v="87">
        <tpls c="6">
          <tpl hier="2" item="9"/>
          <tpl fld="11" item="10"/>
          <tpl hier="84" item="6"/>
          <tpl fld="4" item="0"/>
          <tpl hier="89" item="2"/>
          <tpl hier="94" item="4"/>
        </tpls>
      </n>
      <m>
        <tpls c="6">
          <tpl hier="2" item="9"/>
          <tpl fld="11" item="5"/>
          <tpl hier="84" item="6"/>
          <tpl fld="4" item="0"/>
          <tpl hier="89" item="2"/>
          <tpl hier="94" item="4"/>
        </tpls>
      </m>
      <m>
        <tpls c="7">
          <tpl hier="2" item="9"/>
          <tpl fld="9" item="0"/>
          <tpl fld="10" item="3"/>
          <tpl hier="84" item="6"/>
          <tpl fld="4" item="0"/>
          <tpl hier="89" item="2"/>
          <tpl hier="94" item="4"/>
        </tpls>
      </m>
      <n v="53">
        <tpls c="6">
          <tpl hier="2" item="9"/>
          <tpl fld="11" item="106"/>
          <tpl hier="84" item="6"/>
          <tpl fld="4" item="0"/>
          <tpl hier="89" item="2"/>
          <tpl hier="94" item="4"/>
        </tpls>
      </n>
      <n v="20">
        <tpls c="6">
          <tpl hier="2" item="9"/>
          <tpl fld="11" item="19"/>
          <tpl hier="84" item="6"/>
          <tpl fld="4" item="0"/>
          <tpl hier="89" item="2"/>
          <tpl hier="94" item="4"/>
        </tpls>
      </n>
      <n v="20">
        <tpls c="6">
          <tpl hier="2" item="9"/>
          <tpl fld="11" item="99"/>
          <tpl hier="84" item="6"/>
          <tpl fld="4" item="0"/>
          <tpl hier="89" item="2"/>
          <tpl hier="94" item="4"/>
        </tpls>
      </n>
      <m>
        <tpls c="7">
          <tpl hier="2" item="9"/>
          <tpl fld="9" item="1"/>
          <tpl fld="10" item="6"/>
          <tpl hier="84" item="6"/>
          <tpl fld="4" item="0"/>
          <tpl hier="89" item="2"/>
          <tpl hier="94" item="4"/>
        </tpls>
      </m>
      <m>
        <tpls c="6">
          <tpl hier="2" item="9"/>
          <tpl fld="11" item="64"/>
          <tpl hier="84" item="6"/>
          <tpl fld="4" item="0"/>
          <tpl hier="89" item="2"/>
          <tpl hier="94" item="4"/>
        </tpls>
      </m>
      <m>
        <tpls c="6">
          <tpl hier="2" item="9"/>
          <tpl fld="7" item="2"/>
          <tpl hier="84" item="6"/>
          <tpl fld="4" item="0"/>
          <tpl hier="89" item="2"/>
          <tpl hier="94" item="4"/>
        </tpls>
      </m>
      <n v="9">
        <tpls c="6">
          <tpl hier="2" item="9"/>
          <tpl fld="8" item="12"/>
          <tpl hier="84" item="6"/>
          <tpl fld="4" item="0"/>
          <tpl hier="89" item="2"/>
          <tpl hier="94" item="4"/>
        </tpls>
      </n>
      <n v="13">
        <tpls c="7">
          <tpl hier="2" item="9"/>
          <tpl fld="9" item="3"/>
          <tpl fld="10" item="0"/>
          <tpl hier="84" item="6"/>
          <tpl fld="4" item="0"/>
          <tpl hier="89" item="2"/>
          <tpl hier="94" item="4"/>
        </tpls>
      </n>
      <n v="4108">
        <tpls c="6">
          <tpl hier="2" item="9"/>
          <tpl hier="35" item="4294967295"/>
          <tpl hier="84" item="6"/>
          <tpl fld="4" item="0"/>
          <tpl hier="89" item="2"/>
          <tpl hier="94" item="4"/>
        </tpls>
      </n>
      <n v="47">
        <tpls c="6">
          <tpl hier="2" item="9"/>
          <tpl fld="7" item="6"/>
          <tpl hier="84" item="6"/>
          <tpl fld="4" item="0"/>
          <tpl hier="89" item="2"/>
          <tpl hier="94" item="4"/>
        </tpls>
      </n>
      <n v="89">
        <tpls c="6">
          <tpl hier="2" item="9"/>
          <tpl fld="11" item="4"/>
          <tpl hier="84" item="6"/>
          <tpl fld="4" item="0"/>
          <tpl hier="89" item="2"/>
          <tpl hier="94" item="4"/>
        </tpls>
      </n>
      <m>
        <tpls c="7">
          <tpl hier="2" item="9"/>
          <tpl fld="9" item="1"/>
          <tpl fld="10" item="1"/>
          <tpl hier="84" item="6"/>
          <tpl fld="4" item="0"/>
          <tpl hier="89" item="2"/>
          <tpl hier="94" item="4"/>
        </tpls>
      </m>
      <n v="1">
        <tpls c="6">
          <tpl hier="2" item="9"/>
          <tpl fld="7" item="3"/>
          <tpl hier="84" item="6"/>
          <tpl fld="4" item="0"/>
          <tpl hier="89" item="2"/>
          <tpl hier="94" item="4"/>
        </tpls>
      </n>
      <m>
        <tpls c="7">
          <tpl hier="2" item="9"/>
          <tpl fld="9" item="2"/>
          <tpl fld="10" item="6"/>
          <tpl hier="84" item="6"/>
          <tpl fld="4" item="0"/>
          <tpl hier="89" item="2"/>
          <tpl hier="94" item="4"/>
        </tpls>
      </m>
      <n v="12">
        <tpls c="6">
          <tpl hier="2" item="9"/>
          <tpl fld="8" item="7"/>
          <tpl hier="84" item="6"/>
          <tpl fld="4" item="0"/>
          <tpl hier="89" item="2"/>
          <tpl hier="94" item="4"/>
        </tpls>
      </n>
      <n v="29">
        <tpls c="6">
          <tpl hier="2" item="9"/>
          <tpl fld="11" item="54"/>
          <tpl hier="84" item="6"/>
          <tpl fld="4" item="0"/>
          <tpl hier="89" item="2"/>
          <tpl hier="94" item="4"/>
        </tpls>
      </n>
      <m>
        <tpls c="6">
          <tpl hier="2" item="9"/>
          <tpl fld="11" item="109"/>
          <tpl hier="84" item="6"/>
          <tpl fld="4" item="0"/>
          <tpl hier="89" item="2"/>
          <tpl hier="94" item="4"/>
        </tpls>
      </m>
      <m>
        <tpls c="6">
          <tpl hier="2" item="9"/>
          <tpl fld="11" item="107"/>
          <tpl hier="84" item="6"/>
          <tpl fld="4" item="0"/>
          <tpl hier="89" item="2"/>
          <tpl hier="94" item="4"/>
        </tpls>
      </m>
      <n v="5">
        <tpls c="7">
          <tpl hier="2" item="9"/>
          <tpl fld="9" item="0"/>
          <tpl fld="10" item="4"/>
          <tpl hier="84" item="6"/>
          <tpl fld="4" item="0"/>
          <tpl hier="89" item="2"/>
          <tpl hier="94" item="4"/>
        </tpls>
      </n>
      <n v="1728">
        <tpls c="7">
          <tpl hier="2" item="9"/>
          <tpl fld="9" item="2"/>
          <tpl fld="10" item="3"/>
          <tpl hier="84" item="6"/>
          <tpl fld="4" item="0"/>
          <tpl hier="89" item="2"/>
          <tpl hier="94" item="4"/>
        </tpls>
      </n>
      <n v="30">
        <tpls c="7">
          <tpl hier="2" item="9"/>
          <tpl fld="9" item="0"/>
          <tpl fld="10" item="10"/>
          <tpl hier="84" item="6"/>
          <tpl fld="4" item="0"/>
          <tpl hier="89" item="2"/>
          <tpl hier="94" item="4"/>
        </tpls>
      </n>
      <m>
        <tpls c="6">
          <tpl hier="2" item="9"/>
          <tpl fld="11" item="81"/>
          <tpl hier="84" item="6"/>
          <tpl fld="4" item="0"/>
          <tpl hier="89" item="2"/>
          <tpl hier="94" item="4"/>
        </tpls>
      </m>
      <n v="674">
        <tpls c="7">
          <tpl hier="2" item="9"/>
          <tpl fld="9" item="1"/>
          <tpl fld="10" item="3"/>
          <tpl hier="84" item="6"/>
          <tpl fld="4" item="0"/>
          <tpl hier="89" item="2"/>
          <tpl hier="94" item="4"/>
        </tpls>
      </n>
      <n v="25">
        <tpls c="6">
          <tpl hier="2" item="9"/>
          <tpl fld="8" item="24"/>
          <tpl hier="84" item="6"/>
          <tpl fld="4" item="0"/>
          <tpl hier="89" item="2"/>
          <tpl hier="94" item="4"/>
        </tpls>
      </n>
      <m>
        <tpls c="6">
          <tpl hier="2" item="9"/>
          <tpl fld="11" item="42"/>
          <tpl hier="84" item="6"/>
          <tpl fld="4" item="0"/>
          <tpl hier="89" item="2"/>
          <tpl hier="94" item="4"/>
        </tpls>
      </m>
      <n v="11">
        <tpls c="7">
          <tpl hier="2" item="9"/>
          <tpl fld="9" item="0"/>
          <tpl fld="10" item="5"/>
          <tpl hier="84" item="6"/>
          <tpl fld="4" item="0"/>
          <tpl hier="89" item="2"/>
          <tpl hier="94" item="4"/>
        </tpls>
      </n>
      <n v="2">
        <tpls c="7">
          <tpl hier="2" item="9"/>
          <tpl fld="9" item="3"/>
          <tpl fld="10" item="4"/>
          <tpl hier="84" item="6"/>
          <tpl fld="4" item="0"/>
          <tpl hier="89" item="2"/>
          <tpl hier="94" item="4"/>
        </tpls>
      </n>
      <n v="88">
        <tpls c="6">
          <tpl hier="2" item="9"/>
          <tpl fld="11" item="31"/>
          <tpl hier="84" item="6"/>
          <tpl fld="4" item="0"/>
          <tpl hier="89" item="2"/>
          <tpl hier="94" item="4"/>
        </tpls>
      </n>
      <n v="44">
        <tpls c="6">
          <tpl hier="2" item="9"/>
          <tpl fld="5" item="15"/>
          <tpl hier="84" item="6"/>
          <tpl fld="4" item="0"/>
          <tpl hier="89" item="2"/>
          <tpl hier="94" item="4"/>
        </tpls>
      </n>
      <n v="268">
        <tpls c="6">
          <tpl hier="2" item="9"/>
          <tpl fld="8" item="22"/>
          <tpl hier="84" item="6"/>
          <tpl fld="4" item="0"/>
          <tpl hier="89" item="2"/>
          <tpl hier="94" item="4"/>
        </tpls>
      </n>
      <n v="1">
        <tpls c="7">
          <tpl hier="2" item="9"/>
          <tpl fld="9" item="4"/>
          <tpl fld="10" item="3"/>
          <tpl hier="84" item="6"/>
          <tpl fld="4" item="0"/>
          <tpl hier="89" item="2"/>
          <tpl hier="94" item="4"/>
        </tpls>
      </n>
      <m>
        <tpls c="7">
          <tpl hier="2" item="9"/>
          <tpl fld="9" item="1"/>
          <tpl fld="10" item="2"/>
          <tpl hier="84" item="6"/>
          <tpl fld="4" item="0"/>
          <tpl hier="89" item="2"/>
          <tpl hier="94" item="4"/>
        </tpls>
      </m>
      <n v="2">
        <tpls c="7">
          <tpl hier="2" item="9"/>
          <tpl fld="9" item="0"/>
          <tpl fld="10" item="9"/>
          <tpl hier="84" item="6"/>
          <tpl fld="4" item="0"/>
          <tpl hier="89" item="2"/>
          <tpl hier="94" item="4"/>
        </tpls>
      </n>
      <m>
        <tpls c="7">
          <tpl hier="2" item="9"/>
          <tpl fld="9" item="2"/>
          <tpl fld="10" item="7"/>
          <tpl hier="84" item="6"/>
          <tpl fld="4" item="0"/>
          <tpl hier="89" item="2"/>
          <tpl hier="94" item="4"/>
        </tpls>
      </m>
      <n v="63">
        <tpls c="7">
          <tpl hier="2" item="9"/>
          <tpl fld="9" item="3"/>
          <tpl fld="10" item="7"/>
          <tpl hier="84" item="6"/>
          <tpl fld="4" item="0"/>
          <tpl hier="89" item="2"/>
          <tpl hier="94" item="4"/>
        </tpls>
      </n>
      <n v="562">
        <tpls c="7">
          <tpl hier="2" item="9"/>
          <tpl fld="9" item="3"/>
          <tpl fld="10" item="6"/>
          <tpl hier="84" item="6"/>
          <tpl fld="4" item="0"/>
          <tpl hier="89" item="2"/>
          <tpl hier="94" item="4"/>
        </tpls>
      </n>
      <n v="16">
        <tpls c="7">
          <tpl hier="2" item="9"/>
          <tpl fld="9" item="0"/>
          <tpl fld="10" item="0"/>
          <tpl hier="84" item="6"/>
          <tpl fld="4" item="0"/>
          <tpl hier="89" item="2"/>
          <tpl hier="94" item="4"/>
        </tpls>
      </n>
      <m>
        <tpls c="7">
          <tpl hier="2" item="9"/>
          <tpl fld="9" item="1"/>
          <tpl fld="10" item="4"/>
          <tpl hier="84" item="6"/>
          <tpl fld="4" item="0"/>
          <tpl hier="89" item="2"/>
          <tpl hier="94" item="4"/>
        </tpls>
      </m>
      <n v="1">
        <tpls c="7">
          <tpl hier="2" item="9"/>
          <tpl fld="9" item="2"/>
          <tpl fld="10" item="1"/>
          <tpl hier="84" item="6"/>
          <tpl fld="4" item="0"/>
          <tpl hier="89" item="2"/>
          <tpl hier="94" item="4"/>
        </tpls>
      </n>
      <n v="103">
        <tpls c="7">
          <tpl hier="2" item="9"/>
          <tpl fld="9" item="0"/>
          <tpl fld="10" item="2"/>
          <tpl hier="84" item="6"/>
          <tpl fld="4" item="0"/>
          <tpl hier="89" item="2"/>
          <tpl hier="94" item="4"/>
        </tpls>
      </n>
      <m>
        <tpls c="7">
          <tpl hier="2" item="9"/>
          <tpl fld="9" item="1"/>
          <tpl fld="10" item="8"/>
          <tpl hier="84" item="6"/>
          <tpl fld="4" item="0"/>
          <tpl hier="89" item="2"/>
          <tpl hier="94" item="4"/>
        </tpls>
      </m>
      <n v="28">
        <tpls c="6">
          <tpl hier="2" item="9"/>
          <tpl fld="5" item="3"/>
          <tpl hier="84" item="6"/>
          <tpl fld="4" item="0"/>
          <tpl hier="89" item="2"/>
          <tpl hier="94" item="4"/>
        </tpls>
      </n>
      <n v="4108">
        <tpls c="6">
          <tpl hier="2" item="9"/>
          <tpl hier="26" item="4294967295"/>
          <tpl hier="84" item="6"/>
          <tpl fld="4" item="0"/>
          <tpl hier="89" item="2"/>
          <tpl hier="94" item="4"/>
        </tpls>
      </n>
      <n v="93">
        <tpls c="6">
          <tpl hier="2" item="9"/>
          <tpl fld="5" item="14"/>
          <tpl hier="84" item="6"/>
          <tpl fld="4" item="0"/>
          <tpl hier="89" item="2"/>
          <tpl hier="94" item="4"/>
        </tpls>
      </n>
      <n v="3">
        <tpls c="6">
          <tpl hier="2" item="9"/>
          <tpl fld="5" item="2"/>
          <tpl hier="84" item="6"/>
          <tpl fld="4" item="0"/>
          <tpl hier="89" item="2"/>
          <tpl hier="94" item="4"/>
        </tpls>
      </n>
      <n v="449">
        <tpls c="6">
          <tpl hier="2" item="9"/>
          <tpl fld="5" item="12"/>
          <tpl hier="84" item="6"/>
          <tpl fld="4" item="0"/>
          <tpl hier="89" item="2"/>
          <tpl hier="94" item="4"/>
        </tpls>
      </n>
      <n v="259">
        <tpls c="6">
          <tpl hier="2" item="9"/>
          <tpl fld="5" item="16"/>
          <tpl hier="84" item="6"/>
          <tpl fld="4" item="0"/>
          <tpl hier="89" item="2"/>
          <tpl hier="94" item="4"/>
        </tpls>
      </n>
      <m>
        <tpls c="6">
          <tpl hier="2" item="9"/>
          <tpl fld="5" item="10"/>
          <tpl hier="84" item="6"/>
          <tpl fld="4" item="0"/>
          <tpl hier="89" item="2"/>
          <tpl hier="94" item="4"/>
        </tpls>
      </m>
      <n v="427">
        <tpls c="6">
          <tpl hier="2" item="9"/>
          <tpl fld="5" item="11"/>
          <tpl hier="84" item="6"/>
          <tpl fld="4" item="0"/>
          <tpl hier="89" item="2"/>
          <tpl hier="94" item="4"/>
        </tpls>
      </n>
      <n v="451">
        <tpls c="6">
          <tpl hier="2" item="9"/>
          <tpl fld="5" item="0"/>
          <tpl hier="84" item="6"/>
          <tpl fld="4" item="0"/>
          <tpl hier="89" item="2"/>
          <tpl hier="94" item="4"/>
        </tpls>
      </n>
      <n v="455">
        <tpls c="6">
          <tpl hier="2" item="9"/>
          <tpl fld="5" item="1"/>
          <tpl hier="84" item="6"/>
          <tpl fld="4" item="0"/>
          <tpl hier="89" item="2"/>
          <tpl hier="94" item="4"/>
        </tpls>
      </n>
      <n v="363">
        <tpls c="6">
          <tpl hier="2" item="9"/>
          <tpl fld="5" item="13"/>
          <tpl hier="84" item="6"/>
          <tpl fld="4" item="0"/>
          <tpl hier="89" item="2"/>
          <tpl hier="94" item="4"/>
        </tpls>
      </n>
      <n v="299">
        <tpls c="6">
          <tpl hier="2" item="9"/>
          <tpl fld="5" item="4"/>
          <tpl hier="84" item="6"/>
          <tpl fld="4" item="0"/>
          <tpl hier="89" item="2"/>
          <tpl hier="94" item="4"/>
        </tpls>
      </n>
      <n v="374">
        <tpls c="6">
          <tpl hier="2" item="9"/>
          <tpl fld="5" item="20"/>
          <tpl hier="84" item="6"/>
          <tpl fld="4" item="0"/>
          <tpl hier="89" item="2"/>
          <tpl hier="94" item="4"/>
        </tpls>
      </n>
      <n v="196">
        <tpls c="6">
          <tpl hier="2" item="9"/>
          <tpl fld="5" item="6"/>
          <tpl hier="84" item="6"/>
          <tpl fld="4" item="0"/>
          <tpl hier="89" item="2"/>
          <tpl hier="94" item="4"/>
        </tpls>
      </n>
      <n v="4">
        <tpls c="6">
          <tpl hier="2" item="9"/>
          <tpl fld="5" item="17"/>
          <tpl hier="84" item="6"/>
          <tpl fld="4" item="0"/>
          <tpl hier="89" item="2"/>
          <tpl hier="94" item="4"/>
        </tpls>
      </n>
      <n v="33">
        <tpls c="6">
          <tpl hier="2" item="9"/>
          <tpl fld="5" item="7"/>
          <tpl hier="84" item="6"/>
          <tpl fld="4" item="0"/>
          <tpl hier="89" item="2"/>
          <tpl hier="94" item="4"/>
        </tpls>
      </n>
      <n v="15">
        <tpls c="6">
          <tpl hier="2" item="9"/>
          <tpl fld="11" item="113"/>
          <tpl hier="84" item="6"/>
          <tpl fld="4" item="0"/>
          <tpl hier="89" item="2"/>
          <tpl hier="94" item="4"/>
        </tpls>
      </n>
      <m>
        <tpls c="6">
          <tpl hier="2" item="9"/>
          <tpl fld="11" item="90"/>
          <tpl hier="84" item="6"/>
          <tpl fld="4" item="0"/>
          <tpl hier="89" item="2"/>
          <tpl hier="94" item="4"/>
        </tpls>
      </m>
      <m>
        <tpls c="6">
          <tpl hier="2" item="9"/>
          <tpl fld="5" item="9"/>
          <tpl hier="84" item="6"/>
          <tpl fld="4" item="0"/>
          <tpl hier="89" item="2"/>
          <tpl hier="94" item="4"/>
        </tpls>
      </m>
      <n v="98">
        <tpls c="6">
          <tpl hier="2" item="9"/>
          <tpl fld="11" item="110"/>
          <tpl hier="84" item="6"/>
          <tpl fld="4" item="0"/>
          <tpl hier="89" item="2"/>
          <tpl hier="94" item="4"/>
        </tpls>
      </n>
      <n v="10">
        <tpls c="6">
          <tpl hier="2" item="9"/>
          <tpl fld="11" item="94"/>
          <tpl hier="84" item="6"/>
          <tpl fld="4" item="0"/>
          <tpl hier="89" item="2"/>
          <tpl hier="94" item="4"/>
        </tpls>
      </n>
      <m>
        <tpls c="6">
          <tpl hier="2" item="9"/>
          <tpl fld="5" item="21"/>
          <tpl hier="84" item="6"/>
          <tpl fld="4" item="0"/>
          <tpl hier="89" item="2"/>
          <tpl hier="94" item="4"/>
        </tpls>
      </m>
      <n v="3">
        <tpls c="6">
          <tpl hier="2" item="9"/>
          <tpl fld="5" item="19"/>
          <tpl hier="84" item="6"/>
          <tpl fld="4" item="0"/>
          <tpl hier="89" item="2"/>
          <tpl hier="94" item="4"/>
        </tpls>
      </n>
      <n v="1">
        <tpls c="6">
          <tpl hier="2" item="9"/>
          <tpl fld="8" item="9"/>
          <tpl hier="84" item="6"/>
          <tpl fld="4" item="0"/>
          <tpl hier="89" item="2"/>
          <tpl hier="94" item="4"/>
        </tpls>
      </n>
      <n v="84">
        <tpls c="6">
          <tpl hier="2" item="9"/>
          <tpl fld="5" item="22"/>
          <tpl hier="84" item="6"/>
          <tpl fld="4" item="0"/>
          <tpl hier="89" item="2"/>
          <tpl hier="94" item="4"/>
        </tpls>
      </n>
      <n v="15">
        <tpls c="6">
          <tpl hier="2" item="9"/>
          <tpl fld="8" item="23"/>
          <tpl hier="84" item="6"/>
          <tpl fld="4" item="0"/>
          <tpl hier="89" item="2"/>
          <tpl hier="94" item="4"/>
        </tpls>
      </n>
      <m>
        <tpls c="6">
          <tpl hier="2" item="9"/>
          <tpl fld="11" item="72"/>
          <tpl hier="84" item="6"/>
          <tpl fld="4" item="0"/>
          <tpl hier="89" item="2"/>
          <tpl hier="94" item="4"/>
        </tpls>
      </m>
      <n v="105">
        <tpls c="7">
          <tpl hier="2" item="9"/>
          <tpl fld="9" item="0"/>
          <tpl fld="10" item="6"/>
          <tpl hier="84" item="6"/>
          <tpl fld="4" item="0"/>
          <tpl hier="89" item="2"/>
          <tpl hier="94" item="4"/>
        </tpls>
      </n>
      <n v="10">
        <tpls c="6">
          <tpl hier="2" item="9"/>
          <tpl fld="8" item="11"/>
          <tpl hier="84" item="6"/>
          <tpl fld="4" item="0"/>
          <tpl hier="89" item="2"/>
          <tpl hier="94" item="4"/>
        </tpls>
      </n>
      <n v="5">
        <tpls c="6">
          <tpl hier="2" item="9"/>
          <tpl fld="8" item="10"/>
          <tpl hier="84" item="6"/>
          <tpl fld="4" item="0"/>
          <tpl hier="89" item="2"/>
          <tpl hier="94" item="4"/>
        </tpls>
      </n>
      <n v="8">
        <tpls c="7">
          <tpl hier="2" item="9"/>
          <tpl fld="9" item="3"/>
          <tpl fld="10" item="9"/>
          <tpl hier="84" item="6"/>
          <tpl fld="4" item="0"/>
          <tpl hier="89" item="2"/>
          <tpl hier="94" item="4"/>
        </tpls>
      </n>
      <n v="390">
        <tpls c="7">
          <tpl hier="2" item="9"/>
          <tpl fld="9" item="3"/>
          <tpl fld="10" item="1"/>
          <tpl hier="84" item="6"/>
          <tpl fld="4" item="0"/>
          <tpl hier="89" item="2"/>
          <tpl hier="94" item="4"/>
        </tpls>
      </n>
      <m>
        <tpls c="6">
          <tpl hier="2" item="9"/>
          <tpl fld="11" item="38"/>
          <tpl hier="84" item="6"/>
          <tpl fld="4" item="0"/>
          <tpl hier="89" item="2"/>
          <tpl hier="94" item="4"/>
        </tpls>
      </m>
      <n v="6">
        <tpls c="6">
          <tpl hier="2" item="9"/>
          <tpl fld="11" item="84"/>
          <tpl hier="84" item="6"/>
          <tpl fld="4" item="0"/>
          <tpl hier="89" item="2"/>
          <tpl hier="94" item="4"/>
        </tpls>
      </n>
      <n v="58">
        <tpls c="6">
          <tpl hier="2" item="9"/>
          <tpl fld="11" item="79"/>
          <tpl hier="84" item="6"/>
          <tpl fld="4" item="0"/>
          <tpl hier="89" item="2"/>
          <tpl hier="94" item="4"/>
        </tpls>
      </n>
      <m>
        <tpls c="6">
          <tpl hier="2" item="9"/>
          <tpl fld="5" item="18"/>
          <tpl hier="84" item="6"/>
          <tpl fld="4" item="0"/>
          <tpl hier="89" item="2"/>
          <tpl hier="94" item="4"/>
        </tpls>
      </m>
      <m>
        <tpls c="6">
          <tpl hier="2" item="9"/>
          <tpl fld="11" item="65"/>
          <tpl hier="84" item="6"/>
          <tpl fld="4" item="0"/>
          <tpl hier="89" item="2"/>
          <tpl hier="94" item="4"/>
        </tpls>
      </m>
      <n v="1">
        <tpls c="6">
          <tpl hier="2" item="9"/>
          <tpl fld="11" item="92"/>
          <tpl hier="84" item="6"/>
          <tpl fld="4" item="0"/>
          <tpl hier="89" item="2"/>
          <tpl hier="94" item="4"/>
        </tpls>
      </n>
      <n v="21">
        <tpls c="6">
          <tpl hier="2" item="9"/>
          <tpl fld="11" item="35"/>
          <tpl hier="84" item="6"/>
          <tpl fld="4" item="0"/>
          <tpl hier="89" item="2"/>
          <tpl hier="94" item="4"/>
        </tpls>
      </n>
      <m>
        <tpls c="6">
          <tpl hier="2" item="9"/>
          <tpl fld="11" item="86"/>
          <tpl hier="84" item="6"/>
          <tpl fld="4" item="0"/>
          <tpl hier="89" item="2"/>
          <tpl hier="94" item="4"/>
        </tpls>
      </m>
      <n v="6">
        <tpls c="6">
          <tpl hier="2" item="9"/>
          <tpl fld="11" item="111"/>
          <tpl hier="84" item="6"/>
          <tpl fld="4" item="0"/>
          <tpl hier="89" item="2"/>
          <tpl hier="94" item="4"/>
        </tpls>
      </n>
      <n v="71">
        <tpls c="6">
          <tpl hier="2" item="9"/>
          <tpl fld="11" item="44"/>
          <tpl hier="84" item="6"/>
          <tpl fld="4" item="0"/>
          <tpl hier="89" item="2"/>
          <tpl hier="94" item="4"/>
        </tpls>
      </n>
      <n v="37">
        <tpls c="6">
          <tpl hier="2" item="9"/>
          <tpl fld="11" item="112"/>
          <tpl hier="84" item="6"/>
          <tpl fld="4" item="0"/>
          <tpl hier="89" item="2"/>
          <tpl hier="94" item="4"/>
        </tpls>
      </n>
      <n v="9">
        <tpls c="6">
          <tpl hier="2" item="9"/>
          <tpl fld="11" item="100"/>
          <tpl hier="84" item="6"/>
          <tpl fld="4" item="0"/>
          <tpl hier="89" item="2"/>
          <tpl hier="94" item="4"/>
        </tpls>
      </n>
      <n v="13">
        <tpls c="6">
          <tpl hier="2" item="9"/>
          <tpl fld="8" item="19"/>
          <tpl hier="84" item="6"/>
          <tpl fld="4" item="0"/>
          <tpl hier="89" item="2"/>
          <tpl hier="94" item="4"/>
        </tpls>
      </n>
      <n v="1">
        <tpls c="6">
          <tpl hier="2" item="9"/>
          <tpl fld="11" item="82"/>
          <tpl hier="84" item="6"/>
          <tpl fld="4" item="0"/>
          <tpl hier="89" item="2"/>
          <tpl hier="94" item="4"/>
        </tpls>
      </n>
      <n v="75">
        <tpls c="6">
          <tpl hier="2" item="9"/>
          <tpl fld="11" item="68"/>
          <tpl hier="84" item="6"/>
          <tpl fld="4" item="0"/>
          <tpl hier="89" item="2"/>
          <tpl hier="94" item="4"/>
        </tpls>
      </n>
      <m>
        <tpls c="6">
          <tpl hier="2" item="9"/>
          <tpl fld="11" item="58"/>
          <tpl hier="84" item="6"/>
          <tpl fld="4" item="0"/>
          <tpl hier="89" item="2"/>
          <tpl hier="94" item="4"/>
        </tpls>
      </m>
      <n v="2">
        <tpls c="6">
          <tpl hier="2" item="9"/>
          <tpl fld="11" item="89"/>
          <tpl hier="84" item="6"/>
          <tpl fld="4" item="0"/>
          <tpl hier="89" item="2"/>
          <tpl hier="94" item="4"/>
        </tpls>
      </n>
      <m>
        <tpls c="6">
          <tpl hier="2" item="9"/>
          <tpl fld="11" item="93"/>
          <tpl hier="84" item="6"/>
          <tpl fld="4" item="0"/>
          <tpl hier="89" item="2"/>
          <tpl hier="94" item="4"/>
        </tpls>
      </m>
      <n v="1">
        <tpls c="6">
          <tpl hier="2" item="9"/>
          <tpl fld="11" item="75"/>
          <tpl hier="84" item="6"/>
          <tpl fld="4" item="0"/>
          <tpl hier="89" item="2"/>
          <tpl hier="94" item="4"/>
        </tpls>
      </n>
      <m>
        <tpls c="7">
          <tpl hier="2" item="9"/>
          <tpl fld="9" item="1"/>
          <tpl fld="10" item="5"/>
          <tpl hier="84" item="6"/>
          <tpl fld="4" item="0"/>
          <tpl hier="89" item="2"/>
          <tpl hier="94" item="4"/>
        </tpls>
      </m>
      <n v="97">
        <tpls c="6">
          <tpl hier="2" item="9"/>
          <tpl fld="11" item="39"/>
          <tpl hier="84" item="6"/>
          <tpl fld="4" item="0"/>
          <tpl hier="89" item="2"/>
          <tpl hier="94" item="4"/>
        </tpls>
      </n>
      <n v="94">
        <tpls c="6">
          <tpl hier="2" item="9"/>
          <tpl fld="11" item="95"/>
          <tpl hier="84" item="6"/>
          <tpl fld="4" item="0"/>
          <tpl hier="89" item="2"/>
          <tpl hier="94" item="4"/>
        </tpls>
      </n>
      <n v="455">
        <tpls c="6">
          <tpl hier="2" item="9"/>
          <tpl fld="5" item="8"/>
          <tpl hier="84" item="6"/>
          <tpl fld="4" item="0"/>
          <tpl hier="89" item="2"/>
          <tpl hier="94" item="4"/>
        </tpls>
      </n>
      <n v="63">
        <tpls c="6">
          <tpl hier="2" item="9"/>
          <tpl fld="11" item="91"/>
          <tpl hier="84" item="6"/>
          <tpl fld="4" item="0"/>
          <tpl hier="89" item="2"/>
          <tpl hier="94" item="4"/>
        </tpls>
      </n>
      <n v="8">
        <tpls c="6">
          <tpl hier="2" item="9"/>
          <tpl fld="11" item="85"/>
          <tpl hier="84" item="6"/>
          <tpl fld="4" item="0"/>
          <tpl hier="89" item="2"/>
          <tpl hier="94" item="4"/>
        </tpls>
      </n>
      <m>
        <tpls c="6">
          <tpl hier="2" item="9"/>
          <tpl fld="11" item="83"/>
          <tpl hier="84" item="6"/>
          <tpl fld="4" item="0"/>
          <tpl hier="89" item="2"/>
          <tpl hier="94" item="4"/>
        </tpls>
      </m>
      <n v="31">
        <tpls c="6">
          <tpl hier="2" item="9"/>
          <tpl fld="11" item="37"/>
          <tpl hier="84" item="6"/>
          <tpl fld="4" item="0"/>
          <tpl hier="89" item="2"/>
          <tpl hier="94" item="4"/>
        </tpls>
      </n>
      <n v="89">
        <tpls c="6">
          <tpl hier="2" item="9"/>
          <tpl fld="11" item="97"/>
          <tpl hier="84" item="6"/>
          <tpl fld="4" item="0"/>
          <tpl hier="89" item="2"/>
          <tpl hier="94" item="4"/>
        </tpls>
      </n>
      <n v="88">
        <tpls c="6">
          <tpl hier="2" item="9"/>
          <tpl fld="5" item="5"/>
          <tpl hier="84" item="6"/>
          <tpl fld="4" item="0"/>
          <tpl hier="89" item="2"/>
          <tpl hier="94" item="4"/>
        </tpls>
      </n>
      <n v="77">
        <tpls c="6">
          <tpl hier="2" item="9"/>
          <tpl fld="11" item="87"/>
          <tpl hier="84" item="6"/>
          <tpl fld="4" item="0"/>
          <tpl hier="89" item="2"/>
          <tpl hier="94" item="4"/>
        </tpls>
      </n>
      <m>
        <tpls c="6">
          <tpl hier="2" item="9"/>
          <tpl fld="11" item="98"/>
          <tpl hier="84" item="6"/>
          <tpl fld="4" item="0"/>
          <tpl hier="89" item="2"/>
          <tpl hier="94" item="4"/>
        </tpls>
      </m>
      <n v="4108">
        <tpls c="6">
          <tpl hier="2" item="9"/>
          <tpl hier="25" item="4294967295"/>
          <tpl hier="84" item="6"/>
          <tpl fld="4" item="0"/>
          <tpl hier="89" item="2"/>
          <tpl hier="94" item="4"/>
        </tpls>
      </n>
      <m>
        <tpls c="6">
          <tpl hier="2" item="9"/>
          <tpl fld="11" item="108"/>
          <tpl hier="84" item="6"/>
          <tpl fld="4" item="0"/>
          <tpl hier="89" item="2"/>
          <tpl hier="94" item="4"/>
        </tpls>
      </m>
      <m>
        <tpls c="6">
          <tpl hier="2" item="9"/>
          <tpl fld="11" item="80"/>
          <tpl hier="84" item="6"/>
          <tpl fld="4" item="0"/>
          <tpl hier="89" item="2"/>
          <tpl hier="94" item="4"/>
        </tpls>
      </m>
      <n v="94">
        <tpls c="6">
          <tpl hier="2" item="9"/>
          <tpl fld="11" item="40"/>
          <tpl hier="84" item="6"/>
          <tpl fld="4" item="0"/>
          <tpl hier="89" item="2"/>
          <tpl hier="94" item="4"/>
        </tpls>
      </n>
      <n v="4">
        <tpls c="6">
          <tpl hier="2" item="9"/>
          <tpl fld="11" item="104"/>
          <tpl hier="84" item="6"/>
          <tpl fld="4" item="0"/>
          <tpl hier="89" item="2"/>
          <tpl hier="94" item="4"/>
        </tpls>
      </n>
    </entries>
    <sets count="10">
      <set count="4" maxRank="1" setDefinition="{[Client Event Type].[Client Event Type].&amp;[Email],[Client Event Type].[Client Event Type].&amp;[Letter],[Client Event Type].[Client Event Type].&amp;[Phone call],[Client Event Type].[Client Event Type].&amp;[Face to face]}">
        <tpls c="1">
          <tpl fld="0" item="0"/>
        </tpls>
      </set>
      <set count="2" maxRank="1" setDefinition="{[Client Event Type].[Client Event Type].&amp;[Enquiry],[Client Event Type].[Client Event Type].&amp;[Gateway]}">
        <tpls c="1">
          <tpl fld="0" item="1"/>
        </tpls>
      </set>
      <set count="1" maxRank="1" setDefinition="{[Monthly Calendar].[Financial].[Year].&amp;[2016-17]}">
        <tpls c="1">
          <tpl fld="1" item="0"/>
        </tpls>
      </set>
      <set count="1" maxRank="1" setDefinition="{[Local Organisation].[CAB].[Member].&amp;[Citizens Advice Member]&amp;[Not recorded/not applicable]}">
        <tpls c="1">
          <tpl fld="3" item="0"/>
        </tpls>
      </set>
      <set count="1" maxRank="1" setDefinition="{[National Funder].[Funder].[All]}">
        <tpls c="1">
          <tpl hier="94" item="4294967295"/>
        </tpls>
      </set>
      <set count="7" maxRank="1" setDefinition="{([Client Event Type].[Client Event Type].&amp;[Phone call]),([Client Event Type].[Client Event Type].&amp;[Letter]),([Client Event Type].[Client Event Type].&amp;[Gateway]),([Client Event Type].[Client Event Type].&amp;[Face to face]),([Client Event Type].[Client Event Type].&amp;[Enquiry]),([Client Event Type].[Client Event Type].&amp;[Email]),([Client Event Type].[Client Event Type].&amp;[Day sheet])}">
        <tpls c="1">
          <tpl fld="0" item="4"/>
        </tpls>
      </set>
      <set count="1" maxRank="1" setDefinition="{[Local Organisation].[CAB].[Member].&amp;[York (member)]&amp;[Yorkshire &amp; the Humber]}">
        <tpls c="1">
          <tpl fld="3" item="1"/>
        </tpls>
      </set>
      <set count="3" maxRank="1" setDefinition="{([Client Event Type].[Client Event Type].&amp;[Gateway]),([Client Event Type].[Client Event Type].&amp;[Enquiry]),([Client Event Type].[Client Event Type].&amp;[Day sheet])}">
        <tpls c="1">
          <tpl fld="0" item="2"/>
        </tpls>
      </set>
      <set count="4" maxRank="1" setDefinition="{([Client Event Type].[Client Event Type].&amp;[Phone call]),([Client Event Type].[Client Event Type].&amp;[Letter]),([Client Event Type].[Client Event Type].&amp;[Face to face]),([Client Event Type].[Client Event Type].&amp;[Email])}">
        <tpls c="1">
          <tpl fld="0" item="4"/>
        </tpls>
      </set>
      <set count="7" maxRank="1" setDefinition="{[Client Event Type].[Client Event Type].&amp;[Email],[Client Event Type].[Client Event Type].&amp;[Letter],[Client Event Type].[Client Event Type].&amp;[Enquiry],[Client Event Type].[Client Event Type].&amp;[Gateway],[Client Event Type].[Client Event Type].&amp;[Day sheet],[Client Event Type].[Client Event Type].&amp;[Phone call],[Client Event Type].[Client Event Type].&amp;[Face to face]}">
        <tpls c="1">
          <tpl fld="0" item="0"/>
        </tpls>
      </set>
    </sets>
    <queryCache count="233">
      <query mdx="[Measures].[Unique Client Count]">
        <tpls c="1">
          <tpl fld="4" item="0"/>
        </tpls>
      </query>
      <query mdx="[Client Event Type].[Client Event Type].&amp;[Gateway]">
        <tpls c="1">
          <tpl fld="0" item="2"/>
        </tpls>
      </query>
      <query mdx="[Client Event Type].[Client Event Type].&amp;[Face to face]">
        <tpls c="1">
          <tpl fld="0" item="3"/>
        </tpls>
      </query>
      <query mdx="[Client Event Type].[Client Event Type].&amp;[Phone call]">
        <tpls c="1">
          <tpl fld="0" item="4"/>
        </tpls>
      </query>
      <query mdx="[Client Event Type].[Client Event Type].&amp;[Day sheet]">
        <tpls c="1">
          <tpl fld="0" item="5"/>
        </tpls>
      </query>
      <query mdx="[Client Event Type].[Client Event Type].&amp;[Letter]">
        <tpls c="1">
          <tpl fld="0" item="6"/>
        </tpls>
      </query>
      <query mdx="[Measures].[Number Of Activities]">
        <tpls c="1">
          <tpl hier="88" item="4294967295"/>
        </tpls>
      </query>
      <query mdx="[Client Event Type].[Client Event Type].&amp;[Email]">
        <tpls c="1">
          <tpl fld="0" item="0"/>
        </tpls>
      </query>
      <query mdx="[Client Event Type].[Client Event Type].&amp;[Enquiry]">
        <tpls c="1">
          <tpl fld="0" item="1"/>
        </tpls>
      </query>
      <query mdx="[Client Profile].[Age Group].&amp;[35-39]">
        <tpls c="1">
          <tpl fld="5" item="0"/>
        </tpls>
      </query>
      <query mdx="[Client Profile].[Age Group].&amp;[30-34]">
        <tpls c="1">
          <tpl fld="5" item="1"/>
        </tpls>
      </query>
      <query mdx="[Client Profile].[Age Group].&amp;[95-99]">
        <tpls c="1">
          <tpl fld="5" item="2"/>
        </tpls>
      </query>
      <query mdx="[Client Profile].[Age Group].&amp;[85-89]">
        <tpls c="1">
          <tpl fld="5" item="3"/>
        </tpls>
      </query>
      <query mdx="[Client Profile].[Age Group].&amp;[60-64]">
        <tpls c="1">
          <tpl fld="5" item="4"/>
        </tpls>
      </query>
      <query mdx="[Event Profile].[Channel].&amp;[Adviceline Phone]">
        <tpls c="1">
          <tpl fld="6" item="0"/>
        </tpls>
      </query>
      <query mdx="[Client Profile].[Age Group].&amp;[75-79]">
        <tpls c="1">
          <tpl fld="5" item="5"/>
        </tpls>
      </query>
      <query mdx="[Event Profile].[Channel].&amp;[Not recorded/not applicable]">
        <tpls c="1">
          <tpl fld="6" item="1"/>
        </tpls>
      </query>
      <query mdx="[Client Profile].[Age Group].&amp;[65-69]">
        <tpls c="1">
          <tpl fld="5" item="6"/>
        </tpls>
      </query>
      <query mdx="[Client Profile].[Age Group].&amp;[80-84]">
        <tpls c="1">
          <tpl fld="5" item="7"/>
        </tpls>
      </query>
      <query mdx="[Client Profile].[Age Group].&amp;[25-29]">
        <tpls c="1">
          <tpl fld="5" item="8"/>
        </tpls>
      </query>
      <query mdx="[Event Profile].[Channel].&amp;[Letter/Mail]">
        <tpls c="1">
          <tpl fld="6" item="2"/>
        </tpls>
      </query>
      <query mdx="[Client Profile].[Age Group].&amp;[5-9]">
        <tpls c="1">
          <tpl fld="5" item="9"/>
        </tpls>
      </query>
      <query mdx="[Client Profile].[Age Group].&amp;[10-14]">
        <tpls c="1">
          <tpl fld="5" item="10"/>
        </tpls>
      </query>
      <query mdx="[Client Profile].[Age Group].&amp;[50-54]">
        <tpls c="1">
          <tpl fld="5" item="11"/>
        </tpls>
      </query>
      <query mdx="[Client Profile].[Age Group].&amp;[45-49]">
        <tpls c="1">
          <tpl fld="5" item="12"/>
        </tpls>
      </query>
      <query mdx="[Client Profile].[Age Group].&amp;[55-59]">
        <tpls c="1">
          <tpl fld="5" item="13"/>
        </tpls>
      </query>
      <query mdx="[Client Profile].[Age Group].&amp;[70-74]">
        <tpls c="1">
          <tpl fld="5" item="14"/>
        </tpls>
      </query>
      <query mdx="[Client Profile].[Gender].&amp;[Trans - Female]">
        <tpls c="1">
          <tpl fld="7" item="0"/>
        </tpls>
      </query>
      <query mdx="[Client Profile].[Age Group].&amp;[15-19]">
        <tpls c="1">
          <tpl fld="5" item="15"/>
        </tpls>
      </query>
      <query mdx="[Client Profile].[Age Group].&amp;[20-24]">
        <tpls c="1">
          <tpl fld="5" item="16"/>
        </tpls>
      </query>
      <query mdx="[Client Profile].[Gender].&amp;[Trans]">
        <tpls c="1">
          <tpl fld="7" item="1"/>
        </tpls>
      </query>
      <query mdx="[Client Profile].[Age Group].&amp;[0-4]">
        <tpls c="1">
          <tpl fld="5" item="17"/>
        </tpls>
      </query>
      <query mdx="[Client Profile].[Age Group].&amp;[100-104]">
        <tpls c="1">
          <tpl fld="5" item="18"/>
        </tpls>
      </query>
      <query mdx="[Client Profile].[Age Group].&amp;[90-94]">
        <tpls c="1">
          <tpl fld="5" item="19"/>
        </tpls>
      </query>
      <query mdx="[Client Profile].[Gender].&amp;[Trans - Male]">
        <tpls c="1">
          <tpl fld="7" item="2"/>
        </tpls>
      </query>
      <query mdx="[Client Profile].[Age Group].&amp;[40-44]">
        <tpls c="1">
          <tpl fld="5" item="20"/>
        </tpls>
      </query>
      <query mdx="[Client Profile].[Ethnic Origin].&amp;[Asian or Asian British - Chinese]">
        <tpls c="1">
          <tpl fld="8" item="0"/>
        </tpls>
      </query>
      <query mdx="[Client Profile].[Disability or Health Problems].&amp;[Disabled]">
        <tpls c="1">
          <tpl fld="9" item="0"/>
        </tpls>
      </query>
      <query mdx="[Client Profile].[Type Of Disability or Condition].&amp;[Learning Difficulty]">
        <tpls c="1">
          <tpl fld="10" item="0"/>
        </tpls>
      </query>
      <query mdx="[Client Profile].[Disability or Health Problems].&amp;[Unknown/withheld]">
        <tpls c="1">
          <tpl fld="9" item="1"/>
        </tpls>
      </query>
      <query mdx="[Client Profile].[Type Of Disability or Condition].&amp;[Mental Health]">
        <tpls c="1">
          <tpl fld="10" item="1"/>
        </tpls>
      </query>
      <query mdx="[Client Profile].[Ethnic Origin].&amp;[Mixed - White &amp; Black African]">
        <tpls c="1">
          <tpl fld="8" item="1"/>
        </tpls>
      </query>
      <query mdx="[Event Profile].[Channel].[All]">
        <tpls c="1">
          <tpl hier="54" item="4294967295"/>
        </tpls>
      </query>
      <query mdx="[Client Profile].[Age].&amp;[104]">
        <tpls c="1">
          <tpl fld="11" item="0"/>
        </tpls>
      </query>
      <query mdx="[Client Profile].[Ethnic Origin].&amp;[Declined to Reply]">
        <tpls c="1">
          <tpl fld="8" item="2"/>
        </tpls>
      </query>
      <query mdx="[Event Profile].[Channel].&amp;[Home Visit]">
        <tpls c="1">
          <tpl fld="6" item="3"/>
        </tpls>
      </query>
      <query mdx="[Event Profile].[Parent Gateway].&amp;[Yes]">
        <tpls c="1">
          <tpl fld="12" item="0"/>
        </tpls>
      </query>
      <query mdx="[Work Type].[Work Type].&amp;[Casework Preparation]">
        <tpls c="1">
          <tpl fld="13" item="0"/>
        </tpls>
      </query>
      <query mdx="[Client Profile].[Age].&amp;[88]">
        <tpls c="1">
          <tpl fld="11" item="1"/>
        </tpls>
      </query>
      <query mdx="[Client Profile].[Ethnic Origin].&amp;[White - Welsh]">
        <tpls c="1">
          <tpl fld="8" item="3"/>
        </tpls>
      </query>
      <query mdx="[Work Type].[Work Type].&amp;[Not recorded/not applicable]">
        <tpls c="1">
          <tpl fld="13" item="1"/>
        </tpls>
      </query>
      <query mdx="[Client Profile].[Disability or Health Problems].&amp;[Not disabled/no health problems]">
        <tpls c="1">
          <tpl fld="9" item="2"/>
        </tpls>
      </query>
      <query mdx="[Client Profile].[Type Of Disability or Condition].&amp;[Physical Impairment (non-sensory)]">
        <tpls c="1">
          <tpl fld="10" item="2"/>
        </tpls>
      </query>
      <query mdx="[Client Profile].[Age].&amp;[100]">
        <tpls c="1">
          <tpl fld="11" item="2"/>
        </tpls>
      </query>
      <query mdx="[Client Profile].[Disability or Health Problems].&amp;[Long-term health condition]">
        <tpls c="1">
          <tpl fld="9" item="3"/>
        </tpls>
      </query>
      <query mdx="[Client Profile].[Age].&amp;[55]">
        <tpls c="1">
          <tpl fld="11" item="3"/>
        </tpls>
      </query>
      <query mdx="[Client Profile].[Ethnic Origin].&amp;[White - British]">
        <tpls c="1">
          <tpl fld="8" item="4"/>
        </tpls>
      </query>
      <query mdx="[Client Profile].[Age].&amp;[31]">
        <tpls c="1">
          <tpl fld="11" item="4"/>
        </tpls>
      </query>
      <query mdx="[Client Profile].[Age].&amp;[105]">
        <tpls c="1">
          <tpl fld="11" item="5"/>
        </tpls>
      </query>
      <query mdx="[Client Profile].[Age].&amp;[85]">
        <tpls c="1">
          <tpl fld="11" item="6"/>
        </tpls>
      </query>
      <query mdx="[Client Profile].[Age].&amp;[62]">
        <tpls c="1">
          <tpl fld="11" item="7"/>
        </tpls>
      </query>
      <query mdx="[Client Profile].[Disability or Health Problems].&amp;[Not recorded/not applicable]">
        <tpls c="1">
          <tpl fld="9" item="4"/>
        </tpls>
      </query>
      <query mdx="[Event Profile].[Parent Gateway].[All]">
        <tpls c="1">
          <tpl hier="67" item="4294967295"/>
        </tpls>
      </query>
      <query mdx="[Event Profile].[Parent Gateway].&amp;[Not recorded/not applicable]">
        <tpls c="1">
          <tpl fld="12" item="1"/>
        </tpls>
      </query>
      <query mdx="[Work Type].[Work Type].&amp;[BEF Preparation]">
        <tpls c="1">
          <tpl fld="13" item="2"/>
        </tpls>
      </query>
      <query mdx="[Event Profile].[Channel].&amp;[Social Media]">
        <tpls c="1">
          <tpl fld="6" item="4"/>
        </tpls>
      </query>
      <query mdx="[Work Level].[Work Level].&amp;[Signposting]">
        <tpls c="1">
          <tpl fld="14" item="0"/>
        </tpls>
      </query>
      <query mdx="[Client Profile].[Age].&amp;[73]">
        <tpls c="1">
          <tpl fld="11" item="8"/>
        </tpls>
      </query>
      <query mdx="[Client Profile].[Age].&amp;[48]">
        <tpls c="1">
          <tpl fld="11" item="9"/>
        </tpls>
      </query>
      <query mdx="[Client Profile].[Age].&amp;[34]">
        <tpls c="1">
          <tpl fld="11" item="10"/>
        </tpls>
      </query>
      <query mdx="[Client Profile].[Type Of Disability or Condition].&amp;[Not recorded/not applicable]">
        <tpls c="1">
          <tpl fld="10" item="3"/>
        </tpls>
      </query>
      <query mdx="[Client Profile].[Ethnic Origin].&amp;[White - Gypsy or Irish Traveller]">
        <tpls c="1">
          <tpl fld="8" item="5"/>
        </tpls>
      </query>
      <query mdx="[Client Profile].[Type Of Disability or Condition].&amp;[Deaf]">
        <tpls c="1">
          <tpl fld="10" item="4"/>
        </tpls>
      </query>
      <query mdx="[Client Profile].[Age].&amp;[-12]"/>
      <query mdx="[Client Profile].[Type Of Disability or Condition].&amp;[Visual Impairment]">
        <tpls c="1">
          <tpl fld="10" item="5"/>
        </tpls>
      </query>
      <query mdx="[Event Profile].[Day Sheet Contact Channel].&amp;[Email]">
        <tpls c="1">
          <tpl fld="15" item="0"/>
        </tpls>
      </query>
      <query mdx="[Client Profile].[Ethnic Origin].&amp;[White - Irish]">
        <tpls c="1">
          <tpl fld="8" item="6"/>
        </tpls>
      </query>
      <query mdx="[Client Profile].[Ethnic Origin].[All]">
        <tpls c="1">
          <tpl hier="32" item="4294967295"/>
        </tpls>
      </query>
      <query mdx="[Client Profile].[Ethnic Origin].&amp;[Mixed - White &amp; Asian]">
        <tpls c="1">
          <tpl fld="8" item="7"/>
        </tpls>
      </query>
      <query mdx="[Client Profile].[Age].&amp;[9]">
        <tpls c="1">
          <tpl fld="11" item="11"/>
        </tpls>
      </query>
      <query mdx="[Client Profile].[Age].&amp;[102]">
        <tpls c="1">
          <tpl fld="11" item="12"/>
        </tpls>
      </query>
      <query mdx="[Client Profile].[Age].&amp;[57]">
        <tpls c="1">
          <tpl fld="11" item="13"/>
        </tpls>
      </query>
      <query mdx="[Client Profile].[Age].&amp;[21]">
        <tpls c="1">
          <tpl fld="11" item="14"/>
        </tpls>
      </query>
      <query mdx="[Client Profile].[Type Of Disability or Condition].&amp;[Long-Term Health Condition]">
        <tpls c="1">
          <tpl fld="10" item="6"/>
        </tpls>
      </query>
      <query mdx="[Client Profile].[Gender].&amp;[Not recorded/not applicable]">
        <tpls c="1">
          <tpl fld="7" item="3"/>
        </tpls>
      </query>
      <query mdx="[Client Profile].[Ethnic Origin].&amp;[Mixed - Other]">
        <tpls c="1">
          <tpl fld="8" item="8"/>
        </tpls>
      </query>
      <query mdx="[Client Profile].[Age].&amp;[38]">
        <tpls c="1">
          <tpl fld="11" item="15"/>
        </tpls>
      </query>
      <query mdx="[Client Profile].[Age].&amp;[90]">
        <tpls c="1">
          <tpl fld="11" item="16"/>
        </tpls>
      </query>
      <query mdx="[Client Profile].[Age].&amp;[84]">
        <tpls c="1">
          <tpl fld="11" item="17"/>
        </tpls>
      </query>
      <query mdx="[Client Profile].[Age].&amp;[91]">
        <tpls c="1">
          <tpl fld="11" item="18"/>
        </tpls>
      </query>
      <query mdx="[Client Profile].[Type Of Disability or Condition].&amp;[Other Disability or Type Not Given]">
        <tpls c="1">
          <tpl fld="10" item="7"/>
        </tpls>
      </query>
      <query mdx="[Event Profile].[Channel].&amp;[Telephone]">
        <tpls c="1">
          <tpl fld="6" item="5"/>
        </tpls>
      </query>
      <query mdx="[Client Profile].[Age].&amp;[78]">
        <tpls c="1">
          <tpl fld="11" item="19"/>
        </tpls>
      </query>
      <query mdx="[Client Profile].[Type Of Disability or Condition].&amp;[Hearing Impairment]">
        <tpls c="1">
          <tpl fld="10" item="8"/>
        </tpls>
      </query>
      <query mdx="[Client Profile].[Age].&amp;[93]">
        <tpls c="1">
          <tpl fld="11" item="20"/>
        </tpls>
      </query>
      <query mdx="[Work Level].[Work Level].&amp;[Advice and referral]">
        <tpls c="1">
          <tpl fld="14" item="1"/>
        </tpls>
      </query>
      <query mdx="[Work Level].[Work Level].&amp;[Information]">
        <tpls c="1">
          <tpl fld="14" item="2"/>
        </tpls>
      </query>
      <query mdx="[Client Profile].[Age].&amp;[49]">
        <tpls c="1">
          <tpl fld="11" item="21"/>
        </tpls>
      </query>
      <query mdx="[Client Profile].[Age].&amp;[12]">
        <tpls c="1">
          <tpl fld="11" item="22"/>
        </tpls>
      </query>
      <query mdx="[Work Type].[Work Type].&amp;[Client]">
        <tpls c="1">
          <tpl fld="13" item="3"/>
        </tpls>
      </query>
      <query mdx="[Client Profile].[Age].&amp;[103]">
        <tpls c="1">
          <tpl fld="11" item="23"/>
        </tpls>
      </query>
      <query mdx="[Client Profile].[Ethnic Origin].&amp;[Not recorded/not applicable]">
        <tpls c="1">
          <tpl fld="8" item="9"/>
        </tpls>
      </query>
      <query mdx="[Client Profile].[Age].&amp;[24]">
        <tpls c="1">
          <tpl fld="11" item="24"/>
        </tpls>
      </query>
      <query mdx="[Event Profile].[Parent Gateway].&amp;[No]">
        <tpls c="1">
          <tpl fld="12" item="2"/>
        </tpls>
      </query>
      <query mdx="[Client Profile].[Age].&amp;[Not recorded/not applicable]">
        <tpls c="1">
          <tpl fld="11" item="25"/>
        </tpls>
      </query>
      <query mdx="[Client Profile].[Age].&amp;[89]">
        <tpls c="1">
          <tpl fld="11" item="26"/>
        </tpls>
      </query>
      <query mdx="[Client Profile].[Age].&amp;[82]">
        <tpls c="1">
          <tpl fld="11" item="27"/>
        </tpls>
      </query>
      <query mdx="[Client Profile].[Ethnic Origin].&amp;[White - Northern Irish]">
        <tpls c="1">
          <tpl fld="8" item="10"/>
        </tpls>
      </query>
      <query mdx="[Client Profile].[Age].&amp;[0]">
        <tpls c="1">
          <tpl fld="11" item="28"/>
        </tpls>
      </query>
      <query mdx="[Client Profile].[Age].&amp;[39]">
        <tpls c="1">
          <tpl fld="11" item="29"/>
        </tpls>
      </query>
      <query mdx="[Client Profile].[Type Of Disability or Condition].&amp;[Cognitive Impairment]">
        <tpls c="1">
          <tpl fld="10" item="9"/>
        </tpls>
      </query>
      <query mdx="[Client Profile].[Age].&amp;[22]">
        <tpls c="1">
          <tpl fld="11" item="30"/>
        </tpls>
      </query>
      <query mdx="[Client Profile].[Age].&amp;[50]">
        <tpls c="1">
          <tpl fld="11" item="31"/>
        </tpls>
      </query>
      <query mdx="[Client Profile].[Type Of Disability or Condition].&amp;[Multiple Impairments]">
        <tpls c="1">
          <tpl fld="10" item="10"/>
        </tpls>
      </query>
      <query mdx="[Client Profile].[Age].&amp;[25]">
        <tpls c="1">
          <tpl fld="11" item="32"/>
        </tpls>
      </query>
      <query mdx="[Client Profile].[Age].&amp;[70]">
        <tpls c="1">
          <tpl fld="11" item="33"/>
        </tpls>
      </query>
      <query mdx="[Event Profile].[Day Sheet Contact Channel].&amp;[Telephone]">
        <tpls c="1">
          <tpl fld="15" item="1"/>
        </tpls>
      </query>
      <query mdx="[Event Profile].[Channel].&amp;[Face to Face]">
        <tpls c="1">
          <tpl fld="6" item="6"/>
        </tpls>
      </query>
      <query mdx="[Client Profile].[Gender].&amp;[Female]">
        <tpls c="1">
          <tpl fld="7" item="4"/>
        </tpls>
      </query>
      <query mdx="[Event Profile].[Channel].&amp;[Webchat]">
        <tpls c="1">
          <tpl fld="6" item="7"/>
        </tpls>
      </query>
      <query mdx="[Client Profile].[Age].&amp;[28]">
        <tpls c="1">
          <tpl fld="11" item="34"/>
        </tpls>
      </query>
      <query mdx="[Event Profile].[Day Sheet Contact Channel].[All]">
        <tpls c="1">
          <tpl hier="56" item="4294967295"/>
        </tpls>
      </query>
      <query mdx="[Client Profile].[Age].&amp;[76]">
        <tpls c="1">
          <tpl fld="11" item="35"/>
        </tpls>
      </query>
      <query mdx="[Client Profile].[Age].&amp;[16]">
        <tpls c="1">
          <tpl fld="11" item="36"/>
        </tpls>
      </query>
      <query mdx="[Client Profile].[Age].&amp;[19]">
        <tpls c="1">
          <tpl fld="11" item="37"/>
        </tpls>
      </query>
      <query mdx="[Client Profile].[Age].&amp;[10]">
        <tpls c="1">
          <tpl fld="11" item="38"/>
        </tpls>
      </query>
      <query mdx="[Client Profile].[Age].&amp;[30]">
        <tpls c="1">
          <tpl fld="11" item="39"/>
        </tpls>
      </query>
      <query mdx="[Client Profile].[Age].&amp;[29]">
        <tpls c="1">
          <tpl fld="11" item="40"/>
        </tpls>
      </query>
      <query mdx="[Client Profile].[Age].&amp;[52]">
        <tpls c="1">
          <tpl fld="11" item="41"/>
        </tpls>
      </query>
      <query mdx="[Work Type].[Work Type].&amp;[Third Party]">
        <tpls c="1">
          <tpl fld="13" item="4"/>
        </tpls>
      </query>
      <query mdx="[Client Profile].[Age].&amp;[106]">
        <tpls c="1">
          <tpl fld="11" item="42"/>
        </tpls>
      </query>
      <query mdx="[Client Profile].[Age].&amp;[59]">
        <tpls c="1">
          <tpl fld="11" item="43"/>
        </tpls>
      </query>
      <query mdx="[Client Profile].[Age].&amp;[56]">
        <tpls c="1">
          <tpl fld="11" item="44"/>
        </tpls>
      </query>
      <query mdx="[Client Profile].[Age].&amp;[40]">
        <tpls c="1">
          <tpl fld="11" item="45"/>
        </tpls>
      </query>
      <query mdx="[Client Profile].[Age].&amp;[97]">
        <tpls c="1">
          <tpl fld="11" item="46"/>
        </tpls>
      </query>
      <query mdx="[Client Profile].[Gender].&amp;[Male]">
        <tpls c="1">
          <tpl fld="7" item="5"/>
        </tpls>
      </query>
      <query mdx="[Client Profile].[Ethnic Origin].&amp;[Asian or Asian British - Bangladeshi]">
        <tpls c="1">
          <tpl fld="8" item="11"/>
        </tpls>
      </query>
      <query mdx="[Client Profile].[Age].&amp;[51]">
        <tpls c="1">
          <tpl fld="11" item="47"/>
        </tpls>
      </query>
      <query mdx="[Client Profile].[Age].&amp;[20]">
        <tpls c="1">
          <tpl fld="11" item="48"/>
        </tpls>
      </query>
      <query mdx="[Event Profile].[Day Sheet Contact Channel].&amp;[Face to Face]">
        <tpls c="1">
          <tpl fld="15" item="2"/>
        </tpls>
      </query>
      <query mdx="[Work Level].[Work Level].&amp;[Advice and limited action]">
        <tpls c="1">
          <tpl fld="14" item="3"/>
        </tpls>
      </query>
      <query mdx="[Client Profile].[Age].&amp;[77]">
        <tpls c="1">
          <tpl fld="11" item="49"/>
        </tpls>
      </query>
      <query mdx="[Client Profile].[Age].&amp;[64]">
        <tpls c="1">
          <tpl fld="11" item="50"/>
        </tpls>
      </query>
      <query mdx="[Client Profile].[Age].&amp;[5]">
        <tpls c="1">
          <tpl fld="11" item="51"/>
        </tpls>
      </query>
      <query mdx="[Client Profile].[Age].&amp;[27]">
        <tpls c="1">
          <tpl fld="11" item="52"/>
        </tpls>
      </query>
      <query mdx="[Client Profile].[Age].&amp;[2]">
        <tpls c="1">
          <tpl fld="11" item="53"/>
        </tpls>
      </query>
      <query mdx="[Client Profile].[Age].&amp;[69]">
        <tpls c="1">
          <tpl fld="11" item="54"/>
        </tpls>
      </query>
      <query mdx="[Client Profile].[Age].&amp;[8]">
        <tpls c="1">
          <tpl fld="11" item="55"/>
        </tpls>
      </query>
      <query mdx="[Client Profile].[Age].&amp;[37]">
        <tpls c="1">
          <tpl fld="11" item="56"/>
        </tpls>
      </query>
      <query mdx="[Client Profile].[Gender].&amp;[Unknown]">
        <tpls c="1">
          <tpl fld="7" item="6"/>
        </tpls>
      </query>
      <query mdx="[Client Profile].[Age].&amp;[4]">
        <tpls c="1">
          <tpl fld="11" item="57"/>
        </tpls>
      </query>
      <query mdx="[Client Profile].[Age].&amp;[111]">
        <tpls c="1">
          <tpl fld="11" item="58"/>
        </tpls>
      </query>
      <query mdx="[Client Profile].[Ethnic Origin].&amp;[White - Scottish]">
        <tpls c="1">
          <tpl fld="8" item="12"/>
        </tpls>
      </query>
      <query mdx="[Work Level].[Work Level].&amp;[Specialist casework]">
        <tpls c="1">
          <tpl fld="14" item="4"/>
        </tpls>
      </query>
      <query mdx="[Client Profile].[Age].&amp;[35]">
        <tpls c="1">
          <tpl fld="11" item="59"/>
        </tpls>
      </query>
      <query mdx="[Client Profile].[Age].&amp;[43]">
        <tpls c="1">
          <tpl fld="11" item="60"/>
        </tpls>
      </query>
      <query mdx="[Client Profile].[Age].&amp;[81]">
        <tpls c="1">
          <tpl fld="11" item="61"/>
        </tpls>
      </query>
      <query mdx="[Client Profile].[Age].&amp;[23]">
        <tpls c="1">
          <tpl fld="11" item="62"/>
        </tpls>
      </query>
      <query mdx="[Client Profile].[Ethnic Origin].&amp;[Black or Black British - Caribbean]">
        <tpls c="1">
          <tpl fld="8" item="13"/>
        </tpls>
      </query>
      <query mdx="[Event Profile].[Day Sheet Contact Channel].&amp;[Phone Adviceline]">
        <tpls c="1">
          <tpl fld="15" item="3"/>
        </tpls>
      </query>
      <query mdx="[Client Profile].[Age].&amp;[80]">
        <tpls c="1">
          <tpl fld="11" item="63"/>
        </tpls>
      </query>
      <query mdx="[Client Profile].[Age].&amp;[99]">
        <tpls c="1">
          <tpl fld="11" item="64"/>
        </tpls>
      </query>
      <query mdx="[Client Profile].[Ethnic Origin].&amp;[Asian or Asian British - Indian]">
        <tpls c="1">
          <tpl fld="8" item="14"/>
        </tpls>
      </query>
      <query mdx="[Client Profile].[Age].&amp;[107]">
        <tpls c="1">
          <tpl fld="11" item="65"/>
        </tpls>
      </query>
      <query mdx="[Client Profile].[Age].&amp;[46]">
        <tpls c="1">
          <tpl fld="11" item="66"/>
        </tpls>
      </query>
      <query mdx="[Client Profile].[Age].&amp;[45]">
        <tpls c="1">
          <tpl fld="11" item="67"/>
        </tpls>
      </query>
      <query mdx="[Client Profile].[Age].&amp;[41]">
        <tpls c="1">
          <tpl fld="11" item="68"/>
        </tpls>
      </query>
      <query mdx="[Client Profile].[Ethnic Origin].&amp;[Unknown]">
        <tpls c="1">
          <tpl fld="8" item="15"/>
        </tpls>
      </query>
      <query mdx="[Client Profile].[Ethnic Origin].&amp;[Mixed - White &amp; Black Caribbean]">
        <tpls c="1">
          <tpl fld="8" item="16"/>
        </tpls>
      </query>
      <query mdx="[Client Profile].[Age].&amp;[53]">
        <tpls c="1">
          <tpl fld="11" item="69"/>
        </tpls>
      </query>
      <query mdx="[Event Profile].[Channel].&amp;[Email]">
        <tpls c="1">
          <tpl fld="6" item="8"/>
        </tpls>
      </query>
      <query mdx="[Work Level].[Work Level].&amp;[Generalist casework]">
        <tpls c="1">
          <tpl fld="14" item="5"/>
        </tpls>
      </query>
      <query mdx="[Client Profile].[Age].&amp;[67]">
        <tpls c="1">
          <tpl fld="11" item="70"/>
        </tpls>
      </query>
      <query mdx="[Client Profile].[Age].&amp;[26]">
        <tpls c="1">
          <tpl fld="11" item="71"/>
        </tpls>
      </query>
      <query mdx="[Client Profile].[Age].&amp;[113]">
        <tpls c="1">
          <tpl fld="11" item="72"/>
        </tpls>
      </query>
      <query mdx="[Client Profile].[Age].&amp;[44]">
        <tpls c="1">
          <tpl fld="11" item="73"/>
        </tpls>
      </query>
      <query mdx="[Client Profile].[Age].&amp;[54]">
        <tpls c="1">
          <tpl fld="11" item="74"/>
        </tpls>
      </query>
      <query mdx="[Client Profile].[Ethnic Origin].&amp;[White - English]">
        <tpls c="1">
          <tpl fld="8" item="17"/>
        </tpls>
      </query>
      <query mdx="[Client Profile].[Age].&amp;[1]">
        <tpls c="1">
          <tpl fld="11" item="75"/>
        </tpls>
      </query>
      <query mdx="[Client Profile].[Age].&amp;[33]">
        <tpls c="1">
          <tpl fld="11" item="76"/>
        </tpls>
      </query>
      <query mdx="[Client Profile].[Ethnic Origin].&amp;[Asian or Asian British - Other]">
        <tpls c="1">
          <tpl fld="8" item="18"/>
        </tpls>
      </query>
      <query mdx="[Client Profile].[Gender].[All]">
        <tpls c="1">
          <tpl hier="35" item="4294967295"/>
        </tpls>
      </query>
      <query mdx="[Event Profile].[Channel].&amp;[E-mail]">
        <tpls c="1">
          <tpl fld="6" item="9"/>
        </tpls>
      </query>
      <query mdx="[Client Profile].[Age].&amp;[109]">
        <tpls c="1">
          <tpl fld="11" item="77"/>
        </tpls>
      </query>
      <query mdx="[Client Profile].[Age].&amp;[96]">
        <tpls c="1">
          <tpl fld="11" item="78"/>
        </tpls>
      </query>
      <query mdx="[Client Profile].[Age].&amp;[61]">
        <tpls c="1">
          <tpl fld="11" item="79"/>
        </tpls>
      </query>
      <query mdx="[Client Profile].[Age].&amp;[94]">
        <tpls c="1">
          <tpl fld="11" item="80"/>
        </tpls>
      </query>
      <query mdx="[Client Profile].[Age].&amp;[6]">
        <tpls c="1">
          <tpl fld="11" item="81"/>
        </tpls>
      </query>
      <query mdx="[Client Profile].[Age].&amp;[95]">
        <tpls c="1">
          <tpl fld="11" item="82"/>
        </tpls>
      </query>
      <query mdx="[Client Profile].[Age].&amp;[114]">
        <tpls c="1">
          <tpl fld="11" item="83"/>
        </tpls>
      </query>
      <query mdx="[Client Profile].[Age].&amp;[87]">
        <tpls c="1">
          <tpl fld="11" item="84"/>
        </tpls>
      </query>
      <query mdx="[Client Profile].[Age].&amp;[74]">
        <tpls c="1">
          <tpl fld="11" item="85"/>
        </tpls>
      </query>
      <query mdx="[Client Profile].[Age].&amp;[101]">
        <tpls c="1">
          <tpl fld="11" item="86"/>
        </tpls>
      </query>
      <query mdx="[Client Profile].[Age].&amp;[58]">
        <tpls c="1">
          <tpl fld="11" item="87"/>
        </tpls>
      </query>
      <query mdx="[Client Profile].[Age Group].&amp;[Not record]">
        <tpls c="1">
          <tpl fld="5" item="21"/>
        </tpls>
      </query>
      <query mdx="[Client Profile].[Ethnic Origin].&amp;[Black or Black British - Other]">
        <tpls c="1">
          <tpl fld="8" item="19"/>
        </tpls>
      </query>
      <query mdx="[Client Profile].[Age].&amp;[112]">
        <tpls c="1">
          <tpl fld="11" item="88"/>
        </tpls>
      </query>
      <query mdx="[Client Profile].[Age].&amp;[17]">
        <tpls c="1">
          <tpl fld="11" item="89"/>
        </tpls>
      </query>
      <query mdx="[Work Level].[Work Level].[All]">
        <tpls c="1">
          <tpl hier="97" item="4294967295"/>
        </tpls>
      </query>
      <query mdx="[Client Profile].[Age].&amp;[98]">
        <tpls c="1">
          <tpl fld="11" item="90"/>
        </tpls>
      </query>
      <query mdx="[Work Level].[Work Level].&amp;[Advice]">
        <tpls c="1">
          <tpl fld="14" item="6"/>
        </tpls>
      </query>
      <query mdx="[Client Profile].[Age].&amp;[60]">
        <tpls c="1">
          <tpl fld="11" item="91"/>
        </tpls>
      </query>
      <query mdx="[Client Profile].[Age].&amp;[92]">
        <tpls c="1">
          <tpl fld="11" item="92"/>
        </tpls>
      </query>
      <query mdx="[Client Profile].[Age].&amp;[3]">
        <tpls c="1">
          <tpl fld="11" item="93"/>
        </tpls>
      </query>
      <query mdx="[Client Profile].[Age].&amp;[18]">
        <tpls c="1">
          <tpl fld="11" item="94"/>
        </tpls>
      </query>
      <query mdx="[Client Profile].[Age].&amp;[36]">
        <tpls c="1">
          <tpl fld="11" item="95"/>
        </tpls>
      </query>
      <query mdx="[Client Profile].[Age].&amp;[42]">
        <tpls c="1">
          <tpl fld="11" item="96"/>
        </tpls>
      </query>
      <query mdx="[Client Profile].[Ethnic Origin].&amp;[Black or Black British - African]">
        <tpls c="1">
          <tpl fld="8" item="20"/>
        </tpls>
      </query>
      <query mdx="[Client Profile].[Age].&amp;[47]">
        <tpls c="1">
          <tpl fld="11" item="97"/>
        </tpls>
      </query>
      <query mdx="[Client Profile].[Age].&amp;[15]">
        <tpls c="1">
          <tpl fld="11" item="98"/>
        </tpls>
      </query>
      <query mdx="[Client Profile].[Age].&amp;[71]">
        <tpls c="1">
          <tpl fld="11" item="99"/>
        </tpls>
      </query>
      <query mdx="[Client Profile].[Age].&amp;[79]">
        <tpls c="1">
          <tpl fld="11" item="100"/>
        </tpls>
      </query>
      <query mdx="[Client Profile].[Ethnic Origin].&amp;[Asian or Asian British - Pakistani]">
        <tpls c="1">
          <tpl fld="8" item="21"/>
        </tpls>
      </query>
      <query mdx="[Client Profile].[Age].&amp;[75]">
        <tpls c="1">
          <tpl fld="11" item="101"/>
        </tpls>
      </query>
      <query mdx="[Client Profile].[Age].&amp;[66]">
        <tpls c="1">
          <tpl fld="11" item="102"/>
        </tpls>
      </query>
      <query mdx="[Client Profile].[Age].&amp;[11]">
        <tpls c="1">
          <tpl fld="11" item="103"/>
        </tpls>
      </query>
      <query mdx="[Client Profile].[Ethnic Origin].&amp;[White - Other]">
        <tpls c="1">
          <tpl fld="8" item="22"/>
        </tpls>
      </query>
      <query mdx="[Client Profile].[Age].&amp;[83]">
        <tpls c="1">
          <tpl fld="11" item="104"/>
        </tpls>
      </query>
      <query mdx="[Client Profile].[Ethnic Origin].&amp;[Other - Arab]">
        <tpls c="1">
          <tpl fld="8" item="23"/>
        </tpls>
      </query>
      <query mdx="[Client Profile].[Age].[All]">
        <tpls c="1">
          <tpl hier="25" item="4294967295"/>
        </tpls>
      </query>
      <query mdx="[Client Profile].[Age].&amp;[63]">
        <tpls c="1">
          <tpl fld="11" item="105"/>
        </tpls>
      </query>
      <query mdx="[Client Profile].[Age].&amp;[65]">
        <tpls c="1">
          <tpl fld="11" item="106"/>
        </tpls>
      </query>
      <query mdx="[Client Profile].[Age Group].[All]">
        <tpls c="1">
          <tpl hier="26" item="4294967295"/>
        </tpls>
      </query>
      <query mdx="[Client Profile].[Age].&amp;[14]">
        <tpls c="1">
          <tpl fld="11" item="107"/>
        </tpls>
      </query>
      <query mdx="[Client Profile].[Age].&amp;[13]">
        <tpls c="1">
          <tpl fld="11" item="108"/>
        </tpls>
      </query>
      <query mdx="[Client Profile].[Age Group].&amp;[Not recorded/not applicable]">
        <tpls c="1">
          <tpl fld="5" item="22"/>
        </tpls>
      </query>
      <query mdx="[Client Profile].[Age].&amp;[7]">
        <tpls c="1">
          <tpl fld="11" item="109"/>
        </tpls>
      </query>
      <query mdx="[Client Profile].[Age].&amp;[32]">
        <tpls c="1">
          <tpl fld="11" item="110"/>
        </tpls>
      </query>
      <query mdx="[Client Profile].[Ethnic Origin].&amp;[Other - Any Other]">
        <tpls c="1">
          <tpl fld="8" item="24"/>
        </tpls>
      </query>
      <query mdx="[Client Profile].[Age].&amp;[86]">
        <tpls c="1">
          <tpl fld="11" item="111"/>
        </tpls>
      </query>
      <query mdx="[Client Profile].[Age].&amp;[68]">
        <tpls c="1">
          <tpl fld="11" item="112"/>
        </tpls>
      </query>
      <query mdx="[Client Profile].[Age].&amp;[72]">
        <tpls c="1">
          <tpl fld="11" item="113"/>
        </tpls>
      </query>
      <query mdx="Letter/Mail"/>
    </queryCache>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OnLoad="1" refreshedBy="John Willoughby" refreshedDate="42835.684680902777" backgroundQuery="1" createdVersion="4" refreshedVersion="4" minRefreshableVersion="3" recordCount="0" supportSubquery="1" supportAdvancedDrill="1">
  <cacheSource type="external" connectionId="2"/>
  <cacheFields count="1">
    <cacheField name="[Client Event Type].[Client Event Type].[Client Event Type]" caption="Client Event Type" numFmtId="0" hierarchy="2" level="1">
      <sharedItems containsSemiMixedTypes="0" containsString="0"/>
    </cacheField>
  </cacheFields>
  <cacheHierarchies count="109">
    <cacheHierarchy uniqueName="[Activity Status].[Activity Status]" caption="Activity Status" attribute="1" defaultMemberUniqueName="[Activity Status].[Activity Status].[All]" allUniqueName="[Activity Status].[Activity Status].[All]" dimensionUniqueName="[Activity Status]" displayFolder="" count="0" unbalanced="0"/>
    <cacheHierarchy uniqueName="[Activity Status].[Activity Status ID]" caption="Activity Status ID" attribute="1" keyAttribute="1" defaultMemberUniqueName="[Activity Status].[Activity Status ID].[All]" allUniqueName="[Activity Status].[Activity Status ID].[All]" dimensionUniqueName="[Activity Status]" displayFolder="" count="0" unbalanced="0"/>
    <cacheHierarchy uniqueName="[Client Event Type].[Client Event Type]" caption="Client Event Type" attribute="1" defaultMemberUniqueName="[Client Event Type].[Client Event Type].[All]" allUniqueName="[Client Event Type].[Client Event Type].[All]" dimensionUniqueName="[Client Event Type]" displayFolder="" count="2" unbalanced="0">
      <fieldsUsage count="2">
        <fieldUsage x="-1"/>
        <fieldUsage x="0"/>
      </fieldsUsage>
    </cacheHierarchy>
    <cacheHierarchy uniqueName="[Client Geography].[Census Output Area]" caption="Census Output Area" attribute="1" defaultMemberUniqueName="[Client Geography].[Census Output Area].[All]" allUniqueName="[Client Geography].[Census Output Area].[All]" dimensionUniqueName="[Client Geography]" displayFolder="" count="0" unbalanced="0"/>
    <cacheHierarchy uniqueName="[Client Geography].[CensusOutputArea]" caption="CensusOutputArea" defaultMemberUniqueName="[Client Geography].[CensusOutputArea].[All]" allUniqueName="[Client Geography].[CensusOutputArea].[All]" dimensionUniqueName="[Client Geography]" displayFolder="" count="0" unbalanced="0"/>
    <cacheHierarchy uniqueName="[Client Geography].[ClientCounty]" caption="ClientCounty" defaultMemberUniqueName="[Client Geography].[ClientCounty].[All]" allUniqueName="[Client Geography].[ClientCounty].[All]" dimensionUniqueName="[Client Geography]" displayFolder="" count="0" unbalanced="0"/>
    <cacheHierarchy uniqueName="[Client Geography].[ClientParish]" caption="ClientParish" defaultMemberUniqueName="[Client Geography].[ClientParish].[All]" allUniqueName="[Client Geography].[ClientParish].[All]" dimensionUniqueName="[Client Geography]" displayFolder="" count="0" unbalanced="0"/>
    <cacheHierarchy uniqueName="[Client Geography].[Clinical Commissioning Group]" caption="Clinical Commissioning Group" attribute="1" defaultMemberUniqueName="[Client Geography].[Clinical Commissioning Group].[All]" allUniqueName="[Client Geography].[Clinical Commissioning Group].[All]" dimensionUniqueName="[Client Geography]" displayFolder="" count="0" unbalanced="0"/>
    <cacheHierarchy uniqueName="[Client Geography].[ClinicalCommissioningGroup]" caption="ClinicalCommissioningGroup" defaultMemberUniqueName="[Client Geography].[ClinicalCommissioningGroup].[All]" allUniqueName="[Client Geography].[ClinicalCommissioningGroup].[All]" dimensionUniqueName="[Client Geography]" displayFolder="" count="0" unbalanced="0"/>
    <cacheHierarchy uniqueName="[Client Geography].[County]" caption="County" attribute="1" defaultMemberUniqueName="[Client Geography].[County].[All]" allUniqueName="[Client Geography].[County].[All]" dimensionUniqueName="[Client Geography]" displayFolder="" count="0" unbalanced="0"/>
    <cacheHierarchy uniqueName="[Client Geography].[Local Authority]" caption="Local Authority" attribute="1" defaultMemberUniqueName="[Client Geography].[Local Authority].[All]" allUniqueName="[Client Geography].[Local Authority].[All]" dimensionUniqueName="[Client Geography]" displayFolder="" count="0" unbalanced="0"/>
    <cacheHierarchy uniqueName="[Client Geography].[Local Authority Ward]" caption="Local Authority Ward" attribute="1" defaultMemberUniqueName="[Client Geography].[Local Authority Ward].[All]" allUniqueName="[Client Geography].[Local Authority Ward].[All]" dimensionUniqueName="[Client Geography]" displayFolder="" count="0" unbalanced="0"/>
    <cacheHierarchy uniqueName="[Client Geography].[Local council]" caption="Local council" defaultMemberUniqueName="[Client Geography].[Local council].[All]" allUniqueName="[Client Geography].[Local council].[All]" dimensionUniqueName="[Client Geography]" displayFolder="" count="0" unbalanced="0"/>
    <cacheHierarchy uniqueName="[Client Geography].[Lower Super Output Area]" caption="Lower Super Output Area" attribute="1" defaultMemberUniqueName="[Client Geography].[Lower Super Output Area].[All]" allUniqueName="[Client Geography].[Lower Super Output Area].[All]" dimensionUniqueName="[Client Geography]" displayFolder="" count="0" unbalanced="0"/>
    <cacheHierarchy uniqueName="[Client Geography].[LowerSuperOutputArea]" caption="LowerSuperOutputArea" defaultMemberUniqueName="[Client Geography].[LowerSuperOutputArea].[All]" allUniqueName="[Client Geography].[LowerSuperOutputArea].[All]" dimensionUniqueName="[Client Geography]" displayFolder="" count="0" unbalanced="0"/>
    <cacheHierarchy uniqueName="[Client Geography].[Parish]" caption="Parish" attribute="1" defaultMemberUniqueName="[Client Geography].[Parish].[All]" allUniqueName="[Client Geography].[Parish].[All]" dimensionUniqueName="[Client Geography]" displayFolder="" count="0" unbalanced="0"/>
    <cacheHierarchy uniqueName="[Client Geography].[Parliamentary Constituency]" caption="Parliamentary Constituency" attribute="1" defaultMemberUniqueName="[Client Geography].[Parliamentary Constituency].[All]" allUniqueName="[Client Geography].[Parliamentary Constituency].[All]" dimensionUniqueName="[Client Geography]" displayFolder="" count="0" unbalanced="0"/>
    <cacheHierarchy uniqueName="[Client Geography].[Political]" caption="Political" defaultMemberUniqueName="[Client Geography].[Political].[All]" allUniqueName="[Client Geography].[Political].[All]" dimensionUniqueName="[Client Geography]" displayFolder="" count="0" unbalanced="0"/>
    <cacheHierarchy uniqueName="[Client Geography].[Political Party]" caption="Political Party" attribute="1" defaultMemberUniqueName="[Client Geography].[Political Party].[All]" allUniqueName="[Client Geography].[Political Party].[All]" dimensionUniqueName="[Client Geography]" displayFolder="" count="0" unbalanced="0"/>
    <cacheHierarchy uniqueName="[Client Geography].[Primary care]" caption="Primary care" defaultMemberUniqueName="[Client Geography].[Primary care].[All]" allUniqueName="[Client Geography].[Primary care].[All]" dimensionUniqueName="[Client Geography]" displayFolder="" count="0" unbalanced="0"/>
    <cacheHierarchy uniqueName="[Client Geography].[Primary Care Trust]" caption="Primary Care Trust" attribute="1" defaultMemberUniqueName="[Client Geography].[Primary Care Trust].[All]" allUniqueName="[Client Geography].[Primary Care Trust].[All]" dimensionUniqueName="[Client Geography]" displayFolder="" count="0" unbalanced="0"/>
    <cacheHierarchy uniqueName="[Client Profile].[Adult Dependants Above State Pension Age]" caption="Adult Dependants Above State Pension Age" attribute="1" defaultMemberUniqueName="[Client Profile].[Adult Dependants Above State Pension Age].[All]" allUniqueName="[Client Profile].[Adult Dependants Above State Pension Age].[All]" dimensionUniqueName="[Client Profile]" displayFolder="" count="0" unbalanced="0"/>
    <cacheHierarchy uniqueName="[Client Profile].[Adult Dependants Other]" caption="Adult Dependants Other" attribute="1" defaultMemberUniqueName="[Client Profile].[Adult Dependants Other].[All]" allUniqueName="[Client Profile].[Adult Dependants Other].[All]" dimensionUniqueName="[Client Profile]" displayFolder="" count="0" unbalanced="0"/>
    <cacheHierarchy uniqueName="[Client Profile].[Adult Dependants Unemployed Adult]" caption="Adult Dependants Unemployed Adult" attribute="1" defaultMemberUniqueName="[Client Profile].[Adult Dependants Unemployed Adult].[All]" allUniqueName="[Client Profile].[Adult Dependants Unemployed Adult].[All]" dimensionUniqueName="[Client Profile]" displayFolder="" count="0" unbalanced="0"/>
    <cacheHierarchy uniqueName="[Client Profile].[Adult Dependants Working Age Disabledor Long Term Health Condition]" caption="Adult Dependants Working Age Disabledor Long Term Health Condition" attribute="1" defaultMemberUniqueName="[Client Profile].[Adult Dependants Working Age Disabledor Long Term Health Condition].[All]" allUniqueName="[Client Profile].[Adult Dependants Working Age Disabledor Long Term Health Condition].[All]" dimensionUniqueName="[Client Profile]" displayFolder="" count="0" unbalanced="0"/>
    <cacheHierarchy uniqueName="[Client Profile].[Age]" caption="Age" attribute="1" defaultMemberUniqueName="[Client Profile].[Age].[All]" allUniqueName="[Client Profile].[Age].[All]" dimensionUniqueName="[Client Profile]" displayFolder="" count="0" unbalanced="0"/>
    <cacheHierarchy uniqueName="[Client Profile].[Age Group]" caption="Age Group" attribute="1" defaultMemberUniqueName="[Client Profile].[Age Group].[All]" allUniqueName="[Client Profile].[Age Group].[All]" dimensionUniqueName="[Client Profile]" displayFolder="" count="0" unbalanced="0"/>
    <cacheHierarchy uniqueName="[Client Profile].[Anonymous]" caption="Anonymous" attribute="1" defaultMemberUniqueName="[Client Profile].[Anonymous].[All]" allUniqueName="[Client Profile].[Anonymous].[All]" dimensionUniqueName="[Client Profile]" displayFolder="" count="0" unbalanced="0"/>
    <cacheHierarchy uniqueName="[Client Profile].[Child Dependants Over14]" caption="Child Dependants Over14" attribute="1" defaultMemberUniqueName="[Client Profile].[Child Dependants Over14].[All]" allUniqueName="[Client Profile].[Child Dependants Over14].[All]" dimensionUniqueName="[Client Profile]" displayFolder="" count="0" unbalanced="0"/>
    <cacheHierarchy uniqueName="[Client Profile].[Child Dependants Under14]" caption="Child Dependants Under14" attribute="1" defaultMemberUniqueName="[Client Profile].[Child Dependants Under14].[All]" allUniqueName="[Client Profile].[Child Dependants Under14].[All]" dimensionUniqueName="[Client Profile]" displayFolder="" count="0" unbalanced="0"/>
    <cacheHierarchy uniqueName="[Client Profile].[Date Of Birth Unknown]" caption="Date Of Birth Unknown" attribute="1" defaultMemberUniqueName="[Client Profile].[Date Of Birth Unknown].[All]" allUniqueName="[Client Profile].[Date Of Birth Unknown].[All]" dimensionUniqueName="[Client Profile]" displayFolder="" count="0" unbalanced="0"/>
    <cacheHierarchy uniqueName="[Client Profile].[Disability or Health Problems]" caption="Disability or Health Problems" attribute="1" defaultMemberUniqueName="[Client Profile].[Disability or Health Problems].[All]" allUniqueName="[Client Profile].[Disability or Health Problems].[All]" dimensionUniqueName="[Client Profile]" displayFolder="" count="0" unbalanced="0"/>
    <cacheHierarchy uniqueName="[Client Profile].[Ethnic Origin]" caption="Ethnic Origin" attribute="1" defaultMemberUniqueName="[Client Profile].[Ethnic Origin].[All]" allUniqueName="[Client Profile].[Ethnic Origin].[All]" dimensionUniqueName="[Client Profile]" displayFolder="" count="0" unbalanced="0"/>
    <cacheHierarchy uniqueName="[Client Profile].[First Language]" caption="First Language" attribute="1" defaultMemberUniqueName="[Client Profile].[First Language].[All]" allUniqueName="[Client Profile].[First Language].[All]" dimensionUniqueName="[Client Profile]" displayFolder="" count="0" unbalanced="0"/>
    <cacheHierarchy uniqueName="[Client Profile].[Fuel Poverty Indictor]" caption="Fuel Poverty Indictor" attribute="1" defaultMemberUniqueName="[Client Profile].[Fuel Poverty Indictor].[All]" allUniqueName="[Client Profile].[Fuel Poverty Indictor].[All]" dimensionUniqueName="[Client Profile]" displayFolder="" count="0" unbalanced="0"/>
    <cacheHierarchy uniqueName="[Client Profile].[Gender]" caption="Gender" attribute="1" defaultMemberUniqueName="[Client Profile].[Gender].[All]" allUniqueName="[Client Profile].[Gender].[All]" dimensionUniqueName="[Client Profile]" displayFolder="" count="0" unbalanced="0"/>
    <cacheHierarchy uniqueName="[Client Profile].[Household Type]" caption="Household Type" attribute="1" defaultMemberUniqueName="[Client Profile].[Household Type].[All]" allUniqueName="[Client Profile].[Household Type].[All]" dimensionUniqueName="[Client Profile]" displayFolder="" count="0" unbalanced="0"/>
    <cacheHierarchy uniqueName="[Client Profile].[Housing Tenure]" caption="Housing Tenure" attribute="1" defaultMemberUniqueName="[Client Profile].[Housing Tenure].[All]" allUniqueName="[Client Profile].[Housing Tenure].[All]" dimensionUniqueName="[Client Profile]" displayFolder="" count="0" unbalanced="0"/>
    <cacheHierarchy uniqueName="[Client Profile].[Incomes Profile]" caption="Incomes Profile" attribute="1" defaultMemberUniqueName="[Client Profile].[Incomes Profile].[All]" allUniqueName="[Client Profile].[Incomes Profile].[All]" dimensionUniqueName="[Client Profile]" displayFolder="" count="0" unbalanced="0"/>
    <cacheHierarchy uniqueName="[Client Profile].[Local Code A Set 1]" caption="Local Code A Set 1" attribute="1" defaultMemberUniqueName="[Client Profile].[Local Code A Set 1].[All]" allUniqueName="[Client Profile].[Local Code A Set 1].[All]" dimensionUniqueName="[Client Profile]" displayFolder="" count="0" unbalanced="0"/>
    <cacheHierarchy uniqueName="[Client Profile].[Local Code A Set 2]" caption="Local Code A Set 2" attribute="1" defaultMemberUniqueName="[Client Profile].[Local Code A Set 2].[All]" allUniqueName="[Client Profile].[Local Code A Set 2].[All]" dimensionUniqueName="[Client Profile]" displayFolder="" count="0" unbalanced="0"/>
    <cacheHierarchy uniqueName="[Client Profile].[Local Code A Set 3]" caption="Local Code A Set 3" attribute="1" defaultMemberUniqueName="[Client Profile].[Local Code A Set 3].[All]" allUniqueName="[Client Profile].[Local Code A Set 3].[All]" dimensionUniqueName="[Client Profile]" displayFolder="" count="0" unbalanced="0"/>
    <cacheHierarchy uniqueName="[Client Profile].[Local Code B Set 1]" caption="Local Code B Set 1" attribute="1" defaultMemberUniqueName="[Client Profile].[Local Code B Set 1].[All]" allUniqueName="[Client Profile].[Local Code B Set 1].[All]" dimensionUniqueName="[Client Profile]" displayFolder="" count="0" unbalanced="0"/>
    <cacheHierarchy uniqueName="[Client Profile].[Local Code B Set 2]" caption="Local Code B Set 2" attribute="1" defaultMemberUniqueName="[Client Profile].[Local Code B Set 2].[All]" allUniqueName="[Client Profile].[Local Code B Set 2].[All]" dimensionUniqueName="[Client Profile]" displayFolder="" count="0" unbalanced="0"/>
    <cacheHierarchy uniqueName="[Client Profile].[Local Code B Set 3]" caption="Local Code B Set 3" attribute="1" defaultMemberUniqueName="[Client Profile].[Local Code B Set 3].[All]" allUniqueName="[Client Profile].[Local Code B Set 3].[All]" dimensionUniqueName="[Client Profile]" displayFolder="" count="0" unbalanced="0"/>
    <cacheHierarchy uniqueName="[Client Profile].[Marital Status]" caption="Marital Status" attribute="1" defaultMemberUniqueName="[Client Profile].[Marital Status].[All]" allUniqueName="[Client Profile].[Marital Status].[All]" dimensionUniqueName="[Client Profile]" displayFolder="" count="0" unbalanced="0"/>
    <cacheHierarchy uniqueName="[Client Profile].[Nationality]" caption="Nationality" attribute="1" defaultMemberUniqueName="[Client Profile].[Nationality].[All]" allUniqueName="[Client Profile].[Nationality].[All]" dimensionUniqueName="[Client Profile]" displayFolder="" count="0" unbalanced="0"/>
    <cacheHierarchy uniqueName="[Client Profile].[Occupation]" caption="Occupation" attribute="1" defaultMemberUniqueName="[Client Profile].[Occupation].[All]" allUniqueName="[Client Profile].[Occupation].[All]" dimensionUniqueName="[Client Profile]" displayFolder="" count="0" unbalanced="0"/>
    <cacheHierarchy uniqueName="[Client Profile].[Preferred Method Of Contact]" caption="Preferred Method Of Contact" attribute="1" defaultMemberUniqueName="[Client Profile].[Preferred Method Of Contact].[All]" allUniqueName="[Client Profile].[Preferred Method Of Contact].[All]" dimensionUniqueName="[Client Profile]" displayFolder="" count="0" unbalanced="0"/>
    <cacheHierarchy uniqueName="[Client Profile].[RBL]" caption="RBL" attribute="1" defaultMemberUniqueName="[Client Profile].[RBL].[All]" allUniqueName="[Client Profile].[RBL].[All]" dimensionUniqueName="[Client Profile]" displayFolder="" count="0" unbalanced="0"/>
    <cacheHierarchy uniqueName="[Client Profile].[Religion or Belief]" caption="Religion or Belief" attribute="1" defaultMemberUniqueName="[Client Profile].[Religion or Belief].[All]" allUniqueName="[Client Profile].[Religion or Belief].[All]" dimensionUniqueName="[Client Profile]" displayFolder="" count="0" unbalanced="0"/>
    <cacheHierarchy uniqueName="[Client Profile].[Second Language]" caption="Second Language" attribute="1" defaultMemberUniqueName="[Client Profile].[Second Language].[All]" allUniqueName="[Client Profile].[Second Language].[All]" dimensionUniqueName="[Client Profile]" displayFolder="" count="0" unbalanced="0"/>
    <cacheHierarchy uniqueName="[Client Profile].[Sexual Orientation]" caption="Sexual Orientation" attribute="1" defaultMemberUniqueName="[Client Profile].[Sexual Orientation].[All]" allUniqueName="[Client Profile].[Sexual Orientation].[All]" dimensionUniqueName="[Client Profile]" displayFolder="" count="0" unbalanced="0"/>
    <cacheHierarchy uniqueName="[Client Profile].[Type Of Disability or Condition]" caption="Type Of Disability or Condition" attribute="1" defaultMemberUniqueName="[Client Profile].[Type Of Disability or Condition].[All]" allUniqueName="[Client Profile].[Type Of Disability or Condition].[All]" dimensionUniqueName="[Client Profile]" displayFolder="" count="0" unbalanced="0"/>
    <cacheHierarchy uniqueName="[Event Profile].[Channel]" caption="Channel" attribute="1" defaultMemberUniqueName="[Event Profile].[Channel].[All]" allUniqueName="[Event Profile].[Channel].[All]" dimensionUniqueName="[Event Profile]" displayFolder="" count="0" unbalanced="0"/>
    <cacheHierarchy uniqueName="[Event Profile].[Client First Seen By FIF At Outreach]" caption="Client First Seen By FIF At Outreach" attribute="1" defaultMemberUniqueName="[Event Profile].[Client First Seen By FIF At Outreach].[All]" allUniqueName="[Event Profile].[Client First Seen By FIF At Outreach].[All]" dimensionUniqueName="[Event Profile]" displayFolder="" count="0" unbalanced="0"/>
    <cacheHierarchy uniqueName="[Event Profile].[Day Sheet Contact Channel]" caption="Day Sheet Contact Channel" attribute="1" defaultMemberUniqueName="[Event Profile].[Day Sheet Contact Channel].[All]" allUniqueName="[Event Profile].[Day Sheet Contact Channel].[All]" dimensionUniqueName="[Event Profile]" displayFolder="" count="0" unbalanced="0"/>
    <cacheHierarchy uniqueName="[Event Profile].[Enquiry Closure Reason]" caption="Enquiry Closure Reason" attribute="1" defaultMemberUniqueName="[Event Profile].[Enquiry Closure Reason].[All]" allUniqueName="[Event Profile].[Enquiry Closure Reason].[All]" dimensionUniqueName="[Event Profile]" displayFolder="" count="0" unbalanced="0"/>
    <cacheHierarchy uniqueName="[Event Profile].[Enquiry Status]" caption="Enquiry Status" attribute="1" defaultMemberUniqueName="[Event Profile].[Enquiry Status].[All]" allUniqueName="[Event Profile].[Enquiry Status].[All]" dimensionUniqueName="[Event Profile]" displayFolder="" count="0" unbalanced="0"/>
    <cacheHierarchy uniqueName="[Event Profile].[Enquiry Type]" caption="Enquiry Type" attribute="1" defaultMemberUniqueName="[Event Profile].[Enquiry Type].[All]" allUniqueName="[Event Profile].[Enquiry Type].[All]" dimensionUniqueName="[Event Profile]" displayFolder="" count="0" unbalanced="0"/>
    <cacheHierarchy uniqueName="[Event Profile].[Household Income Less Than15600]" caption="Household Income Less Than15600" attribute="1" defaultMemberUniqueName="[Event Profile].[Household Income Less Than15600].[All]" allUniqueName="[Event Profile].[Household Income Less Than15600].[All]" dimensionUniqueName="[Event Profile]" displayFolder="" count="0" unbalanced="0"/>
    <cacheHierarchy uniqueName="[Event Profile].[Individual Income Less Than14500]" caption="Individual Income Less Than14500" attribute="1" defaultMemberUniqueName="[Event Profile].[Individual Income Less Than14500].[All]" allUniqueName="[Event Profile].[Individual Income Less Than14500].[All]" dimensionUniqueName="[Event Profile]" displayFolder="" count="0" unbalanced="0"/>
    <cacheHierarchy uniqueName="[Event Profile].[Local Classification Code]" caption="Local Classification Code" attribute="1" defaultMemberUniqueName="[Event Profile].[Local Classification Code].[All]" allUniqueName="[Event Profile].[Local Classification Code].[All]" dimensionUniqueName="[Event Profile]" displayFolder="" count="0" unbalanced="0"/>
    <cacheHierarchy uniqueName="[Event Profile].[Next Step]" caption="Next Step" attribute="1" defaultMemberUniqueName="[Event Profile].[Next Step].[All]" allUniqueName="[Event Profile].[Next Step].[All]" dimensionUniqueName="[Event Profile]" displayFolder="" count="0" unbalanced="0"/>
    <cacheHierarchy uniqueName="[Event Profile].[No Bank Account]" caption="No Bank Account" attribute="1" defaultMemberUniqueName="[Event Profile].[No Bank Account].[All]" allUniqueName="[Event Profile].[No Bank Account].[All]" dimensionUniqueName="[Event Profile]" displayFolder="" count="0" unbalanced="0"/>
    <cacheHierarchy uniqueName="[Event Profile].[No Home Content Insurance]" caption="No Home Content Insurance" attribute="1" defaultMemberUniqueName="[Event Profile].[No Home Content Insurance].[All]" allUniqueName="[Event Profile].[No Home Content Insurance].[All]" dimensionUniqueName="[Event Profile]" displayFolder="" count="0" unbalanced="0"/>
    <cacheHierarchy uniqueName="[Event Profile].[No Savings Held]" caption="No Savings Held" attribute="1" defaultMemberUniqueName="[Event Profile].[No Savings Held].[All]" allUniqueName="[Event Profile].[No Savings Held].[All]" dimensionUniqueName="[Event Profile]" displayFolder="" count="0" unbalanced="0"/>
    <cacheHierarchy uniqueName="[Event Profile].[Parent Gateway]" caption="Parent Gateway" attribute="1" defaultMemberUniqueName="[Event Profile].[Parent Gateway].[All]" allUniqueName="[Event Profile].[Parent Gateway].[All]" dimensionUniqueName="[Event Profile]" displayFolder="" count="0" unbalanced="0"/>
    <cacheHierarchy uniqueName="[Event Profile].[Priority Debts Owed]" caption="Priority Debts Owed" attribute="1" defaultMemberUniqueName="[Event Profile].[Priority Debts Owed].[All]" allUniqueName="[Event Profile].[Priority Debts Owed].[All]" dimensionUniqueName="[Event Profile]" displayFolder="" count="0" unbalanced="0"/>
    <cacheHierarchy uniqueName="[Event Profile].[Receives Benefit]" caption="Receives Benefit" attribute="1" defaultMemberUniqueName="[Event Profile].[Receives Benefit].[All]" allUniqueName="[Event Profile].[Receives Benefit].[All]" dimensionUniqueName="[Event Profile]" displayFolder="" count="0" unbalanced="0"/>
    <cacheHierarchy uniqueName="[Event Profile].[Referral Details]" caption="Referral Details" attribute="1" defaultMemberUniqueName="[Event Profile].[Referral Details].[All]" allUniqueName="[Event Profile].[Referral Details].[All]" dimensionUniqueName="[Event Profile]" displayFolder="" count="0" unbalanced="0"/>
    <cacheHierarchy uniqueName="[Event Profile].[Referred By]" caption="Referred By" attribute="1" defaultMemberUniqueName="[Event Profile].[Referred By].[All]" allUniqueName="[Event Profile].[Referred By].[All]" dimensionUniqueName="[Event Profile]" displayFolder="" count="0" unbalanced="0"/>
    <cacheHierarchy uniqueName="[Event Profile].[Signposted Details]" caption="Signposted Details" attribute="1" defaultMemberUniqueName="[Event Profile].[Signposted Details].[All]" allUniqueName="[Event Profile].[Signposted Details].[All]" dimensionUniqueName="[Event Profile]" displayFolder="" count="0" unbalanced="0"/>
    <cacheHierarchy uniqueName="[Event Profile].[Signposted To]" caption="Signposted To" attribute="1" defaultMemberUniqueName="[Event Profile].[Signposted To].[All]" allUniqueName="[Event Profile].[Signposted To].[All]" dimensionUniqueName="[Event Profile]" displayFolder="" count="0" unbalanced="0"/>
    <cacheHierarchy uniqueName="[Event Profile].[Total Debt Amount Arrears Due]" caption="Total Debt Amount Arrears Due" attribute="1" defaultMemberUniqueName="[Event Profile].[Total Debt Amount Arrears Due].[All]" allUniqueName="[Event Profile].[Total Debt Amount Arrears Due].[All]" dimensionUniqueName="[Event Profile]" displayFolder="" count="0" unbalanced="0"/>
    <cacheHierarchy uniqueName="[Event Profile].[Total Non Priority Debt Amount]" caption="Total Non Priority Debt Amount" attribute="1" defaultMemberUniqueName="[Event Profile].[Total Non Priority Debt Amount].[All]" allUniqueName="[Event Profile].[Total Non Priority Debt Amount].[All]" dimensionUniqueName="[Event Profile]" displayFolder="" count="0" unbalanced="0"/>
    <cacheHierarchy uniqueName="[Event Profile].[Total Numberof Debts]" caption="Total Numberof Debts" attribute="1" defaultMemberUniqueName="[Event Profile].[Total Numberof Debts].[All]" allUniqueName="[Event Profile].[Total Numberof Debts].[All]" dimensionUniqueName="[Event Profile]" displayFolder="" count="0" unbalanced="0"/>
    <cacheHierarchy uniqueName="[Event Profile].[Total Numberof Non Priority Debts]" caption="Total Numberof Non Priority Debts" attribute="1" defaultMemberUniqueName="[Event Profile].[Total Numberof Non Priority Debts].[All]" allUniqueName="[Event Profile].[Total Numberof Non Priority Debts].[All]" dimensionUniqueName="[Event Profile]" displayFolder="" count="0" unbalanced="0"/>
    <cacheHierarchy uniqueName="[Event Profile].[Universal Credit]" caption="Universal Credit" attribute="1" defaultMemberUniqueName="[Event Profile].[Universal Credit].[All]" allUniqueName="[Event Profile].[Universal Credit].[All]" dimensionUniqueName="[Event Profile]" displayFolder="" count="0" unbalanced="0"/>
    <cacheHierarchy uniqueName="[Event Profile].[Urgency]" caption="Urgency" attribute="1" defaultMemberUniqueName="[Event Profile].[Urgency].[All]" allUniqueName="[Event Profile].[Urgency].[All]" dimensionUniqueName="[Event Profile]" displayFolder="" count="0" unbalanced="0"/>
    <cacheHierarchy uniqueName="[Event Profile].[User Of High Interest Credit]" caption="User Of High Interest Credit" attribute="1" defaultMemberUniqueName="[Event Profile].[User Of High Interest Credit].[All]" allUniqueName="[Event Profile].[User Of High Interest Credit].[All]" dimensionUniqueName="[Event Profile]" displayFolder="" count="0" unbalanced="0"/>
    <cacheHierarchy uniqueName="[Local Funder].[Funder]" caption="Funder" attribute="1" defaultMemberUniqueName="[Local Funder].[Funder].[All]" allUniqueName="[Local Funder].[Funder].[All]" dimensionUniqueName="[Local Funder]" displayFolder="" count="0" unbalanced="0"/>
    <cacheHierarchy uniqueName="[Local Funder].[Funder ID]" caption="Funder ID" attribute="1" keyAttribute="1" defaultMemberUniqueName="[Local Funder].[Funder ID].[All]" allUniqueName="[Local Funder].[Funder ID].[All]" dimensionUniqueName="[Local Funder]" displayFolder="" count="0" unbalanced="0"/>
    <cacheHierarchy uniqueName="[Local Organisation].[Bureau]" caption="Bureau" attribute="1" defaultMemberUniqueName="[Local Organisation].[Bureau].[All]" allUniqueName="[Local Organisation].[Bureau].[All]" dimensionUniqueName="[Local Organisation]" displayFolder="" count="0" unbalanced="0"/>
    <cacheHierarchy uniqueName="[Local Organisation].[CAB]" caption="CAB" defaultMemberUniqueName="[Local Organisation].[CAB].[All]" allUniqueName="[Local Organisation].[CAB].[All]" dimensionUniqueName="[Local Organisation]" displayFolder="" count="0" unbalanced="0"/>
    <cacheHierarchy uniqueName="[Local Organisation].[Government Region]" caption="Government Region" attribute="1" defaultMemberUniqueName="[Local Organisation].[Government Region].[All]" allUniqueName="[Local Organisation].[Government Region].[All]" dimensionUniqueName="[Local Organisation]" displayFolder="" count="0" unbalanced="0"/>
    <cacheHierarchy uniqueName="[Local Organisation].[Member]" caption="Member" attribute="1" defaultMemberUniqueName="[Local Organisation].[Member].[All]" allUniqueName="[Local Organisation].[Member].[All]" dimensionUniqueName="[Local Organisation]" displayFolder="" count="0" unbalanced="0"/>
    <cacheHierarchy uniqueName="[Local Organisation].[Outreach]" caption="Outreach" attribute="1" defaultMemberUniqueName="[Local Organisation].[Outreach].[All]" allUniqueName="[Local Organisation].[Outreach].[All]" dimensionUniqueName="[Local Organisation]" displayFolder="" count="0" unbalanced="0"/>
    <cacheHierarchy uniqueName="[Monthly Calendar].[Financial]" caption="Financial" time="1" defaultMemberUniqueName="[Monthly Calendar].[Financial].[All]" allUniqueName="[Monthly Calendar].[Financial].[All]" dimensionUniqueName="[Monthly Calendar]" displayFolder="" count="0" unbalanced="0"/>
    <cacheHierarchy uniqueName="[Monthly Calendar].[Month Name]" caption="Month Name" attribute="1" time="1" defaultMemberUniqueName="[Monthly Calendar].[Month Name].[All]" allUniqueName="[Monthly Calendar].[Month Name].[All]" dimensionUniqueName="[Monthly Calendar]" displayFolder="" count="0" unbalanced="0"/>
    <cacheHierarchy uniqueName="[Monthly Calendar].[Month Number]" caption="Month Number" attribute="1" time="1" defaultMemberUniqueName="[Monthly Calendar].[Month Number].[All]" allUniqueName="[Monthly Calendar].[Month Number].[All]" dimensionUniqueName="[Monthly Calendar]" displayFolder="" count="0" unbalanced="0"/>
    <cacheHierarchy uniqueName="[Monthly Calendar].[Quarter]" caption="Quarter" attribute="1" time="1" defaultMemberUniqueName="[Monthly Calendar].[Quarter].[All]" allUniqueName="[Monthly Calendar].[Quarter].[All]" dimensionUniqueName="[Monthly Calendar]" displayFolder="" count="0" unbalanced="0"/>
    <cacheHierarchy uniqueName="[Monthly Calendar].[Year]" caption="Year" attribute="1" time="1" defaultMemberUniqueName="[Monthly Calendar].[Year].[All]" allUniqueName="[Monthly Calendar].[Year].[All]" dimensionUniqueName="[Monthly Calendar]" displayFolder="" count="0" unbalanced="0"/>
    <cacheHierarchy uniqueName="[National Funder].[Funder]" caption="Funder" attribute="1" defaultMemberUniqueName="[National Funder].[Funder].[All]" allUniqueName="[National Funder].[Funder].[All]" dimensionUniqueName="[National Funder]" displayFolder="" count="0" unbalanced="0"/>
    <cacheHierarchy uniqueName="[National Funder].[Funder ID]" caption="Funder ID" attribute="1" keyAttribute="1" defaultMemberUniqueName="[National Funder].[Funder ID].[All]" allUniqueName="[National Funder].[Funder ID].[All]" dimensionUniqueName="[National Funder]" displayFolder="" count="0" unbalanced="0"/>
    <cacheHierarchy uniqueName="[National Funder].[Funder Type]" caption="Funder Type" attribute="1" defaultMemberUniqueName="[National Funder].[Funder Type].[All]" allUniqueName="[National Funder].[Funder Type].[All]" dimensionUniqueName="[National Funder]" displayFolder="" count="0" unbalanced="0"/>
    <cacheHierarchy uniqueName="[Work Level].[Work Level]" caption="Work Level" attribute="1" defaultMemberUniqueName="[Work Level].[Work Level].[All]" allUniqueName="[Work Level].[Work Level].[All]" dimensionUniqueName="[Work Level]" displayFolder="" count="0" unbalanced="0"/>
    <cacheHierarchy uniqueName="[Work Type].[Work Type]" caption="Work Type" attribute="1" defaultMemberUniqueName="[Work Type].[Work Type].[All]" allUniqueName="[Work Type].[Work Type].[All]" dimensionUniqueName="[Work Type]" displayFolder="" count="0" unbalanced="0"/>
    <cacheHierarchy uniqueName="[Client Event Type].[Client Event Type ID]" caption="Client Event Type ID" attribute="1" keyAttribute="1" defaultMemberUniqueName="[Client Event Type].[Client Event Type ID].[All]" allUniqueName="[Client Event Type].[Client Event Type ID].[All]" dimensionUniqueName="[Client Event Type]" displayFolder="" count="0" unbalanced="0" hidden="1"/>
    <cacheHierarchy uniqueName="[Client Geography].[Client Geography ID]" caption="Client Geography ID" attribute="1" keyAttribute="1" defaultMemberUniqueName="[Client Geography].[Client Geography ID].[All]" allUniqueName="[Client Geography].[Client Geography ID].[All]" dimensionUniqueName="[Client Geography]" displayFolder="" count="0" unbalanced="0" hidden="1"/>
    <cacheHierarchy uniqueName="[Client Profile].[Client Profile ID]" caption="Client Profile ID" attribute="1" keyAttribute="1" defaultMemberUniqueName="[Client Profile].[Client Profile ID].[All]" allUniqueName="[Client Profile].[Client Profile ID].[All]" dimensionUniqueName="[Client Profile]" displayFolder="" count="0" unbalanced="0" hidden="1"/>
    <cacheHierarchy uniqueName="[Event Profile].[Event Profile ID]" caption="Event Profile ID" attribute="1" keyAttribute="1" defaultMemberUniqueName="[Event Profile].[Event Profile ID].[All]" allUniqueName="[Event Profile].[Event Profile ID].[All]" dimensionUniqueName="[Event Profile]" displayFolder="" count="0" unbalanced="0" hidden="1"/>
    <cacheHierarchy uniqueName="[Local Funder].[Funder Type]" caption="Funder Type" attribute="1" defaultMemberUniqueName="[Local Funder].[Funder Type].[All]" allUniqueName="[Local Funder].[Funder Type].[All]" dimensionUniqueName="[Local Funder]" displayFolder="" count="0" unbalanced="0" hidden="1"/>
    <cacheHierarchy uniqueName="[Local Organisation].[Organisation ID]" caption="Organisation ID" attribute="1" keyAttribute="1" defaultMemberUniqueName="[Local Organisation].[Organisation ID].[All]" allUniqueName="[Local Organisation].[Organisation ID].[All]" dimensionUniqueName="[Local Organisation]" displayFolder="" count="0" unbalanced="0" hidden="1"/>
    <cacheHierarchy uniqueName="[Monthly Calendar].[Date ID]" caption="Date ID" attribute="1" time="1" keyAttribute="1" defaultMemberUniqueName="[Monthly Calendar].[Date ID].[All]" allUniqueName="[Monthly Calendar].[Date ID].[All]" dimensionUniqueName="[Monthly Calendar]" displayFolder="" count="0" unbalanced="0" hidden="1"/>
    <cacheHierarchy uniqueName="[Work Level].[Work Level ID]" caption="Work Level ID" attribute="1" keyAttribute="1" defaultMemberUniqueName="[Work Level].[Work Level ID].[All]" allUniqueName="[Work Level].[Work Level ID].[All]" dimensionUniqueName="[Work Level]" displayFolder="" count="0" unbalanced="0" hidden="1"/>
    <cacheHierarchy uniqueName="[Work Type].[Work Type ID]" caption="Work Type ID" attribute="1" keyAttribute="1" defaultMemberUniqueName="[Work Type].[Work Type ID].[All]" allUniqueName="[Work Type].[Work Type ID].[All]" dimensionUniqueName="[Work Type]" displayFolder="" count="0" unbalanced="0" hidden="1"/>
    <cacheHierarchy uniqueName="[Measures].[Number Of Activities]" caption="Number Of Activities" measure="1" displayFolder="" measureGroup="Activities" count="0"/>
    <cacheHierarchy uniqueName="[Measures].[Unique Client Count]" caption="Unique Client Count" measure="1" displayFolder="" measureGroup="Client" count="0"/>
  </cacheHierarchies>
  <kpis count="0"/>
  <dimensions count="12">
    <dimension name="Activity Status" uniqueName="[Activity Status]" caption="Activity Status"/>
    <dimension name="Client Event Type" uniqueName="[Client Event Type]" caption="Client Event Type"/>
    <dimension name="Client Geography" uniqueName="[Client Geography]" caption="Client Geography"/>
    <dimension name="Client Profile" uniqueName="[Client Profile]" caption="Client Profile"/>
    <dimension name="Event Profile" uniqueName="[Event Profile]" caption="Event Profile"/>
    <dimension name="Local Funder" uniqueName="[Local Funder]" caption="Local Funder"/>
    <dimension name="Local Organisation" uniqueName="[Local Organisation]" caption="Local Organisation"/>
    <dimension measure="1" name="Measures" uniqueName="[Measures]" caption="Measures"/>
    <dimension name="Monthly Calendar" uniqueName="[Monthly Calendar]" caption="Monthly Calendar"/>
    <dimension name="National Funder" uniqueName="[National Funder]" caption="National Funder"/>
    <dimension name="Work Level" uniqueName="[Work Level]" caption="Work Level"/>
    <dimension name="Work Type" uniqueName="[Work Type]" caption="Work Type"/>
  </dimensions>
  <measureGroups count="2">
    <measureGroup name="Activities" caption="Activities"/>
    <measureGroup name="Client" caption="Client"/>
  </measureGroups>
  <maps count="22">
    <map measureGroup="0" dimension="0"/>
    <map measureGroup="0" dimension="1"/>
    <map measureGroup="0" dimension="2"/>
    <map measureGroup="0" dimension="3"/>
    <map measureGroup="0" dimension="4"/>
    <map measureGroup="0" dimension="5"/>
    <map measureGroup="0" dimension="6"/>
    <map measureGroup="0" dimension="8"/>
    <map measureGroup="0" dimension="9"/>
    <map measureGroup="0" dimension="10"/>
    <map measureGroup="0" dimension="11"/>
    <map measureGroup="1" dimension="0"/>
    <map measureGroup="1" dimension="1"/>
    <map measureGroup="1" dimension="2"/>
    <map measureGroup="1" dimension="3"/>
    <map measureGroup="1" dimension="4"/>
    <map measureGroup="1" dimension="5"/>
    <map measureGroup="1" dimension="6"/>
    <map measureGroup="1" dimension="8"/>
    <map measureGroup="1" dimension="9"/>
    <map measureGroup="1" dimension="10"/>
    <map measureGroup="1" dimension="1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pivotTable1.xml><?xml version="1.0" encoding="utf-8"?>
<pivotTableDefinition xmlns="http://schemas.openxmlformats.org/spreadsheetml/2006/main" name="PivotTable8" cacheId="3" applyNumberFormats="0" applyBorderFormats="0" applyFontFormats="0" applyPatternFormats="0" applyAlignmentFormats="0" applyWidthHeightFormats="1" dataCaption="Values" updatedVersion="4" minRefreshableVersion="3" subtotalHiddenItems="1" itemPrintTitles="1" createdVersion="4" indent="0" outline="1" outlineData="1" multipleFieldFilters="0" fieldListSortAscending="1">
  <location ref="C27" firstHeaderRow="0" firstDataRow="0" firstDataCol="0" rowPageCount="2" colPageCount="1"/>
  <pivotFields count="12">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s>
  <pageFields count="2">
    <pageField fld="0" hier="107" name="[Monthly Calendar Outcome Date].[Financial].[Year].&amp;[2016-17]" cap="2016-17"/>
    <pageField fld="6" hier="102" name="[Monthly Calendar Enquiry Created].[Financial].[All]" cap="All"/>
  </pageFields>
  <formats count="64">
    <format dxfId="414">
      <pivotArea field="0" type="button" dataOnly="0" labelOnly="1" outline="0" axis="axisPage" fieldPosition="0"/>
    </format>
    <format dxfId="413">
      <pivotArea field="6" type="button" dataOnly="0" labelOnly="1" outline="0" axis="axisPage" fieldPosition="1"/>
    </format>
    <format dxfId="412">
      <pivotArea field="0" type="button" dataOnly="0" labelOnly="1" outline="0" axis="axisPage" fieldPosition="0"/>
    </format>
    <format dxfId="411">
      <pivotArea dataOnly="0" labelOnly="1" outline="0" fieldPosition="0">
        <references count="1">
          <reference field="0" count="0"/>
        </references>
      </pivotArea>
    </format>
    <format dxfId="410">
      <pivotArea field="6" type="button" dataOnly="0" labelOnly="1" outline="0" axis="axisPage" fieldPosition="1"/>
    </format>
    <format dxfId="409">
      <pivotArea dataOnly="0" labelOnly="1" outline="0" fieldPosition="0">
        <references count="1">
          <reference field="6" count="0"/>
        </references>
      </pivotArea>
    </format>
    <format dxfId="408">
      <pivotArea field="0" type="button" dataOnly="0" labelOnly="1" outline="0" axis="axisPage" fieldPosition="0"/>
    </format>
    <format dxfId="407">
      <pivotArea dataOnly="0" labelOnly="1" outline="0" fieldPosition="0">
        <references count="1">
          <reference field="0" count="0"/>
        </references>
      </pivotArea>
    </format>
    <format dxfId="406">
      <pivotArea field="6" type="button" dataOnly="0" labelOnly="1" outline="0" axis="axisPage" fieldPosition="1"/>
    </format>
    <format dxfId="405">
      <pivotArea dataOnly="0" labelOnly="1" outline="0" fieldPosition="0">
        <references count="1">
          <reference field="6" count="0"/>
        </references>
      </pivotArea>
    </format>
    <format dxfId="404">
      <pivotArea field="0" type="button" dataOnly="0" labelOnly="1" outline="0" axis="axisPage" fieldPosition="0"/>
    </format>
    <format dxfId="403">
      <pivotArea field="6" type="button" dataOnly="0" labelOnly="1" outline="0" axis="axisPage" fieldPosition="1"/>
    </format>
    <format dxfId="402">
      <pivotArea field="0" type="button" dataOnly="0" labelOnly="1" outline="0" axis="axisPage" fieldPosition="0"/>
    </format>
    <format dxfId="401">
      <pivotArea field="6" type="button" dataOnly="0" labelOnly="1" outline="0" axis="axisPage" fieldPosition="1"/>
    </format>
    <format dxfId="400">
      <pivotArea field="0" type="button" dataOnly="0" labelOnly="1" outline="0" axis="axisPage" fieldPosition="0"/>
    </format>
    <format dxfId="399">
      <pivotArea field="6" type="button" dataOnly="0" labelOnly="1" outline="0" axis="axisPage" fieldPosition="1"/>
    </format>
    <format dxfId="398">
      <pivotArea field="0" type="button" dataOnly="0" labelOnly="1" outline="0" axis="axisPage" fieldPosition="0"/>
    </format>
    <format dxfId="397">
      <pivotArea field="6" type="button" dataOnly="0" labelOnly="1" outline="0" axis="axisPage" fieldPosition="1"/>
    </format>
    <format dxfId="396">
      <pivotArea field="0" type="button" dataOnly="0" labelOnly="1" outline="0" axis="axisPage" fieldPosition="0"/>
    </format>
    <format dxfId="395">
      <pivotArea field="6" type="button" dataOnly="0" labelOnly="1" outline="0" axis="axisPage" fieldPosition="1"/>
    </format>
    <format dxfId="394">
      <pivotArea field="0" type="button" dataOnly="0" labelOnly="1" outline="0" axis="axisPage" fieldPosition="0"/>
    </format>
    <format dxfId="393">
      <pivotArea dataOnly="0" labelOnly="1" outline="0" fieldPosition="0">
        <references count="1">
          <reference field="0" count="0"/>
        </references>
      </pivotArea>
    </format>
    <format dxfId="392">
      <pivotArea field="6" type="button" dataOnly="0" labelOnly="1" outline="0" axis="axisPage" fieldPosition="1"/>
    </format>
    <format dxfId="391">
      <pivotArea dataOnly="0" labelOnly="1" outline="0" fieldPosition="0">
        <references count="1">
          <reference field="6" count="0"/>
        </references>
      </pivotArea>
    </format>
    <format dxfId="390">
      <pivotArea field="0" type="button" dataOnly="0" labelOnly="1" outline="0" axis="axisPage" fieldPosition="0"/>
    </format>
    <format dxfId="389">
      <pivotArea dataOnly="0" labelOnly="1" outline="0" fieldPosition="0">
        <references count="1">
          <reference field="0" count="0"/>
        </references>
      </pivotArea>
    </format>
    <format dxfId="388">
      <pivotArea field="6" type="button" dataOnly="0" labelOnly="1" outline="0" axis="axisPage" fieldPosition="1"/>
    </format>
    <format dxfId="387">
      <pivotArea dataOnly="0" labelOnly="1" outline="0" fieldPosition="0">
        <references count="1">
          <reference field="6" count="0"/>
        </references>
      </pivotArea>
    </format>
    <format dxfId="386">
      <pivotArea field="0" type="button" dataOnly="0" labelOnly="1" outline="0" axis="axisPage" fieldPosition="0"/>
    </format>
    <format dxfId="385">
      <pivotArea dataOnly="0" labelOnly="1" outline="0" fieldPosition="0">
        <references count="1">
          <reference field="0" count="0"/>
        </references>
      </pivotArea>
    </format>
    <format dxfId="384">
      <pivotArea field="6" type="button" dataOnly="0" labelOnly="1" outline="0" axis="axisPage" fieldPosition="1"/>
    </format>
    <format dxfId="383">
      <pivotArea dataOnly="0" labelOnly="1" outline="0" fieldPosition="0">
        <references count="1">
          <reference field="6" count="0"/>
        </references>
      </pivotArea>
    </format>
    <format dxfId="382">
      <pivotArea field="0" type="button" dataOnly="0" labelOnly="1" outline="0" axis="axisPage" fieldPosition="0"/>
    </format>
    <format dxfId="381">
      <pivotArea dataOnly="0" labelOnly="1" outline="0" fieldPosition="0">
        <references count="1">
          <reference field="0" count="0"/>
        </references>
      </pivotArea>
    </format>
    <format dxfId="380">
      <pivotArea field="6" type="button" dataOnly="0" labelOnly="1" outline="0" axis="axisPage" fieldPosition="1"/>
    </format>
    <format dxfId="379">
      <pivotArea dataOnly="0" labelOnly="1" outline="0" fieldPosition="0">
        <references count="1">
          <reference field="6" count="0"/>
        </references>
      </pivotArea>
    </format>
    <format dxfId="378">
      <pivotArea field="0" type="button" dataOnly="0" labelOnly="1" outline="0" axis="axisPage" fieldPosition="0"/>
    </format>
    <format dxfId="377">
      <pivotArea dataOnly="0" labelOnly="1" outline="0" fieldPosition="0">
        <references count="1">
          <reference field="0" count="0"/>
        </references>
      </pivotArea>
    </format>
    <format dxfId="376">
      <pivotArea field="6" type="button" dataOnly="0" labelOnly="1" outline="0" axis="axisPage" fieldPosition="1"/>
    </format>
    <format dxfId="375">
      <pivotArea dataOnly="0" labelOnly="1" outline="0" fieldPosition="0">
        <references count="1">
          <reference field="6" count="0"/>
        </references>
      </pivotArea>
    </format>
    <format dxfId="374">
      <pivotArea field="0" type="button" dataOnly="0" labelOnly="1" outline="0" axis="axisPage" fieldPosition="0"/>
    </format>
    <format dxfId="373">
      <pivotArea dataOnly="0" labelOnly="1" outline="0" fieldPosition="0">
        <references count="1">
          <reference field="0" count="0"/>
        </references>
      </pivotArea>
    </format>
    <format dxfId="372">
      <pivotArea field="6" type="button" dataOnly="0" labelOnly="1" outline="0" axis="axisPage" fieldPosition="1"/>
    </format>
    <format dxfId="371">
      <pivotArea dataOnly="0" labelOnly="1" outline="0" fieldPosition="0">
        <references count="1">
          <reference field="6" count="0"/>
        </references>
      </pivotArea>
    </format>
    <format dxfId="370">
      <pivotArea dataOnly="0" labelOnly="1" outline="0" fieldPosition="0">
        <references count="1">
          <reference field="0" count="0"/>
        </references>
      </pivotArea>
    </format>
    <format dxfId="369">
      <pivotArea dataOnly="0" labelOnly="1" outline="0" fieldPosition="0">
        <references count="1">
          <reference field="6" count="0"/>
        </references>
      </pivotArea>
    </format>
    <format dxfId="368">
      <pivotArea field="0" type="button" dataOnly="0" labelOnly="1" outline="0" axis="axisPage" fieldPosition="0"/>
    </format>
    <format dxfId="367">
      <pivotArea dataOnly="0" labelOnly="1" outline="0" fieldPosition="0">
        <references count="1">
          <reference field="0" count="0"/>
        </references>
      </pivotArea>
    </format>
    <format dxfId="366">
      <pivotArea field="6" type="button" dataOnly="0" labelOnly="1" outline="0" axis="axisPage" fieldPosition="1"/>
    </format>
    <format dxfId="365">
      <pivotArea dataOnly="0" labelOnly="1" outline="0" fieldPosition="0">
        <references count="1">
          <reference field="6" count="0"/>
        </references>
      </pivotArea>
    </format>
    <format dxfId="364">
      <pivotArea field="0" type="button" dataOnly="0" labelOnly="1" outline="0" axis="axisPage" fieldPosition="0"/>
    </format>
    <format dxfId="363">
      <pivotArea field="6" type="button" dataOnly="0" labelOnly="1" outline="0" axis="axisPage" fieldPosition="1"/>
    </format>
    <format dxfId="362">
      <pivotArea field="0" type="button" dataOnly="0" labelOnly="1" outline="0" axis="axisPage" fieldPosition="0"/>
    </format>
    <format dxfId="361">
      <pivotArea dataOnly="0" labelOnly="1" outline="0" fieldPosition="0">
        <references count="1">
          <reference field="0" count="0"/>
        </references>
      </pivotArea>
    </format>
    <format dxfId="360">
      <pivotArea field="6" type="button" dataOnly="0" labelOnly="1" outline="0" axis="axisPage" fieldPosition="1"/>
    </format>
    <format dxfId="359">
      <pivotArea dataOnly="0" labelOnly="1" outline="0" fieldPosition="0">
        <references count="1">
          <reference field="6" count="0"/>
        </references>
      </pivotArea>
    </format>
    <format dxfId="358">
      <pivotArea field="0" type="button" dataOnly="0" labelOnly="1" outline="0" axis="axisPage" fieldPosition="0"/>
    </format>
    <format dxfId="357">
      <pivotArea dataOnly="0" labelOnly="1" outline="0" fieldPosition="0">
        <references count="1">
          <reference field="0" count="0"/>
        </references>
      </pivotArea>
    </format>
    <format dxfId="356">
      <pivotArea field="6" type="button" dataOnly="0" labelOnly="1" outline="0" axis="axisPage" fieldPosition="1"/>
    </format>
    <format dxfId="355">
      <pivotArea dataOnly="0" labelOnly="1" outline="0" fieldPosition="0">
        <references count="1">
          <reference field="6" count="0"/>
        </references>
      </pivotArea>
    </format>
    <format dxfId="354">
      <pivotArea field="0" type="button" dataOnly="0" labelOnly="1" outline="0" axis="axisPage" fieldPosition="0"/>
    </format>
    <format dxfId="353">
      <pivotArea dataOnly="0" labelOnly="1" outline="0" fieldPosition="0">
        <references count="1">
          <reference field="0" count="0"/>
        </references>
      </pivotArea>
    </format>
    <format dxfId="352">
      <pivotArea field="6" type="button" dataOnly="0" labelOnly="1" outline="0" axis="axisPage" fieldPosition="1"/>
    </format>
    <format dxfId="351">
      <pivotArea dataOnly="0" labelOnly="1" outline="0" fieldPosition="0">
        <references count="1">
          <reference field="6" count="0"/>
        </references>
      </pivotArea>
    </format>
  </formats>
  <pivotHierarchies count="13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caption="Enquiry Created date for Outcomes">
      <mps count="3">
        <mp field="9"/>
        <mp field="10"/>
        <mp field="11"/>
      </mps>
    </pivotHierarchy>
    <pivotHierarchy/>
    <pivotHierarchy/>
    <pivotHierarchy/>
    <pivotHierarchy/>
    <pivotHierarchy multipleItemSelectionAllowed="1" caption="Outcome Date">
      <mps count="3">
        <mp field="3"/>
        <mp field="4"/>
        <mp field="5"/>
      </mps>
      <members count="1" level="1">
        <member name="[Monthly Calendar Outcome Date].[Financial].[Year].&amp;[2016-17]"/>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fieldListSortAscending="1">
  <location ref="AH8:AI9" firstHeaderRow="0" firstDataRow="1" firstDataCol="0" rowPageCount="1" colPageCount="1"/>
  <pivotFields count="3">
    <pivotField axis="axisPage" allDrilled="1" showAll="0" dataSourceSort="1" defaultAttributeDrillState="1">
      <items count="1">
        <item t="default"/>
      </items>
    </pivotField>
    <pivotField dataField="1" showAll="0"/>
    <pivotField dataField="1" showAll="0"/>
  </pivotFields>
  <rowItems count="1">
    <i/>
  </rowItems>
  <colFields count="1">
    <field x="-2"/>
  </colFields>
  <colItems count="2">
    <i>
      <x/>
    </i>
    <i i="1">
      <x v="1"/>
    </i>
  </colItems>
  <pageFields count="1">
    <pageField fld="0" hier="0" name="[Advice Event Type].[Advice Event Type].&amp;[Day sheet AIC Creation]" cap="Day sheet AIC Creation"/>
  </pageFields>
  <dataFields count="2">
    <dataField fld="1" baseField="0" baseItem="0"/>
    <dataField fld="2" baseField="0" baseItem="0"/>
  </dataFields>
  <pivotHierarchies count="11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 cacheId="11" applyNumberFormats="0" applyBorderFormats="0" applyFontFormats="0" applyPatternFormats="0" applyAlignmentFormats="0" applyWidthHeightFormats="1" dataCaption="Values" updatedVersion="4" minRefreshableVersion="3" subtotalHiddenItems="1" itemPrintTitles="1" createdVersion="4" indent="0" outline="1" outlineData="1" multipleFieldFilters="0" fieldListSortAscending="1">
  <location ref="B18" firstHeaderRow="0" firstDataRow="0" firstDataCol="0" rowPageCount="4" colPageCount="1"/>
  <pivotFields count="16">
    <pivotField axis="axisPage" allDrilled="1" showAll="0" dataSourceSort="1" defaultAttributeDrillState="1">
      <items count="1">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s>
  <pageFields count="4">
    <pageField fld="0" hier="0" name="[Advice Event Type].[Advice Event Type].&amp;[Gateway AIC Creation]" cap="Gateway AIC Creation"/>
    <pageField fld="1" hier="92" name="[Monthly Calendar].[Financial].[Year].&amp;[2016-17]" cap="2016-17"/>
    <pageField fld="9" hier="88" name="[Local Organisation].[CAB].[Member].&amp;[York (member)]&amp;[Yorkshire &amp; the Humber]" cap="York (member)"/>
    <pageField fld="7" hier="97" name="[National Funder].[Funder].[All]" cap="All"/>
  </pageFields>
  <formats count="14">
    <format dxfId="326">
      <pivotArea outline="0" collapsedLevelsAreSubtotals="1" fieldPosition="0"/>
    </format>
    <format dxfId="325">
      <pivotArea outline="0" collapsedLevelsAreSubtotals="1" fieldPosition="0"/>
    </format>
    <format dxfId="324">
      <pivotArea field="0" type="button" dataOnly="0" labelOnly="1" outline="0" axis="axisPage" fieldPosition="0"/>
    </format>
    <format dxfId="323">
      <pivotArea dataOnly="0" labelOnly="1" outline="0" fieldPosition="0">
        <references count="1">
          <reference field="0" count="0"/>
        </references>
      </pivotArea>
    </format>
    <format dxfId="322">
      <pivotArea field="1" type="button" dataOnly="0" labelOnly="1" outline="0" axis="axisPage" fieldPosition="1"/>
    </format>
    <format dxfId="321">
      <pivotArea dataOnly="0" labelOnly="1" outline="0" fieldPosition="0">
        <references count="1">
          <reference field="1" count="0"/>
        </references>
      </pivotArea>
    </format>
    <format dxfId="320">
      <pivotArea field="0" type="button" dataOnly="0" labelOnly="1" outline="0" axis="axisPage" fieldPosition="0"/>
    </format>
    <format dxfId="319">
      <pivotArea dataOnly="0" labelOnly="1" outline="0" fieldPosition="0">
        <references count="1">
          <reference field="0" count="0"/>
        </references>
      </pivotArea>
    </format>
    <format dxfId="318">
      <pivotArea field="1" type="button" dataOnly="0" labelOnly="1" outline="0" axis="axisPage" fieldPosition="1"/>
    </format>
    <format dxfId="317">
      <pivotArea dataOnly="0" labelOnly="1" outline="0" fieldPosition="0">
        <references count="1">
          <reference field="1" count="0"/>
        </references>
      </pivotArea>
    </format>
    <format dxfId="316">
      <pivotArea field="9" type="button" dataOnly="0" labelOnly="1" outline="0" axis="axisPage" fieldPosition="2"/>
    </format>
    <format dxfId="315">
      <pivotArea dataOnly="0" labelOnly="1" outline="0" fieldPosition="0">
        <references count="1">
          <reference field="9" count="0"/>
        </references>
      </pivotArea>
    </format>
    <format dxfId="314">
      <pivotArea field="7" type="button" dataOnly="0" labelOnly="1" outline="0" axis="axisPage" fieldPosition="3"/>
    </format>
    <format dxfId="313">
      <pivotArea dataOnly="0" labelOnly="1" outline="0" fieldPosition="0">
        <references count="1">
          <reference field="7" count="0"/>
        </references>
      </pivotArea>
    </format>
  </formats>
  <pivotHierarchies count="114">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3"/>
        <mp field="14"/>
        <mp field="15"/>
      </mps>
      <members count="1" level="2">
        <member name="[Local Organisation].[CAB].[Member].&amp;[York (member)]&amp;[Yorkshire &amp; the Humber]"/>
      </members>
    </pivotHierarchy>
    <pivotHierarchy/>
    <pivotHierarchy multipleItemSelectionAllowed="1"/>
    <pivotHierarchy/>
    <pivotHierarchy multipleItemSelectionAllowed="1">
      <mps count="3">
        <mp field="4"/>
        <mp field="5"/>
        <mp field="6"/>
      </mps>
      <members count="1" level="1">
        <member name="[Monthly Calendar].[Financial].[Year].&amp;[2016-17]"/>
      </members>
    </pivotHierarchy>
    <pivotHierarchy/>
    <pivotHierarchy/>
    <pivotHierarchy/>
    <pivotHierarchy/>
    <pivotHierarchy multipleItemSelectionAllowed="1">
      <mps count="1">
        <mp field="8"/>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5" cacheId="12" applyNumberFormats="0" applyBorderFormats="0" applyFontFormats="0" applyPatternFormats="0" applyAlignmentFormats="0" applyWidthHeightFormats="1" dataCaption="Values" updatedVersion="4" minRefreshableVersion="3" disableFieldList="1" showDrill="0" enableWizard="0" enableFieldProperties="0" subtotalHiddenItems="1" colGrandTotals="0" itemPrintTitles="1" createdVersion="4" indent="0" compact="0" compactData="0" multipleFieldFilters="0" fieldListSortAscending="1">
  <location ref="B21:F239" firstHeaderRow="0" firstDataRow="1" firstDataCol="2" rowPageCount="4" colPageCount="1"/>
  <pivotFields count="22">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Page" compact="0" allDrilled="1" outline="0" subtotalTop="0" showAll="0" dataSourceSort="1">
      <items count="1">
        <item t="default"/>
      </items>
      <extLst>
        <ext xmlns:x14="http://schemas.microsoft.com/office/spreadsheetml/2009/9/main" uri="{2946ED86-A175-432a-8AC1-64E0C546D7DE}">
          <x14:pivotField fillDownLabels="1"/>
        </ext>
      </extLst>
    </pivotField>
    <pivotField axis="axisPage" compact="0" outline="0" subtotalTop="0" showAll="0" dataSourceSort="1">
      <items count="1">
        <item t="default"/>
      </items>
      <extLst>
        <ext xmlns:x14="http://schemas.microsoft.com/office/spreadsheetml/2009/9/main" uri="{2946ED86-A175-432a-8AC1-64E0C546D7DE}">
          <x14:pivotField fillDownLabels="1"/>
        </ext>
      </extLst>
    </pivotField>
    <pivotField axis="axisPage" compact="0" outline="0" subtotalTop="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17">
        <item x="0"/>
        <item x="1"/>
        <item x="2"/>
        <item x="3"/>
        <item x="4"/>
        <item x="5"/>
        <item x="6"/>
        <item x="7"/>
        <item x="8"/>
        <item x="9"/>
        <item x="10"/>
        <item x="11"/>
        <item x="12"/>
        <item x="13"/>
        <item x="14"/>
        <item x="15"/>
        <item t="default"/>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2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11"/>
    <field x="12"/>
  </rowFields>
  <rowItems count="218">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t="default">
      <x/>
    </i>
    <i>
      <x v="1"/>
      <x v="23"/>
    </i>
    <i r="1">
      <x v="24"/>
    </i>
    <i r="1">
      <x v="25"/>
    </i>
    <i r="1">
      <x v="26"/>
    </i>
    <i r="1">
      <x v="27"/>
    </i>
    <i r="1">
      <x v="28"/>
    </i>
    <i r="1">
      <x v="29"/>
    </i>
    <i r="1">
      <x v="30"/>
    </i>
    <i r="1">
      <x v="31"/>
    </i>
    <i r="1">
      <x v="32"/>
    </i>
    <i r="1">
      <x v="33"/>
    </i>
    <i r="1">
      <x v="34"/>
    </i>
    <i r="1">
      <x v="35"/>
    </i>
    <i r="1">
      <x v="36"/>
    </i>
    <i r="1">
      <x v="37"/>
    </i>
    <i r="1">
      <x v="38"/>
    </i>
    <i r="1">
      <x v="39"/>
    </i>
    <i r="1">
      <x v="40"/>
    </i>
    <i r="1">
      <x v="41"/>
    </i>
    <i r="1">
      <x v="42"/>
    </i>
    <i t="default">
      <x v="1"/>
    </i>
    <i>
      <x v="2"/>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t="default">
      <x v="2"/>
    </i>
    <i>
      <x v="3"/>
      <x v="77"/>
    </i>
    <i r="1">
      <x v="78"/>
    </i>
    <i r="1">
      <x v="79"/>
    </i>
    <i r="1">
      <x v="80"/>
    </i>
    <i r="1">
      <x v="81"/>
    </i>
    <i r="1">
      <x v="82"/>
    </i>
    <i r="1">
      <x v="83"/>
    </i>
    <i r="1">
      <x v="84"/>
    </i>
    <i r="1">
      <x v="85"/>
    </i>
    <i t="default">
      <x v="3"/>
    </i>
    <i>
      <x v="4"/>
      <x v="86"/>
    </i>
    <i r="1">
      <x v="87"/>
    </i>
    <i r="1">
      <x v="88"/>
    </i>
    <i r="1">
      <x v="89"/>
    </i>
    <i r="1">
      <x v="90"/>
    </i>
    <i r="1">
      <x v="91"/>
    </i>
    <i r="1">
      <x v="92"/>
    </i>
    <i t="default">
      <x v="4"/>
    </i>
    <i>
      <x v="5"/>
      <x v="93"/>
    </i>
    <i r="1">
      <x v="94"/>
    </i>
    <i r="1">
      <x v="95"/>
    </i>
    <i r="1">
      <x v="96"/>
    </i>
    <i r="1">
      <x v="97"/>
    </i>
    <i r="1">
      <x v="98"/>
    </i>
    <i r="1">
      <x v="99"/>
    </i>
    <i r="1">
      <x v="100"/>
    </i>
    <i r="1">
      <x v="101"/>
    </i>
    <i r="1">
      <x v="102"/>
    </i>
    <i r="1">
      <x v="103"/>
    </i>
    <i r="1">
      <x v="104"/>
    </i>
    <i r="1">
      <x v="105"/>
    </i>
    <i t="default">
      <x v="5"/>
    </i>
    <i>
      <x v="6"/>
      <x v="106"/>
    </i>
    <i r="1">
      <x v="107"/>
    </i>
    <i r="1">
      <x v="108"/>
    </i>
    <i r="1">
      <x v="109"/>
    </i>
    <i r="1">
      <x v="110"/>
    </i>
    <i r="1">
      <x v="111"/>
    </i>
    <i r="1">
      <x v="112"/>
    </i>
    <i r="1">
      <x v="113"/>
    </i>
    <i r="1">
      <x v="114"/>
    </i>
    <i r="1">
      <x v="115"/>
    </i>
    <i r="1">
      <x v="116"/>
    </i>
    <i r="1">
      <x v="117"/>
    </i>
    <i r="1">
      <x v="118"/>
    </i>
    <i r="1">
      <x v="119"/>
    </i>
    <i r="1">
      <x v="120"/>
    </i>
    <i r="1">
      <x v="121"/>
    </i>
    <i r="1">
      <x v="122"/>
    </i>
    <i t="default">
      <x v="6"/>
    </i>
    <i>
      <x v="7"/>
      <x v="123"/>
    </i>
    <i r="1">
      <x v="124"/>
    </i>
    <i r="1">
      <x v="125"/>
    </i>
    <i r="1">
      <x v="126"/>
    </i>
    <i r="1">
      <x v="127"/>
    </i>
    <i r="1">
      <x v="128"/>
    </i>
    <i r="1">
      <x v="129"/>
    </i>
    <i r="1">
      <x v="130"/>
    </i>
    <i r="1">
      <x v="131"/>
    </i>
    <i r="1">
      <x v="132"/>
    </i>
    <i r="1">
      <x v="133"/>
    </i>
    <i r="1">
      <x v="134"/>
    </i>
    <i r="1">
      <x v="135"/>
    </i>
    <i r="1">
      <x v="136"/>
    </i>
    <i r="1">
      <x v="137"/>
    </i>
    <i t="default">
      <x v="7"/>
    </i>
    <i>
      <x v="8"/>
      <x v="138"/>
    </i>
    <i r="1">
      <x v="139"/>
    </i>
    <i r="1">
      <x v="140"/>
    </i>
    <i r="1">
      <x v="141"/>
    </i>
    <i r="1">
      <x v="142"/>
    </i>
    <i r="1">
      <x v="143"/>
    </i>
    <i r="1">
      <x v="144"/>
    </i>
    <i r="1">
      <x v="145"/>
    </i>
    <i r="1">
      <x v="146"/>
    </i>
    <i r="1">
      <x v="147"/>
    </i>
    <i r="1">
      <x v="148"/>
    </i>
    <i t="default">
      <x v="8"/>
    </i>
    <i>
      <x v="9"/>
      <x v="149"/>
    </i>
    <i r="1">
      <x v="150"/>
    </i>
    <i r="1">
      <x v="151"/>
    </i>
    <i r="1">
      <x v="152"/>
    </i>
    <i r="1">
      <x v="153"/>
    </i>
    <i r="1">
      <x v="154"/>
    </i>
    <i r="1">
      <x v="155"/>
    </i>
    <i r="1">
      <x v="156"/>
    </i>
    <i r="1">
      <x v="157"/>
    </i>
    <i t="default">
      <x v="9"/>
    </i>
    <i>
      <x v="10"/>
      <x v="158"/>
    </i>
    <i r="1">
      <x v="159"/>
    </i>
    <i r="1">
      <x v="160"/>
    </i>
    <i r="1">
      <x v="161"/>
    </i>
    <i r="1">
      <x v="162"/>
    </i>
    <i r="1">
      <x v="163"/>
    </i>
    <i r="1">
      <x v="164"/>
    </i>
    <i r="1">
      <x v="165"/>
    </i>
    <i r="1">
      <x v="166"/>
    </i>
    <i r="1">
      <x v="167"/>
    </i>
    <i t="default">
      <x v="10"/>
    </i>
    <i>
      <x v="11"/>
      <x v="168"/>
    </i>
    <i r="1">
      <x v="169"/>
    </i>
    <i r="1">
      <x v="170"/>
    </i>
    <i t="default">
      <x v="11"/>
    </i>
    <i>
      <x v="12"/>
      <x v="171"/>
    </i>
    <i r="1">
      <x v="172"/>
    </i>
    <i r="1">
      <x v="173"/>
    </i>
    <i r="1">
      <x v="174"/>
    </i>
    <i r="1">
      <x v="175"/>
    </i>
    <i r="1">
      <x v="176"/>
    </i>
    <i r="1">
      <x v="177"/>
    </i>
    <i r="1">
      <x v="178"/>
    </i>
    <i r="1">
      <x v="179"/>
    </i>
    <i r="1">
      <x v="180"/>
    </i>
    <i t="default">
      <x v="12"/>
    </i>
    <i>
      <x v="13"/>
      <x v="181"/>
    </i>
    <i r="1">
      <x v="182"/>
    </i>
    <i r="1">
      <x v="183"/>
    </i>
    <i r="1">
      <x v="184"/>
    </i>
    <i t="default">
      <x v="13"/>
    </i>
    <i>
      <x v="14"/>
      <x v="185"/>
    </i>
    <i r="1">
      <x v="186"/>
    </i>
    <i r="1">
      <x v="187"/>
    </i>
    <i r="1">
      <x v="188"/>
    </i>
    <i r="1">
      <x v="189"/>
    </i>
    <i r="1">
      <x v="190"/>
    </i>
    <i r="1">
      <x v="191"/>
    </i>
    <i t="default">
      <x v="14"/>
    </i>
    <i>
      <x v="15"/>
      <x v="192"/>
    </i>
    <i r="1">
      <x v="193"/>
    </i>
    <i r="1">
      <x v="194"/>
    </i>
    <i r="1">
      <x v="195"/>
    </i>
    <i r="1">
      <x v="196"/>
    </i>
    <i r="1">
      <x v="197"/>
    </i>
    <i r="1">
      <x v="198"/>
    </i>
    <i r="1">
      <x v="199"/>
    </i>
    <i r="1">
      <x v="200"/>
    </i>
    <i t="default">
      <x v="15"/>
    </i>
    <i t="grand">
      <x/>
    </i>
  </rowItems>
  <colFields count="1">
    <field x="-2"/>
  </colFields>
  <colItems count="3">
    <i>
      <x/>
    </i>
    <i i="1">
      <x v="1"/>
    </i>
    <i i="2">
      <x v="2"/>
    </i>
  </colItems>
  <pageFields count="4">
    <pageField fld="8" hier="0" name="[Advice Event Type].[Advice Event Type].&amp;[Gateway AIC Creation]" cap="Gateway AIC Creation"/>
    <pageField fld="14" hier="88" name="[Local Organisation].[CAB].[Member].&amp;[York (member)]&amp;[Yorkshire &amp; the Humber]" cap="York (member)"/>
    <pageField fld="2" hier="92" name="[Monthly Calendar].[Financial].[Year].&amp;[2016-17]" cap="2016-17"/>
    <pageField fld="9" hier="97" name="[National Funder].[Funder].[All]" cap="All"/>
  </pageFields>
  <dataFields count="3">
    <dataField name="Issues" fld="0" baseField="0" baseItem="0"/>
    <dataField name="% of Part 1 Category" fld="21" baseField="11" baseItem="1048829" numFmtId="164">
      <extLst>
        <ext xmlns:x14="http://schemas.microsoft.com/office/spreadsheetml/2009/9/main" uri="{E15A36E0-9728-4e99-A89B-3F7291B0FE68}">
          <x14:dataField pivotShowAs="percentOfParent" sourceField="0" uniqueName="[__Xl2].[Measures].[Number of Advice Events]"/>
        </ext>
      </extLst>
    </dataField>
    <dataField fld="1" baseField="0" baseItem="0"/>
  </dataFields>
  <formats count="23">
    <format dxfId="312">
      <pivotArea type="all" dataOnly="0" outline="0" fieldPosition="0"/>
    </format>
    <format dxfId="311">
      <pivotArea type="all" dataOnly="0" outline="0" fieldPosition="0"/>
    </format>
    <format dxfId="310">
      <pivotArea outline="0" collapsedLevelsAreSubtotals="1" fieldPosition="0"/>
    </format>
    <format dxfId="309">
      <pivotArea dataOnly="0" labelOnly="1" outline="0" fieldPosition="0">
        <references count="1">
          <reference field="4294967294" count="2">
            <x v="0"/>
            <x v="2"/>
          </reference>
        </references>
      </pivotArea>
    </format>
    <format dxfId="308">
      <pivotArea field="11" type="button" dataOnly="0" labelOnly="1" outline="0" axis="axisRow" fieldPosition="0"/>
    </format>
    <format dxfId="307">
      <pivotArea field="12" type="button" dataOnly="0" labelOnly="1" outline="0" axis="axisRow" fieldPosition="1"/>
    </format>
    <format dxfId="306">
      <pivotArea dataOnly="0" labelOnly="1" outline="0" fieldPosition="0">
        <references count="1">
          <reference field="4294967294" count="2">
            <x v="0"/>
            <x v="2"/>
          </reference>
        </references>
      </pivotArea>
    </format>
    <format dxfId="305">
      <pivotArea field="11" type="button" dataOnly="0" labelOnly="1" outline="0" axis="axisRow" fieldPosition="0"/>
    </format>
    <format dxfId="304">
      <pivotArea field="12" type="button" dataOnly="0" labelOnly="1" outline="0" axis="axisRow" fieldPosition="1"/>
    </format>
    <format dxfId="303">
      <pivotArea dataOnly="0" labelOnly="1" outline="0" fieldPosition="0">
        <references count="1">
          <reference field="4294967294" count="2">
            <x v="0"/>
            <x v="2"/>
          </reference>
        </references>
      </pivotArea>
    </format>
    <format dxfId="302">
      <pivotArea outline="0" fieldPosition="0">
        <references count="1">
          <reference field="4294967294" count="1">
            <x v="1"/>
          </reference>
        </references>
      </pivotArea>
    </format>
    <format dxfId="301">
      <pivotArea dataOnly="0" labelOnly="1" outline="0" fieldPosition="0">
        <references count="1">
          <reference field="4294967294" count="1">
            <x v="1"/>
          </reference>
        </references>
      </pivotArea>
    </format>
    <format dxfId="300">
      <pivotArea dataOnly="0" labelOnly="1" outline="0" fieldPosition="0">
        <references count="1">
          <reference field="4294967294" count="1">
            <x v="1"/>
          </reference>
        </references>
      </pivotArea>
    </format>
    <format dxfId="299">
      <pivotArea field="11" type="button" dataOnly="0" labelOnly="1" outline="0" axis="axisRow" fieldPosition="0"/>
    </format>
    <format dxfId="298">
      <pivotArea field="12" type="button" dataOnly="0" labelOnly="1" outline="0" axis="axisRow" fieldPosition="1"/>
    </format>
    <format dxfId="297">
      <pivotArea dataOnly="0" labelOnly="1" outline="0" fieldPosition="0">
        <references count="1">
          <reference field="4294967294" count="3">
            <x v="0"/>
            <x v="1"/>
            <x v="2"/>
          </reference>
        </references>
      </pivotArea>
    </format>
    <format dxfId="296">
      <pivotArea outline="0" collapsedLevelsAreSubtotals="1" fieldPosition="0">
        <references count="1">
          <reference field="4294967294" count="1" selected="0">
            <x v="1"/>
          </reference>
        </references>
      </pivotArea>
    </format>
    <format dxfId="295">
      <pivotArea dataOnly="0" labelOnly="1" outline="0" fieldPosition="0">
        <references count="1">
          <reference field="4294967294" count="1">
            <x v="1"/>
          </reference>
        </references>
      </pivotArea>
    </format>
    <format dxfId="294">
      <pivotArea outline="0" collapsedLevelsAreSubtotals="1" fieldPosition="0"/>
    </format>
    <format dxfId="293">
      <pivotArea type="all" dataOnly="0" outline="0" fieldPosition="0"/>
    </format>
    <format dxfId="292">
      <pivotArea field="11" type="button" dataOnly="0" labelOnly="1" outline="0" axis="axisRow" fieldPosition="0"/>
    </format>
    <format dxfId="291">
      <pivotArea field="12" type="button" dataOnly="0" labelOnly="1" outline="0" axis="axisRow" fieldPosition="1"/>
    </format>
    <format dxfId="290">
      <pivotArea dataOnly="0" labelOnly="1" outline="0" fieldPosition="0">
        <references count="1">
          <reference field="4294967294" count="3">
            <x v="0"/>
            <x v="1"/>
            <x v="2"/>
          </reference>
        </references>
      </pivotArea>
    </format>
  </formats>
  <pivotHierarchies count="115">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mps count="1">
        <mp field="13"/>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8"/>
        <mp field="19"/>
        <mp field="20"/>
      </mps>
      <members count="1" level="2">
        <member name="[Local Organisation].[CAB].[Member].&amp;[York (member)]&amp;[Yorkshire &amp; the Humber]"/>
      </members>
    </pivotHierarchy>
    <pivotHierarchy/>
    <pivotHierarchy multipleItemSelectionAllowed="1"/>
    <pivotHierarchy/>
    <pivotHierarchy multipleItemSelectionAllowed="1">
      <mps count="3">
        <mp field="5"/>
        <mp field="6"/>
        <mp field="7"/>
      </mps>
      <members count="1" level="1">
        <member name="[Monthly Calendar].[Financial].[Year].&amp;[2016-17]"/>
      </members>
    </pivotHierarchy>
    <pivotHierarchy/>
    <pivotHierarchy/>
    <pivotHierarchy/>
    <pivotHierarchy/>
    <pivotHierarchy multipleItemSelectionAllowed="1">
      <mps count="1">
        <mp field="10"/>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Issues"/>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Medium9" showRowHeaders="1" showColHeaders="1" showRowStripes="0" showColStripes="0" showLastColumn="1"/>
  <rowHierarchiesUsage count="2">
    <rowHierarchyUsage hierarchyUsage="2"/>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13.xml><?xml version="1.0" encoding="utf-8"?>
<pivotTableDefinition xmlns="http://schemas.openxmlformats.org/spreadsheetml/2006/main" name="PivotTable6" cacheId="13" applyNumberFormats="0" applyBorderFormats="0" applyFontFormats="0" applyPatternFormats="0" applyAlignmentFormats="0" applyWidthHeightFormats="1" dataCaption="Values" updatedVersion="4" minRefreshableVersion="3" disableFieldList="1" showDrill="0" enableWizard="0" enableFieldProperties="0" subtotalHiddenItems="1" rowGrandTotals="0" colGrandTotals="0" itemPrintTitles="1" createdVersion="4" indent="0" compact="0" compactData="0" multipleFieldFilters="0" fieldListSortAscending="1">
  <location ref="B22:G1297" firstHeaderRow="0" firstDataRow="1" firstDataCol="3" rowPageCount="4" colPageCount="1"/>
  <pivotFields count="24">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ubtotalTop="0" showAll="0" dataSourceSort="1">
      <items count="1">
        <item t="default"/>
      </items>
      <extLst>
        <ext xmlns:x14="http://schemas.microsoft.com/office/spreadsheetml/2009/9/main" uri="{2946ED86-A175-432a-8AC1-64E0C546D7DE}">
          <x14:pivotField fillDownLabels="1"/>
        </ext>
      </extLst>
    </pivotField>
    <pivotField axis="axisPage" compact="0" outline="0" subtotalTop="0" showAll="0" dataSourceSort="1">
      <items count="1">
        <item t="default"/>
      </items>
      <extLst>
        <ext xmlns:x14="http://schemas.microsoft.com/office/spreadsheetml/2009/9/main" uri="{2946ED86-A175-432a-8AC1-64E0C546D7DE}">
          <x14:pivotField fillDownLabels="1"/>
        </ext>
      </extLst>
    </pivotField>
    <pivotField axis="axisPage" compact="0" outline="0" subtotalTop="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17">
        <item x="0"/>
        <item x="1"/>
        <item x="2"/>
        <item x="3"/>
        <item x="4"/>
        <item x="5"/>
        <item x="6"/>
        <item x="7"/>
        <item x="8"/>
        <item x="9"/>
        <item x="10"/>
        <item x="11"/>
        <item x="12"/>
        <item x="13"/>
        <item x="14"/>
        <item x="15"/>
        <item t="default"/>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2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10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3">
    <field x="11"/>
    <field x="12"/>
    <field x="14"/>
  </rowFields>
  <rowItems count="1275">
    <i>
      <x/>
      <x/>
      <x/>
    </i>
    <i r="2">
      <x v="1"/>
    </i>
    <i r="2">
      <x v="2"/>
    </i>
    <i r="2">
      <x v="3"/>
    </i>
    <i r="2">
      <x v="4"/>
    </i>
    <i r="2">
      <x v="5"/>
    </i>
    <i r="2">
      <x v="6"/>
    </i>
    <i r="2">
      <x v="7"/>
    </i>
    <i r="2">
      <x v="8"/>
    </i>
    <i r="2">
      <x v="9"/>
    </i>
    <i t="default" r="1">
      <x/>
    </i>
    <i r="1">
      <x v="1"/>
      <x v="10"/>
    </i>
    <i r="2">
      <x v="11"/>
    </i>
    <i r="2">
      <x v="12"/>
    </i>
    <i r="2">
      <x v="13"/>
    </i>
    <i r="2">
      <x v="14"/>
    </i>
    <i r="2">
      <x v="15"/>
    </i>
    <i r="2">
      <x v="16"/>
    </i>
    <i r="2">
      <x v="17"/>
    </i>
    <i r="2">
      <x v="18"/>
    </i>
    <i r="2">
      <x v="19"/>
    </i>
    <i r="2">
      <x v="20"/>
    </i>
    <i r="2">
      <x v="21"/>
    </i>
    <i t="default" r="1">
      <x v="1"/>
    </i>
    <i r="1">
      <x v="2"/>
      <x v="22"/>
    </i>
    <i r="2">
      <x v="23"/>
    </i>
    <i r="2">
      <x v="24"/>
    </i>
    <i r="2">
      <x v="25"/>
    </i>
    <i t="default" r="1">
      <x v="2"/>
    </i>
    <i r="1">
      <x v="3"/>
      <x v="26"/>
    </i>
    <i r="2">
      <x v="27"/>
    </i>
    <i r="2">
      <x v="28"/>
    </i>
    <i r="2">
      <x v="29"/>
    </i>
    <i r="2">
      <x v="30"/>
    </i>
    <i r="2">
      <x v="31"/>
    </i>
    <i r="2">
      <x v="32"/>
    </i>
    <i r="2">
      <x v="33"/>
    </i>
    <i r="2">
      <x v="34"/>
    </i>
    <i r="2">
      <x v="35"/>
    </i>
    <i r="2">
      <x v="36"/>
    </i>
    <i r="2">
      <x v="37"/>
    </i>
    <i r="2">
      <x v="38"/>
    </i>
    <i r="2">
      <x v="39"/>
    </i>
    <i r="2">
      <x v="40"/>
    </i>
    <i r="2">
      <x v="41"/>
    </i>
    <i t="default" r="1">
      <x v="3"/>
    </i>
    <i r="1">
      <x v="4"/>
      <x v="42"/>
    </i>
    <i r="2">
      <x v="43"/>
    </i>
    <i r="2">
      <x v="44"/>
    </i>
    <i r="2">
      <x v="45"/>
    </i>
    <i r="2">
      <x v="46"/>
    </i>
    <i r="2">
      <x v="47"/>
    </i>
    <i r="2">
      <x v="48"/>
    </i>
    <i t="default" r="1">
      <x v="4"/>
    </i>
    <i r="1">
      <x v="5"/>
      <x v="49"/>
    </i>
    <i r="2">
      <x v="50"/>
    </i>
    <i r="2">
      <x v="51"/>
    </i>
    <i r="2">
      <x v="52"/>
    </i>
    <i r="2">
      <x v="53"/>
    </i>
    <i r="2">
      <x v="54"/>
    </i>
    <i r="2">
      <x v="55"/>
    </i>
    <i r="2">
      <x v="56"/>
    </i>
    <i r="2">
      <x v="57"/>
    </i>
    <i r="2">
      <x v="58"/>
    </i>
    <i r="2">
      <x v="59"/>
    </i>
    <i r="2">
      <x v="60"/>
    </i>
    <i r="2">
      <x v="61"/>
    </i>
    <i r="2">
      <x v="62"/>
    </i>
    <i r="2">
      <x v="63"/>
    </i>
    <i t="default" r="1">
      <x v="5"/>
    </i>
    <i r="1">
      <x v="6"/>
      <x v="64"/>
    </i>
    <i r="2">
      <x v="65"/>
    </i>
    <i r="2">
      <x v="66"/>
    </i>
    <i r="2">
      <x v="67"/>
    </i>
    <i r="2">
      <x v="68"/>
    </i>
    <i r="2">
      <x v="69"/>
    </i>
    <i r="2">
      <x v="70"/>
    </i>
    <i r="2">
      <x v="71"/>
    </i>
    <i r="2">
      <x v="72"/>
    </i>
    <i r="2">
      <x v="73"/>
    </i>
    <i r="2">
      <x v="74"/>
    </i>
    <i r="2">
      <x v="75"/>
    </i>
    <i r="2">
      <x v="76"/>
    </i>
    <i r="2">
      <x v="77"/>
    </i>
    <i r="2">
      <x v="78"/>
    </i>
    <i t="default" r="1">
      <x v="6"/>
    </i>
    <i r="1">
      <x v="7"/>
      <x v="79"/>
    </i>
    <i r="2">
      <x v="80"/>
    </i>
    <i r="2">
      <x v="81"/>
    </i>
    <i t="default" r="1">
      <x v="7"/>
    </i>
    <i r="1">
      <x v="8"/>
      <x v="82"/>
    </i>
    <i r="2">
      <x v="83"/>
    </i>
    <i r="2">
      <x v="84"/>
    </i>
    <i r="2">
      <x v="85"/>
    </i>
    <i r="2">
      <x v="86"/>
    </i>
    <i t="default" r="1">
      <x v="8"/>
    </i>
    <i r="1">
      <x v="9"/>
      <x v="87"/>
    </i>
    <i r="2">
      <x v="88"/>
    </i>
    <i t="default" r="1">
      <x v="9"/>
    </i>
    <i r="1">
      <x v="10"/>
      <x v="89"/>
    </i>
    <i r="2">
      <x v="90"/>
    </i>
    <i r="2">
      <x v="91"/>
    </i>
    <i r="2">
      <x v="92"/>
    </i>
    <i r="2">
      <x v="93"/>
    </i>
    <i r="2">
      <x v="94"/>
    </i>
    <i r="2">
      <x v="95"/>
    </i>
    <i r="2">
      <x v="96"/>
    </i>
    <i r="2">
      <x v="97"/>
    </i>
    <i r="2">
      <x v="98"/>
    </i>
    <i r="2">
      <x v="99"/>
    </i>
    <i t="default" r="1">
      <x v="10"/>
    </i>
    <i r="1">
      <x v="11"/>
      <x v="100"/>
    </i>
    <i r="2">
      <x v="101"/>
    </i>
    <i r="2">
      <x v="102"/>
    </i>
    <i r="2">
      <x v="103"/>
    </i>
    <i r="2">
      <x v="104"/>
    </i>
    <i r="2">
      <x v="105"/>
    </i>
    <i t="default" r="1">
      <x v="11"/>
    </i>
    <i r="1">
      <x v="12"/>
      <x v="106"/>
    </i>
    <i r="2">
      <x v="107"/>
    </i>
    <i r="2">
      <x v="108"/>
    </i>
    <i r="2">
      <x v="109"/>
    </i>
    <i r="2">
      <x v="110"/>
    </i>
    <i r="2">
      <x v="111"/>
    </i>
    <i t="default" r="1">
      <x v="12"/>
    </i>
    <i r="1">
      <x v="13"/>
      <x v="112"/>
    </i>
    <i r="2">
      <x v="113"/>
    </i>
    <i r="2">
      <x v="114"/>
    </i>
    <i r="2">
      <x v="115"/>
    </i>
    <i r="2">
      <x v="116"/>
    </i>
    <i r="2">
      <x v="117"/>
    </i>
    <i r="2">
      <x v="118"/>
    </i>
    <i r="2">
      <x v="119"/>
    </i>
    <i r="2">
      <x v="120"/>
    </i>
    <i r="2">
      <x v="121"/>
    </i>
    <i r="2">
      <x v="122"/>
    </i>
    <i r="2">
      <x v="123"/>
    </i>
    <i r="2">
      <x v="124"/>
    </i>
    <i r="2">
      <x v="125"/>
    </i>
    <i r="2">
      <x v="126"/>
    </i>
    <i r="2">
      <x v="127"/>
    </i>
    <i r="2">
      <x v="128"/>
    </i>
    <i r="2">
      <x v="129"/>
    </i>
    <i r="2">
      <x v="130"/>
    </i>
    <i r="2">
      <x v="131"/>
    </i>
    <i r="2">
      <x v="132"/>
    </i>
    <i r="2">
      <x v="133"/>
    </i>
    <i r="2">
      <x v="134"/>
    </i>
    <i r="2">
      <x v="135"/>
    </i>
    <i r="2">
      <x v="136"/>
    </i>
    <i t="default" r="1">
      <x v="13"/>
    </i>
    <i r="1">
      <x v="14"/>
      <x v="137"/>
    </i>
    <i r="2">
      <x v="138"/>
    </i>
    <i r="2">
      <x v="139"/>
    </i>
    <i r="2">
      <x v="140"/>
    </i>
    <i r="2">
      <x v="141"/>
    </i>
    <i r="2">
      <x v="142"/>
    </i>
    <i r="2">
      <x v="143"/>
    </i>
    <i r="2">
      <x v="144"/>
    </i>
    <i r="2">
      <x v="145"/>
    </i>
    <i r="2">
      <x v="146"/>
    </i>
    <i r="2">
      <x v="147"/>
    </i>
    <i r="2">
      <x v="148"/>
    </i>
    <i r="2">
      <x v="149"/>
    </i>
    <i r="2">
      <x v="150"/>
    </i>
    <i r="2">
      <x v="151"/>
    </i>
    <i t="default" r="1">
      <x v="14"/>
    </i>
    <i r="1">
      <x v="15"/>
      <x v="152"/>
    </i>
    <i r="2">
      <x v="153"/>
    </i>
    <i r="2">
      <x v="154"/>
    </i>
    <i r="2">
      <x v="155"/>
    </i>
    <i r="2">
      <x v="156"/>
    </i>
    <i r="2">
      <x v="157"/>
    </i>
    <i r="2">
      <x v="158"/>
    </i>
    <i r="2">
      <x v="159"/>
    </i>
    <i r="2">
      <x v="160"/>
    </i>
    <i r="2">
      <x v="161"/>
    </i>
    <i r="2">
      <x v="162"/>
    </i>
    <i r="2">
      <x v="163"/>
    </i>
    <i r="2">
      <x v="164"/>
    </i>
    <i r="2">
      <x v="165"/>
    </i>
    <i r="2">
      <x v="166"/>
    </i>
    <i t="default" r="1">
      <x v="15"/>
    </i>
    <i r="1">
      <x v="16"/>
      <x v="167"/>
    </i>
    <i r="2">
      <x v="168"/>
    </i>
    <i r="2">
      <x v="169"/>
    </i>
    <i r="2">
      <x v="170"/>
    </i>
    <i t="default" r="1">
      <x v="16"/>
    </i>
    <i r="1">
      <x v="17"/>
      <x v="171"/>
    </i>
    <i r="2">
      <x v="172"/>
    </i>
    <i r="2">
      <x v="173"/>
    </i>
    <i r="2">
      <x v="174"/>
    </i>
    <i r="2">
      <x v="175"/>
    </i>
    <i r="2">
      <x v="176"/>
    </i>
    <i r="2">
      <x v="177"/>
    </i>
    <i r="2">
      <x v="178"/>
    </i>
    <i r="2">
      <x v="179"/>
    </i>
    <i t="default" r="1">
      <x v="17"/>
    </i>
    <i r="1">
      <x v="18"/>
      <x v="180"/>
    </i>
    <i r="2">
      <x v="181"/>
    </i>
    <i t="default" r="1">
      <x v="18"/>
    </i>
    <i r="1">
      <x v="19"/>
      <x v="182"/>
    </i>
    <i t="default" r="1">
      <x v="19"/>
    </i>
    <i r="1">
      <x v="20"/>
      <x v="183"/>
    </i>
    <i r="2">
      <x v="184"/>
    </i>
    <i r="2">
      <x v="185"/>
    </i>
    <i r="2">
      <x v="186"/>
    </i>
    <i r="2">
      <x v="187"/>
    </i>
    <i t="default" r="1">
      <x v="20"/>
    </i>
    <i r="1">
      <x v="21"/>
      <x v="188"/>
    </i>
    <i r="2">
      <x v="189"/>
    </i>
    <i r="2">
      <x v="190"/>
    </i>
    <i r="2">
      <x v="191"/>
    </i>
    <i r="2">
      <x v="192"/>
    </i>
    <i r="2">
      <x v="193"/>
    </i>
    <i r="2">
      <x v="194"/>
    </i>
    <i r="2">
      <x v="195"/>
    </i>
    <i r="2">
      <x v="196"/>
    </i>
    <i r="2">
      <x v="197"/>
    </i>
    <i r="2">
      <x v="198"/>
    </i>
    <i r="2">
      <x v="199"/>
    </i>
    <i r="2">
      <x v="200"/>
    </i>
    <i r="2">
      <x v="201"/>
    </i>
    <i r="2">
      <x v="202"/>
    </i>
    <i r="2">
      <x v="203"/>
    </i>
    <i t="default" r="1">
      <x v="21"/>
    </i>
    <i r="1">
      <x v="22"/>
      <x v="204"/>
    </i>
    <i t="default" r="1">
      <x v="22"/>
    </i>
    <i t="default">
      <x/>
    </i>
    <i>
      <x v="1"/>
      <x v="23"/>
      <x v="205"/>
    </i>
    <i r="2">
      <x v="206"/>
    </i>
    <i r="2">
      <x v="207"/>
    </i>
    <i r="2">
      <x v="208"/>
    </i>
    <i r="2">
      <x v="209"/>
    </i>
    <i t="default" r="1">
      <x v="23"/>
    </i>
    <i r="1">
      <x v="24"/>
      <x v="210"/>
    </i>
    <i r="2">
      <x v="211"/>
    </i>
    <i r="2">
      <x v="212"/>
    </i>
    <i r="2">
      <x v="213"/>
    </i>
    <i r="2">
      <x v="214"/>
    </i>
    <i r="2">
      <x v="215"/>
    </i>
    <i r="2">
      <x v="216"/>
    </i>
    <i r="2">
      <x v="217"/>
    </i>
    <i r="2">
      <x v="218"/>
    </i>
    <i t="default" r="1">
      <x v="24"/>
    </i>
    <i r="1">
      <x v="25"/>
      <x v="219"/>
    </i>
    <i r="2">
      <x v="220"/>
    </i>
    <i r="2">
      <x v="221"/>
    </i>
    <i t="default" r="1">
      <x v="25"/>
    </i>
    <i r="1">
      <x v="26"/>
      <x v="222"/>
    </i>
    <i r="2">
      <x v="223"/>
    </i>
    <i r="2">
      <x v="224"/>
    </i>
    <i r="2">
      <x v="225"/>
    </i>
    <i r="2">
      <x v="226"/>
    </i>
    <i r="2">
      <x v="227"/>
    </i>
    <i r="2">
      <x v="228"/>
    </i>
    <i r="2">
      <x v="229"/>
    </i>
    <i t="default" r="1">
      <x v="26"/>
    </i>
    <i r="1">
      <x v="27"/>
      <x v="230"/>
    </i>
    <i r="2">
      <x v="231"/>
    </i>
    <i r="2">
      <x v="232"/>
    </i>
    <i r="2">
      <x v="233"/>
    </i>
    <i r="2">
      <x v="234"/>
    </i>
    <i r="2">
      <x v="235"/>
    </i>
    <i r="2">
      <x v="236"/>
    </i>
    <i t="default" r="1">
      <x v="27"/>
    </i>
    <i r="1">
      <x v="28"/>
      <x v="237"/>
    </i>
    <i r="2">
      <x v="238"/>
    </i>
    <i r="2">
      <x v="239"/>
    </i>
    <i t="default" r="1">
      <x v="28"/>
    </i>
    <i r="1">
      <x v="29"/>
      <x v="240"/>
    </i>
    <i r="2">
      <x v="241"/>
    </i>
    <i r="2">
      <x v="242"/>
    </i>
    <i r="2">
      <x v="243"/>
    </i>
    <i t="default" r="1">
      <x v="29"/>
    </i>
    <i r="1">
      <x v="30"/>
      <x v="244"/>
    </i>
    <i r="2">
      <x v="245"/>
    </i>
    <i r="2">
      <x v="246"/>
    </i>
    <i t="default" r="1">
      <x v="30"/>
    </i>
    <i r="1">
      <x v="31"/>
      <x v="247"/>
    </i>
    <i r="2">
      <x v="248"/>
    </i>
    <i r="2">
      <x v="249"/>
    </i>
    <i r="2">
      <x v="250"/>
    </i>
    <i r="2">
      <x v="251"/>
    </i>
    <i t="default" r="1">
      <x v="31"/>
    </i>
    <i r="1">
      <x v="32"/>
      <x v="252"/>
    </i>
    <i r="2">
      <x v="253"/>
    </i>
    <i r="2">
      <x v="254"/>
    </i>
    <i r="2">
      <x v="255"/>
    </i>
    <i t="default" r="1">
      <x v="32"/>
    </i>
    <i r="1">
      <x v="33"/>
      <x v="256"/>
    </i>
    <i r="2">
      <x v="257"/>
    </i>
    <i t="default" r="1">
      <x v="33"/>
    </i>
    <i r="1">
      <x v="34"/>
      <x v="258"/>
    </i>
    <i r="2">
      <x v="259"/>
    </i>
    <i t="default" r="1">
      <x v="34"/>
    </i>
    <i r="1">
      <x v="35"/>
      <x v="260"/>
    </i>
    <i r="2">
      <x v="261"/>
    </i>
    <i r="2">
      <x v="262"/>
    </i>
    <i r="2">
      <x v="263"/>
    </i>
    <i r="2">
      <x v="264"/>
    </i>
    <i r="2">
      <x v="265"/>
    </i>
    <i r="2">
      <x v="266"/>
    </i>
    <i r="2">
      <x v="267"/>
    </i>
    <i t="default" r="1">
      <x v="35"/>
    </i>
    <i r="1">
      <x v="36"/>
      <x v="268"/>
    </i>
    <i r="2">
      <x v="269"/>
    </i>
    <i r="2">
      <x v="270"/>
    </i>
    <i t="default" r="1">
      <x v="36"/>
    </i>
    <i r="1">
      <x v="37"/>
      <x v="271"/>
    </i>
    <i r="2">
      <x v="272"/>
    </i>
    <i r="2">
      <x v="273"/>
    </i>
    <i r="2">
      <x v="274"/>
    </i>
    <i t="default" r="1">
      <x v="37"/>
    </i>
    <i r="1">
      <x v="38"/>
      <x v="275"/>
    </i>
    <i r="2">
      <x v="276"/>
    </i>
    <i r="2">
      <x v="277"/>
    </i>
    <i r="2">
      <x v="278"/>
    </i>
    <i r="2">
      <x v="279"/>
    </i>
    <i t="default" r="1">
      <x v="38"/>
    </i>
    <i r="1">
      <x v="39"/>
      <x v="280"/>
    </i>
    <i r="2">
      <x v="281"/>
    </i>
    <i r="2">
      <x v="282"/>
    </i>
    <i t="default" r="1">
      <x v="39"/>
    </i>
    <i r="1">
      <x v="40"/>
      <x v="283"/>
    </i>
    <i t="default" r="1">
      <x v="40"/>
    </i>
    <i r="1">
      <x v="41"/>
      <x v="284"/>
    </i>
    <i r="2">
      <x v="285"/>
    </i>
    <i r="2">
      <x v="286"/>
    </i>
    <i r="2">
      <x v="287"/>
    </i>
    <i r="2">
      <x v="288"/>
    </i>
    <i r="2">
      <x v="289"/>
    </i>
    <i r="2">
      <x v="290"/>
    </i>
    <i t="default" r="1">
      <x v="41"/>
    </i>
    <i r="1">
      <x v="42"/>
      <x v="291"/>
    </i>
    <i t="default" r="1">
      <x v="42"/>
    </i>
    <i t="default">
      <x v="1"/>
    </i>
    <i>
      <x v="2"/>
      <x v="43"/>
      <x v="292"/>
    </i>
    <i r="2">
      <x v="293"/>
    </i>
    <i r="2">
      <x v="294"/>
    </i>
    <i r="2">
      <x v="295"/>
    </i>
    <i r="2">
      <x v="296"/>
    </i>
    <i r="2">
      <x v="297"/>
    </i>
    <i r="2">
      <x v="298"/>
    </i>
    <i t="default" r="1">
      <x v="43"/>
    </i>
    <i r="1">
      <x v="44"/>
      <x v="299"/>
    </i>
    <i r="2">
      <x v="300"/>
    </i>
    <i r="2">
      <x v="301"/>
    </i>
    <i r="2">
      <x v="302"/>
    </i>
    <i r="2">
      <x v="303"/>
    </i>
    <i t="default" r="1">
      <x v="44"/>
    </i>
    <i r="1">
      <x v="45"/>
      <x v="304"/>
    </i>
    <i r="2">
      <x v="305"/>
    </i>
    <i r="2">
      <x v="306"/>
    </i>
    <i r="2">
      <x v="307"/>
    </i>
    <i r="2">
      <x v="308"/>
    </i>
    <i r="2">
      <x v="309"/>
    </i>
    <i r="2">
      <x v="310"/>
    </i>
    <i t="default" r="1">
      <x v="45"/>
    </i>
    <i r="1">
      <x v="46"/>
      <x v="311"/>
    </i>
    <i r="2">
      <x v="312"/>
    </i>
    <i r="2">
      <x v="313"/>
    </i>
    <i r="2">
      <x v="314"/>
    </i>
    <i r="2">
      <x v="315"/>
    </i>
    <i t="default" r="1">
      <x v="46"/>
    </i>
    <i r="1">
      <x v="47"/>
      <x v="316"/>
    </i>
    <i r="2">
      <x v="317"/>
    </i>
    <i r="2">
      <x v="318"/>
    </i>
    <i r="2">
      <x v="319"/>
    </i>
    <i r="2">
      <x v="320"/>
    </i>
    <i t="default" r="1">
      <x v="47"/>
    </i>
    <i r="1">
      <x v="48"/>
      <x v="321"/>
    </i>
    <i r="2">
      <x v="322"/>
    </i>
    <i r="2">
      <x v="323"/>
    </i>
    <i r="2">
      <x v="324"/>
    </i>
    <i r="2">
      <x v="325"/>
    </i>
    <i t="default" r="1">
      <x v="48"/>
    </i>
    <i r="1">
      <x v="49"/>
      <x v="326"/>
    </i>
    <i r="2">
      <x v="327"/>
    </i>
    <i r="2">
      <x v="328"/>
    </i>
    <i r="2">
      <x v="329"/>
    </i>
    <i r="2">
      <x v="330"/>
    </i>
    <i r="2">
      <x v="331"/>
    </i>
    <i r="2">
      <x v="332"/>
    </i>
    <i r="2">
      <x v="333"/>
    </i>
    <i r="2">
      <x v="334"/>
    </i>
    <i r="2">
      <x v="335"/>
    </i>
    <i r="2">
      <x v="336"/>
    </i>
    <i r="2">
      <x v="337"/>
    </i>
    <i r="2">
      <x v="338"/>
    </i>
    <i r="2">
      <x v="339"/>
    </i>
    <i t="default" r="1">
      <x v="49"/>
    </i>
    <i r="1">
      <x v="50"/>
      <x v="340"/>
    </i>
    <i r="2">
      <x v="341"/>
    </i>
    <i r="2">
      <x v="342"/>
    </i>
    <i r="2">
      <x v="343"/>
    </i>
    <i r="2">
      <x v="344"/>
    </i>
    <i r="2">
      <x v="345"/>
    </i>
    <i r="2">
      <x v="346"/>
    </i>
    <i r="2">
      <x v="347"/>
    </i>
    <i r="2">
      <x v="348"/>
    </i>
    <i r="2">
      <x v="349"/>
    </i>
    <i t="default" r="1">
      <x v="50"/>
    </i>
    <i r="1">
      <x v="51"/>
      <x v="350"/>
    </i>
    <i r="2">
      <x v="351"/>
    </i>
    <i r="2">
      <x v="352"/>
    </i>
    <i r="2">
      <x v="353"/>
    </i>
    <i r="2">
      <x v="354"/>
    </i>
    <i r="2">
      <x v="355"/>
    </i>
    <i r="2">
      <x v="356"/>
    </i>
    <i t="default" r="1">
      <x v="51"/>
    </i>
    <i r="1">
      <x v="52"/>
      <x v="357"/>
    </i>
    <i r="2">
      <x v="358"/>
    </i>
    <i r="2">
      <x v="359"/>
    </i>
    <i r="2">
      <x v="360"/>
    </i>
    <i r="2">
      <x v="361"/>
    </i>
    <i t="default" r="1">
      <x v="52"/>
    </i>
    <i r="1">
      <x v="53"/>
      <x v="362"/>
    </i>
    <i r="2">
      <x v="363"/>
    </i>
    <i r="2">
      <x v="364"/>
    </i>
    <i r="2">
      <x v="365"/>
    </i>
    <i r="2">
      <x v="366"/>
    </i>
    <i r="2">
      <x v="367"/>
    </i>
    <i t="default" r="1">
      <x v="53"/>
    </i>
    <i r="1">
      <x v="54"/>
      <x v="368"/>
    </i>
    <i r="2">
      <x v="369"/>
    </i>
    <i r="2">
      <x v="370"/>
    </i>
    <i r="2">
      <x v="371"/>
    </i>
    <i r="2">
      <x v="372"/>
    </i>
    <i r="2">
      <x v="373"/>
    </i>
    <i t="default" r="1">
      <x v="54"/>
    </i>
    <i r="1">
      <x v="55"/>
      <x v="374"/>
    </i>
    <i r="2">
      <x v="375"/>
    </i>
    <i r="2">
      <x v="376"/>
    </i>
    <i r="2">
      <x v="377"/>
    </i>
    <i t="default" r="1">
      <x v="55"/>
    </i>
    <i r="1">
      <x v="56"/>
      <x v="378"/>
    </i>
    <i r="2">
      <x v="379"/>
    </i>
    <i r="2">
      <x v="380"/>
    </i>
    <i r="2">
      <x v="381"/>
    </i>
    <i r="2">
      <x v="382"/>
    </i>
    <i r="2">
      <x v="383"/>
    </i>
    <i t="default" r="1">
      <x v="56"/>
    </i>
    <i r="1">
      <x v="57"/>
      <x v="384"/>
    </i>
    <i r="2">
      <x v="385"/>
    </i>
    <i r="2">
      <x v="386"/>
    </i>
    <i r="2">
      <x v="387"/>
    </i>
    <i r="2">
      <x v="388"/>
    </i>
    <i r="2">
      <x v="389"/>
    </i>
    <i r="2">
      <x v="390"/>
    </i>
    <i r="2">
      <x v="391"/>
    </i>
    <i r="2">
      <x v="392"/>
    </i>
    <i t="default" r="1">
      <x v="57"/>
    </i>
    <i r="1">
      <x v="58"/>
      <x v="393"/>
    </i>
    <i r="2">
      <x v="394"/>
    </i>
    <i r="2">
      <x v="395"/>
    </i>
    <i r="2">
      <x v="396"/>
    </i>
    <i t="default" r="1">
      <x v="58"/>
    </i>
    <i r="1">
      <x v="59"/>
      <x v="397"/>
    </i>
    <i r="2">
      <x v="398"/>
    </i>
    <i r="2">
      <x v="399"/>
    </i>
    <i r="2">
      <x v="400"/>
    </i>
    <i t="default" r="1">
      <x v="59"/>
    </i>
    <i r="1">
      <x v="60"/>
      <x v="401"/>
    </i>
    <i r="2">
      <x v="402"/>
    </i>
    <i r="2">
      <x v="403"/>
    </i>
    <i r="2">
      <x v="404"/>
    </i>
    <i t="default" r="1">
      <x v="60"/>
    </i>
    <i r="1">
      <x v="61"/>
      <x v="405"/>
    </i>
    <i r="2">
      <x v="406"/>
    </i>
    <i r="2">
      <x v="407"/>
    </i>
    <i r="2">
      <x v="408"/>
    </i>
    <i t="default" r="1">
      <x v="61"/>
    </i>
    <i r="1">
      <x v="62"/>
      <x v="409"/>
    </i>
    <i r="2">
      <x v="410"/>
    </i>
    <i r="2">
      <x v="411"/>
    </i>
    <i t="default" r="1">
      <x v="62"/>
    </i>
    <i r="1">
      <x v="63"/>
      <x v="412"/>
    </i>
    <i t="default" r="1">
      <x v="63"/>
    </i>
    <i r="1">
      <x v="64"/>
      <x v="413"/>
    </i>
    <i r="2">
      <x v="414"/>
    </i>
    <i r="2">
      <x v="415"/>
    </i>
    <i r="2">
      <x v="416"/>
    </i>
    <i r="2">
      <x v="417"/>
    </i>
    <i t="default" r="1">
      <x v="64"/>
    </i>
    <i r="1">
      <x v="65"/>
      <x v="418"/>
    </i>
    <i t="default" r="1">
      <x v="65"/>
    </i>
    <i r="1">
      <x v="66"/>
      <x v="419"/>
    </i>
    <i r="2">
      <x v="420"/>
    </i>
    <i r="2">
      <x v="421"/>
    </i>
    <i t="default" r="1">
      <x v="66"/>
    </i>
    <i r="1">
      <x v="67"/>
      <x v="422"/>
    </i>
    <i r="2">
      <x v="423"/>
    </i>
    <i t="default" r="1">
      <x v="67"/>
    </i>
    <i r="1">
      <x v="68"/>
      <x v="424"/>
    </i>
    <i r="2">
      <x v="425"/>
    </i>
    <i r="2">
      <x v="426"/>
    </i>
    <i r="2">
      <x v="427"/>
    </i>
    <i r="2">
      <x v="428"/>
    </i>
    <i t="default" r="1">
      <x v="68"/>
    </i>
    <i r="1">
      <x v="69"/>
      <x v="429"/>
    </i>
    <i r="2">
      <x v="430"/>
    </i>
    <i r="2">
      <x v="431"/>
    </i>
    <i r="2">
      <x v="432"/>
    </i>
    <i t="default" r="1">
      <x v="69"/>
    </i>
    <i r="1">
      <x v="70"/>
      <x v="433"/>
    </i>
    <i r="2">
      <x v="434"/>
    </i>
    <i t="default" r="1">
      <x v="70"/>
    </i>
    <i r="1">
      <x v="71"/>
      <x v="435"/>
    </i>
    <i r="2">
      <x v="436"/>
    </i>
    <i r="2">
      <x v="437"/>
    </i>
    <i r="2">
      <x v="438"/>
    </i>
    <i r="2">
      <x v="439"/>
    </i>
    <i t="default" r="1">
      <x v="71"/>
    </i>
    <i r="1">
      <x v="72"/>
      <x v="440"/>
    </i>
    <i r="2">
      <x v="441"/>
    </i>
    <i r="2">
      <x v="442"/>
    </i>
    <i r="2">
      <x v="443"/>
    </i>
    <i r="2">
      <x v="444"/>
    </i>
    <i r="2">
      <x v="445"/>
    </i>
    <i r="2">
      <x v="446"/>
    </i>
    <i t="default" r="1">
      <x v="72"/>
    </i>
    <i r="1">
      <x v="73"/>
      <x v="447"/>
    </i>
    <i r="2">
      <x v="448"/>
    </i>
    <i r="2">
      <x v="449"/>
    </i>
    <i r="2">
      <x v="450"/>
    </i>
    <i r="2">
      <x v="451"/>
    </i>
    <i r="2">
      <x v="452"/>
    </i>
    <i r="2">
      <x v="453"/>
    </i>
    <i r="2">
      <x v="454"/>
    </i>
    <i r="2">
      <x v="455"/>
    </i>
    <i t="default" r="1">
      <x v="73"/>
    </i>
    <i r="1">
      <x v="74"/>
      <x v="456"/>
    </i>
    <i r="2">
      <x v="457"/>
    </i>
    <i r="2">
      <x v="458"/>
    </i>
    <i r="2">
      <x v="459"/>
    </i>
    <i r="2">
      <x v="460"/>
    </i>
    <i r="2">
      <x v="461"/>
    </i>
    <i r="2">
      <x v="462"/>
    </i>
    <i r="2">
      <x v="463"/>
    </i>
    <i t="default" r="1">
      <x v="74"/>
    </i>
    <i r="1">
      <x v="75"/>
      <x v="464"/>
    </i>
    <i r="2">
      <x v="465"/>
    </i>
    <i r="2">
      <x v="466"/>
    </i>
    <i r="2">
      <x v="467"/>
    </i>
    <i r="2">
      <x v="468"/>
    </i>
    <i r="2">
      <x v="469"/>
    </i>
    <i r="2">
      <x v="470"/>
    </i>
    <i r="2">
      <x v="471"/>
    </i>
    <i r="2">
      <x v="472"/>
    </i>
    <i t="default" r="1">
      <x v="75"/>
    </i>
    <i r="1">
      <x v="76"/>
      <x v="473"/>
    </i>
    <i t="default" r="1">
      <x v="76"/>
    </i>
    <i t="default">
      <x v="2"/>
    </i>
    <i>
      <x v="3"/>
      <x v="77"/>
      <x v="474"/>
    </i>
    <i r="2">
      <x v="475"/>
    </i>
    <i t="default" r="1">
      <x v="77"/>
    </i>
    <i r="1">
      <x v="78"/>
      <x v="476"/>
    </i>
    <i r="2">
      <x v="477"/>
    </i>
    <i r="2">
      <x v="478"/>
    </i>
    <i r="2">
      <x v="479"/>
    </i>
    <i r="2">
      <x v="480"/>
    </i>
    <i t="default" r="1">
      <x v="78"/>
    </i>
    <i r="1">
      <x v="79"/>
      <x v="481"/>
    </i>
    <i r="2">
      <x v="482"/>
    </i>
    <i r="2">
      <x v="483"/>
    </i>
    <i r="2">
      <x v="484"/>
    </i>
    <i t="default" r="1">
      <x v="79"/>
    </i>
    <i r="1">
      <x v="80"/>
      <x v="485"/>
    </i>
    <i r="2">
      <x v="486"/>
    </i>
    <i r="2">
      <x v="487"/>
    </i>
    <i t="default" r="1">
      <x v="80"/>
    </i>
    <i r="1">
      <x v="81"/>
      <x v="488"/>
    </i>
    <i r="2">
      <x v="489"/>
    </i>
    <i t="default" r="1">
      <x v="81"/>
    </i>
    <i r="1">
      <x v="82"/>
      <x v="490"/>
    </i>
    <i r="2">
      <x v="491"/>
    </i>
    <i t="default" r="1">
      <x v="82"/>
    </i>
    <i r="1">
      <x v="83"/>
      <x v="492"/>
    </i>
    <i r="2">
      <x v="493"/>
    </i>
    <i t="default" r="1">
      <x v="83"/>
    </i>
    <i r="1">
      <x v="84"/>
      <x v="494"/>
    </i>
    <i r="2">
      <x v="495"/>
    </i>
    <i t="default" r="1">
      <x v="84"/>
    </i>
    <i r="1">
      <x v="85"/>
      <x v="496"/>
    </i>
    <i t="default" r="1">
      <x v="85"/>
    </i>
    <i t="default">
      <x v="3"/>
    </i>
    <i>
      <x v="4"/>
      <x v="86"/>
      <x v="497"/>
    </i>
    <i t="default" r="1">
      <x v="86"/>
    </i>
    <i r="1">
      <x v="87"/>
      <x v="498"/>
    </i>
    <i r="2">
      <x v="499"/>
    </i>
    <i r="2">
      <x v="500"/>
    </i>
    <i r="2">
      <x v="501"/>
    </i>
    <i r="2">
      <x v="502"/>
    </i>
    <i r="2">
      <x v="503"/>
    </i>
    <i t="default" r="1">
      <x v="87"/>
    </i>
    <i r="1">
      <x v="88"/>
      <x v="504"/>
    </i>
    <i r="2">
      <x v="505"/>
    </i>
    <i r="2">
      <x v="506"/>
    </i>
    <i t="default" r="1">
      <x v="88"/>
    </i>
    <i r="1">
      <x v="89"/>
      <x v="507"/>
    </i>
    <i r="2">
      <x v="508"/>
    </i>
    <i r="2">
      <x v="509"/>
    </i>
    <i t="default" r="1">
      <x v="89"/>
    </i>
    <i r="1">
      <x v="90"/>
      <x v="510"/>
    </i>
    <i r="2">
      <x v="511"/>
    </i>
    <i r="2">
      <x v="512"/>
    </i>
    <i t="default" r="1">
      <x v="90"/>
    </i>
    <i r="1">
      <x v="91"/>
      <x v="513"/>
    </i>
    <i r="2">
      <x v="514"/>
    </i>
    <i t="default" r="1">
      <x v="91"/>
    </i>
    <i r="1">
      <x v="92"/>
      <x v="515"/>
    </i>
    <i t="default" r="1">
      <x v="92"/>
    </i>
    <i t="default">
      <x v="4"/>
    </i>
    <i>
      <x v="5"/>
      <x v="93"/>
      <x v="516"/>
    </i>
    <i r="2">
      <x v="517"/>
    </i>
    <i r="2">
      <x v="518"/>
    </i>
    <i r="2">
      <x v="519"/>
    </i>
    <i t="default" r="1">
      <x v="93"/>
    </i>
    <i r="1">
      <x v="94"/>
      <x v="520"/>
    </i>
    <i r="2">
      <x v="521"/>
    </i>
    <i r="2">
      <x v="522"/>
    </i>
    <i r="2">
      <x v="523"/>
    </i>
    <i t="default" r="1">
      <x v="94"/>
    </i>
    <i r="1">
      <x v="95"/>
      <x v="524"/>
    </i>
    <i r="2">
      <x v="525"/>
    </i>
    <i r="2">
      <x v="526"/>
    </i>
    <i r="2">
      <x v="527"/>
    </i>
    <i r="2">
      <x v="528"/>
    </i>
    <i r="2">
      <x v="529"/>
    </i>
    <i r="2">
      <x v="530"/>
    </i>
    <i r="2">
      <x v="531"/>
    </i>
    <i r="2">
      <x v="532"/>
    </i>
    <i r="2">
      <x v="533"/>
    </i>
    <i r="2">
      <x v="534"/>
    </i>
    <i r="2">
      <x v="535"/>
    </i>
    <i t="default" r="1">
      <x v="95"/>
    </i>
    <i r="1">
      <x v="96"/>
      <x v="536"/>
    </i>
    <i r="2">
      <x v="537"/>
    </i>
    <i r="2">
      <x v="538"/>
    </i>
    <i r="2">
      <x v="539"/>
    </i>
    <i r="2">
      <x v="540"/>
    </i>
    <i r="2">
      <x v="541"/>
    </i>
    <i r="2">
      <x v="542"/>
    </i>
    <i r="2">
      <x v="543"/>
    </i>
    <i r="2">
      <x v="544"/>
    </i>
    <i r="2">
      <x v="545"/>
    </i>
    <i r="2">
      <x v="546"/>
    </i>
    <i r="2">
      <x v="547"/>
    </i>
    <i t="default" r="1">
      <x v="96"/>
    </i>
    <i r="1">
      <x v="97"/>
      <x v="548"/>
    </i>
    <i r="2">
      <x v="549"/>
    </i>
    <i r="2">
      <x v="550"/>
    </i>
    <i r="2">
      <x v="551"/>
    </i>
    <i r="2">
      <x v="552"/>
    </i>
    <i r="2">
      <x v="553"/>
    </i>
    <i r="2">
      <x v="554"/>
    </i>
    <i r="2">
      <x v="555"/>
    </i>
    <i t="default" r="1">
      <x v="97"/>
    </i>
    <i r="1">
      <x v="98"/>
      <x v="556"/>
    </i>
    <i r="2">
      <x v="557"/>
    </i>
    <i r="2">
      <x v="558"/>
    </i>
    <i r="2">
      <x v="559"/>
    </i>
    <i t="default" r="1">
      <x v="98"/>
    </i>
    <i r="1">
      <x v="99"/>
      <x v="560"/>
    </i>
    <i r="2">
      <x v="561"/>
    </i>
    <i r="2">
      <x v="562"/>
    </i>
    <i r="2">
      <x v="563"/>
    </i>
    <i r="2">
      <x v="564"/>
    </i>
    <i t="default" r="1">
      <x v="99"/>
    </i>
    <i r="1">
      <x v="100"/>
      <x v="565"/>
    </i>
    <i r="2">
      <x v="566"/>
    </i>
    <i r="2">
      <x v="567"/>
    </i>
    <i r="2">
      <x v="568"/>
    </i>
    <i r="2">
      <x v="569"/>
    </i>
    <i r="2">
      <x v="570"/>
    </i>
    <i r="2">
      <x v="571"/>
    </i>
    <i r="2">
      <x v="572"/>
    </i>
    <i t="default" r="1">
      <x v="100"/>
    </i>
    <i r="1">
      <x v="101"/>
      <x v="573"/>
    </i>
    <i r="2">
      <x v="574"/>
    </i>
    <i r="2">
      <x v="575"/>
    </i>
    <i r="2">
      <x v="576"/>
    </i>
    <i r="2">
      <x v="577"/>
    </i>
    <i r="2">
      <x v="578"/>
    </i>
    <i t="default" r="1">
      <x v="101"/>
    </i>
    <i r="1">
      <x v="102"/>
      <x v="579"/>
    </i>
    <i r="2">
      <x v="580"/>
    </i>
    <i r="2">
      <x v="581"/>
    </i>
    <i r="2">
      <x v="582"/>
    </i>
    <i r="2">
      <x v="583"/>
    </i>
    <i r="2">
      <x v="584"/>
    </i>
    <i r="2">
      <x v="585"/>
    </i>
    <i r="2">
      <x v="586"/>
    </i>
    <i r="2">
      <x v="587"/>
    </i>
    <i r="2">
      <x v="588"/>
    </i>
    <i t="default" r="1">
      <x v="102"/>
    </i>
    <i r="1">
      <x v="103"/>
      <x v="589"/>
    </i>
    <i r="2">
      <x v="590"/>
    </i>
    <i r="2">
      <x v="591"/>
    </i>
    <i t="default" r="1">
      <x v="103"/>
    </i>
    <i r="1">
      <x v="104"/>
      <x v="592"/>
    </i>
    <i r="2">
      <x v="593"/>
    </i>
    <i r="2">
      <x v="594"/>
    </i>
    <i r="2">
      <x v="595"/>
    </i>
    <i r="2">
      <x v="596"/>
    </i>
    <i r="2">
      <x v="597"/>
    </i>
    <i r="2">
      <x v="598"/>
    </i>
    <i r="2">
      <x v="599"/>
    </i>
    <i t="default" r="1">
      <x v="104"/>
    </i>
    <i r="1">
      <x v="105"/>
      <x v="600"/>
    </i>
    <i t="default" r="1">
      <x v="105"/>
    </i>
    <i t="default">
      <x v="5"/>
    </i>
    <i>
      <x v="6"/>
      <x v="106"/>
      <x v="601"/>
    </i>
    <i r="2">
      <x v="602"/>
    </i>
    <i r="2">
      <x v="603"/>
    </i>
    <i r="2">
      <x v="604"/>
    </i>
    <i r="2">
      <x v="605"/>
    </i>
    <i r="2">
      <x v="606"/>
    </i>
    <i r="2">
      <x v="607"/>
    </i>
    <i t="default" r="1">
      <x v="106"/>
    </i>
    <i r="1">
      <x v="107"/>
      <x v="608"/>
    </i>
    <i r="2">
      <x v="609"/>
    </i>
    <i t="default" r="1">
      <x v="107"/>
    </i>
    <i r="1">
      <x v="108"/>
      <x v="610"/>
    </i>
    <i r="2">
      <x v="611"/>
    </i>
    <i r="2">
      <x v="612"/>
    </i>
    <i r="2">
      <x v="613"/>
    </i>
    <i r="2">
      <x v="614"/>
    </i>
    <i t="default" r="1">
      <x v="108"/>
    </i>
    <i r="1">
      <x v="109"/>
      <x v="615"/>
    </i>
    <i r="2">
      <x v="616"/>
    </i>
    <i t="default" r="1">
      <x v="109"/>
    </i>
    <i r="1">
      <x v="110"/>
      <x v="617"/>
    </i>
    <i r="2">
      <x v="618"/>
    </i>
    <i r="2">
      <x v="619"/>
    </i>
    <i r="2">
      <x v="620"/>
    </i>
    <i r="2">
      <x v="621"/>
    </i>
    <i t="default" r="1">
      <x v="110"/>
    </i>
    <i r="1">
      <x v="111"/>
      <x v="622"/>
    </i>
    <i r="2">
      <x v="623"/>
    </i>
    <i t="default" r="1">
      <x v="111"/>
    </i>
    <i r="1">
      <x v="112"/>
      <x v="624"/>
    </i>
    <i r="2">
      <x v="625"/>
    </i>
    <i r="2">
      <x v="626"/>
    </i>
    <i t="default" r="1">
      <x v="112"/>
    </i>
    <i r="1">
      <x v="113"/>
      <x v="627"/>
    </i>
    <i r="2">
      <x v="628"/>
    </i>
    <i r="2">
      <x v="629"/>
    </i>
    <i r="2">
      <x v="630"/>
    </i>
    <i t="default" r="1">
      <x v="113"/>
    </i>
    <i r="1">
      <x v="114"/>
      <x v="631"/>
    </i>
    <i r="2">
      <x v="632"/>
    </i>
    <i t="default" r="1">
      <x v="114"/>
    </i>
    <i r="1">
      <x v="115"/>
      <x v="633"/>
    </i>
    <i r="2">
      <x v="634"/>
    </i>
    <i r="2">
      <x v="635"/>
    </i>
    <i t="default" r="1">
      <x v="115"/>
    </i>
    <i r="1">
      <x v="116"/>
      <x v="636"/>
    </i>
    <i r="2">
      <x v="637"/>
    </i>
    <i r="2">
      <x v="638"/>
    </i>
    <i r="2">
      <x v="639"/>
    </i>
    <i r="2">
      <x v="640"/>
    </i>
    <i r="2">
      <x v="641"/>
    </i>
    <i r="2">
      <x v="642"/>
    </i>
    <i t="default" r="1">
      <x v="116"/>
    </i>
    <i r="1">
      <x v="117"/>
      <x v="643"/>
    </i>
    <i t="default" r="1">
      <x v="117"/>
    </i>
    <i r="1">
      <x v="118"/>
      <x v="644"/>
    </i>
    <i r="2">
      <x v="645"/>
    </i>
    <i r="2">
      <x v="646"/>
    </i>
    <i r="2">
      <x v="647"/>
    </i>
    <i r="2">
      <x v="648"/>
    </i>
    <i r="2">
      <x v="649"/>
    </i>
    <i r="2">
      <x v="650"/>
    </i>
    <i r="2">
      <x v="651"/>
    </i>
    <i r="2">
      <x v="652"/>
    </i>
    <i r="2">
      <x v="653"/>
    </i>
    <i r="2">
      <x v="654"/>
    </i>
    <i r="2">
      <x v="655"/>
    </i>
    <i r="2">
      <x v="656"/>
    </i>
    <i t="default" r="1">
      <x v="118"/>
    </i>
    <i r="1">
      <x v="119"/>
      <x v="657"/>
    </i>
    <i r="2">
      <x v="658"/>
    </i>
    <i t="default" r="1">
      <x v="119"/>
    </i>
    <i r="1">
      <x v="120"/>
      <x v="659"/>
    </i>
    <i r="2">
      <x v="660"/>
    </i>
    <i t="default" r="1">
      <x v="120"/>
    </i>
    <i r="1">
      <x v="121"/>
      <x v="661"/>
    </i>
    <i r="2">
      <x v="662"/>
    </i>
    <i r="2">
      <x v="663"/>
    </i>
    <i r="2">
      <x v="664"/>
    </i>
    <i t="default" r="1">
      <x v="121"/>
    </i>
    <i r="1">
      <x v="122"/>
      <x v="665"/>
    </i>
    <i t="default" r="1">
      <x v="122"/>
    </i>
    <i t="default">
      <x v="6"/>
    </i>
    <i>
      <x v="7"/>
      <x v="123"/>
      <x v="666"/>
    </i>
    <i r="2">
      <x v="667"/>
    </i>
    <i r="2">
      <x v="668"/>
    </i>
    <i r="2">
      <x v="669"/>
    </i>
    <i r="2">
      <x v="670"/>
    </i>
    <i t="default" r="1">
      <x v="123"/>
    </i>
    <i r="1">
      <x v="124"/>
      <x v="671"/>
    </i>
    <i r="2">
      <x v="672"/>
    </i>
    <i r="2">
      <x v="673"/>
    </i>
    <i r="2">
      <x v="674"/>
    </i>
    <i t="default" r="1">
      <x v="124"/>
    </i>
    <i r="1">
      <x v="125"/>
      <x v="675"/>
    </i>
    <i r="2">
      <x v="676"/>
    </i>
    <i r="2">
      <x v="677"/>
    </i>
    <i r="2">
      <x v="678"/>
    </i>
    <i r="2">
      <x v="679"/>
    </i>
    <i r="2">
      <x v="680"/>
    </i>
    <i r="2">
      <x v="681"/>
    </i>
    <i r="2">
      <x v="682"/>
    </i>
    <i t="default" r="1">
      <x v="125"/>
    </i>
    <i r="1">
      <x v="126"/>
      <x v="683"/>
    </i>
    <i r="2">
      <x v="684"/>
    </i>
    <i r="2">
      <x v="685"/>
    </i>
    <i r="2">
      <x v="686"/>
    </i>
    <i r="2">
      <x v="687"/>
    </i>
    <i t="default" r="1">
      <x v="126"/>
    </i>
    <i r="1">
      <x v="127"/>
      <x v="688"/>
    </i>
    <i r="2">
      <x v="689"/>
    </i>
    <i r="2">
      <x v="690"/>
    </i>
    <i r="2">
      <x v="691"/>
    </i>
    <i r="2">
      <x v="692"/>
    </i>
    <i r="2">
      <x v="693"/>
    </i>
    <i t="default" r="1">
      <x v="127"/>
    </i>
    <i r="1">
      <x v="128"/>
      <x v="694"/>
    </i>
    <i r="2">
      <x v="695"/>
    </i>
    <i r="2">
      <x v="696"/>
    </i>
    <i r="2">
      <x v="697"/>
    </i>
    <i r="2">
      <x v="698"/>
    </i>
    <i r="2">
      <x v="699"/>
    </i>
    <i r="2">
      <x v="700"/>
    </i>
    <i r="2">
      <x v="701"/>
    </i>
    <i r="2">
      <x v="702"/>
    </i>
    <i r="2">
      <x v="703"/>
    </i>
    <i r="2">
      <x v="704"/>
    </i>
    <i t="default" r="1">
      <x v="128"/>
    </i>
    <i r="1">
      <x v="129"/>
      <x v="705"/>
    </i>
    <i r="2">
      <x v="706"/>
    </i>
    <i t="default" r="1">
      <x v="129"/>
    </i>
    <i r="1">
      <x v="130"/>
      <x v="707"/>
    </i>
    <i r="2">
      <x v="708"/>
    </i>
    <i r="2">
      <x v="709"/>
    </i>
    <i r="2">
      <x v="710"/>
    </i>
    <i r="2">
      <x v="711"/>
    </i>
    <i r="2">
      <x v="712"/>
    </i>
    <i r="2">
      <x v="713"/>
    </i>
    <i r="2">
      <x v="714"/>
    </i>
    <i r="2">
      <x v="715"/>
    </i>
    <i t="default" r="1">
      <x v="130"/>
    </i>
    <i r="1">
      <x v="131"/>
      <x v="716"/>
    </i>
    <i t="default" r="1">
      <x v="131"/>
    </i>
    <i r="1">
      <x v="132"/>
      <x v="717"/>
    </i>
    <i t="default" r="1">
      <x v="132"/>
    </i>
    <i r="1">
      <x v="133"/>
      <x v="718"/>
    </i>
    <i r="2">
      <x v="719"/>
    </i>
    <i r="2">
      <x v="720"/>
    </i>
    <i r="2">
      <x v="721"/>
    </i>
    <i r="2">
      <x v="722"/>
    </i>
    <i r="2">
      <x v="723"/>
    </i>
    <i t="default" r="1">
      <x v="133"/>
    </i>
    <i r="1">
      <x v="134"/>
      <x v="724"/>
    </i>
    <i t="default" r="1">
      <x v="134"/>
    </i>
    <i r="1">
      <x v="135"/>
      <x v="725"/>
    </i>
    <i t="default" r="1">
      <x v="135"/>
    </i>
    <i r="1">
      <x v="136"/>
      <x v="726"/>
    </i>
    <i r="2">
      <x v="727"/>
    </i>
    <i r="2">
      <x v="728"/>
    </i>
    <i r="2">
      <x v="729"/>
    </i>
    <i r="2">
      <x v="730"/>
    </i>
    <i t="default" r="1">
      <x v="136"/>
    </i>
    <i r="1">
      <x v="137"/>
      <x v="731"/>
    </i>
    <i t="default" r="1">
      <x v="137"/>
    </i>
    <i t="default">
      <x v="7"/>
    </i>
    <i>
      <x v="8"/>
      <x v="138"/>
      <x v="732"/>
    </i>
    <i r="2">
      <x v="733"/>
    </i>
    <i r="2">
      <x v="734"/>
    </i>
    <i r="2">
      <x v="735"/>
    </i>
    <i r="2">
      <x v="736"/>
    </i>
    <i r="2">
      <x v="737"/>
    </i>
    <i r="2">
      <x v="738"/>
    </i>
    <i r="2">
      <x v="739"/>
    </i>
    <i r="2">
      <x v="740"/>
    </i>
    <i t="default" r="1">
      <x v="138"/>
    </i>
    <i r="1">
      <x v="139"/>
      <x v="741"/>
    </i>
    <i r="2">
      <x v="742"/>
    </i>
    <i r="2">
      <x v="743"/>
    </i>
    <i r="2">
      <x v="744"/>
    </i>
    <i r="2">
      <x v="745"/>
    </i>
    <i r="2">
      <x v="746"/>
    </i>
    <i r="2">
      <x v="747"/>
    </i>
    <i r="2">
      <x v="748"/>
    </i>
    <i r="2">
      <x v="749"/>
    </i>
    <i r="2">
      <x v="750"/>
    </i>
    <i r="2">
      <x v="751"/>
    </i>
    <i t="default" r="1">
      <x v="139"/>
    </i>
    <i r="1">
      <x v="140"/>
      <x v="752"/>
    </i>
    <i r="2">
      <x v="753"/>
    </i>
    <i r="2">
      <x v="754"/>
    </i>
    <i r="2">
      <x v="755"/>
    </i>
    <i r="2">
      <x v="756"/>
    </i>
    <i r="2">
      <x v="757"/>
    </i>
    <i t="default" r="1">
      <x v="140"/>
    </i>
    <i r="1">
      <x v="141"/>
      <x v="758"/>
    </i>
    <i r="2">
      <x v="759"/>
    </i>
    <i r="2">
      <x v="760"/>
    </i>
    <i r="2">
      <x v="761"/>
    </i>
    <i r="2">
      <x v="762"/>
    </i>
    <i r="2">
      <x v="763"/>
    </i>
    <i r="2">
      <x v="764"/>
    </i>
    <i r="2">
      <x v="765"/>
    </i>
    <i r="2">
      <x v="766"/>
    </i>
    <i r="2">
      <x v="767"/>
    </i>
    <i t="default" r="1">
      <x v="141"/>
    </i>
    <i r="1">
      <x v="142"/>
      <x v="768"/>
    </i>
    <i r="2">
      <x v="769"/>
    </i>
    <i r="2">
      <x v="770"/>
    </i>
    <i r="2">
      <x v="771"/>
    </i>
    <i r="2">
      <x v="772"/>
    </i>
    <i r="2">
      <x v="773"/>
    </i>
    <i r="2">
      <x v="774"/>
    </i>
    <i r="2">
      <x v="775"/>
    </i>
    <i r="2">
      <x v="776"/>
    </i>
    <i r="2">
      <x v="777"/>
    </i>
    <i r="2">
      <x v="778"/>
    </i>
    <i t="default" r="1">
      <x v="142"/>
    </i>
    <i r="1">
      <x v="143"/>
      <x v="779"/>
    </i>
    <i r="2">
      <x v="780"/>
    </i>
    <i r="2">
      <x v="781"/>
    </i>
    <i r="2">
      <x v="782"/>
    </i>
    <i r="2">
      <x v="783"/>
    </i>
    <i r="2">
      <x v="784"/>
    </i>
    <i r="2">
      <x v="785"/>
    </i>
    <i r="2">
      <x v="786"/>
    </i>
    <i r="2">
      <x v="787"/>
    </i>
    <i r="2">
      <x v="788"/>
    </i>
    <i t="default" r="1">
      <x v="143"/>
    </i>
    <i r="1">
      <x v="144"/>
      <x v="789"/>
    </i>
    <i r="2">
      <x v="790"/>
    </i>
    <i r="2">
      <x v="791"/>
    </i>
    <i r="2">
      <x v="792"/>
    </i>
    <i r="2">
      <x v="793"/>
    </i>
    <i r="2">
      <x v="794"/>
    </i>
    <i r="2">
      <x v="795"/>
    </i>
    <i r="2">
      <x v="796"/>
    </i>
    <i r="2">
      <x v="797"/>
    </i>
    <i r="2">
      <x v="798"/>
    </i>
    <i r="2">
      <x v="799"/>
    </i>
    <i r="2">
      <x v="800"/>
    </i>
    <i r="2">
      <x v="801"/>
    </i>
    <i r="2">
      <x v="802"/>
    </i>
    <i r="2">
      <x v="803"/>
    </i>
    <i t="default" r="1">
      <x v="144"/>
    </i>
    <i r="1">
      <x v="145"/>
      <x v="804"/>
    </i>
    <i r="2">
      <x v="805"/>
    </i>
    <i r="2">
      <x v="806"/>
    </i>
    <i r="2">
      <x v="807"/>
    </i>
    <i r="2">
      <x v="808"/>
    </i>
    <i r="2">
      <x v="809"/>
    </i>
    <i t="default" r="1">
      <x v="145"/>
    </i>
    <i r="1">
      <x v="146"/>
      <x v="810"/>
    </i>
    <i r="2">
      <x v="811"/>
    </i>
    <i r="2">
      <x v="812"/>
    </i>
    <i r="2">
      <x v="813"/>
    </i>
    <i r="2">
      <x v="814"/>
    </i>
    <i t="default" r="1">
      <x v="146"/>
    </i>
    <i r="1">
      <x v="147"/>
      <x v="815"/>
    </i>
    <i r="2">
      <x v="816"/>
    </i>
    <i r="2">
      <x v="817"/>
    </i>
    <i r="2">
      <x v="818"/>
    </i>
    <i r="2">
      <x v="819"/>
    </i>
    <i r="2">
      <x v="820"/>
    </i>
    <i r="2">
      <x v="821"/>
    </i>
    <i r="2">
      <x v="822"/>
    </i>
    <i r="2">
      <x v="823"/>
    </i>
    <i r="2">
      <x v="824"/>
    </i>
    <i t="default" r="1">
      <x v="147"/>
    </i>
    <i r="1">
      <x v="148"/>
      <x v="825"/>
    </i>
    <i t="default" r="1">
      <x v="148"/>
    </i>
    <i t="default">
      <x v="8"/>
    </i>
    <i>
      <x v="9"/>
      <x v="149"/>
      <x v="826"/>
    </i>
    <i r="2">
      <x v="827"/>
    </i>
    <i r="2">
      <x v="828"/>
    </i>
    <i r="2">
      <x v="829"/>
    </i>
    <i r="2">
      <x v="830"/>
    </i>
    <i t="default" r="1">
      <x v="149"/>
    </i>
    <i r="1">
      <x v="150"/>
      <x v="831"/>
    </i>
    <i r="2">
      <x v="832"/>
    </i>
    <i r="2">
      <x v="833"/>
    </i>
    <i r="2">
      <x v="834"/>
    </i>
    <i r="2">
      <x v="835"/>
    </i>
    <i r="2">
      <x v="836"/>
    </i>
    <i r="2">
      <x v="837"/>
    </i>
    <i r="2">
      <x v="838"/>
    </i>
    <i t="default" r="1">
      <x v="150"/>
    </i>
    <i r="1">
      <x v="151"/>
      <x v="839"/>
    </i>
    <i r="2">
      <x v="840"/>
    </i>
    <i r="2">
      <x v="841"/>
    </i>
    <i t="default" r="1">
      <x v="151"/>
    </i>
    <i r="1">
      <x v="152"/>
      <x v="842"/>
    </i>
    <i r="2">
      <x v="843"/>
    </i>
    <i r="2">
      <x v="844"/>
    </i>
    <i r="2">
      <x v="845"/>
    </i>
    <i t="default" r="1">
      <x v="152"/>
    </i>
    <i r="1">
      <x v="153"/>
      <x v="846"/>
    </i>
    <i t="default" r="1">
      <x v="153"/>
    </i>
    <i r="1">
      <x v="154"/>
      <x v="847"/>
    </i>
    <i r="2">
      <x v="848"/>
    </i>
    <i r="2">
      <x v="849"/>
    </i>
    <i r="2">
      <x v="850"/>
    </i>
    <i r="2">
      <x v="851"/>
    </i>
    <i r="2">
      <x v="852"/>
    </i>
    <i r="2">
      <x v="853"/>
    </i>
    <i r="2">
      <x v="854"/>
    </i>
    <i t="default" r="1">
      <x v="154"/>
    </i>
    <i r="1">
      <x v="155"/>
      <x v="855"/>
    </i>
    <i r="2">
      <x v="856"/>
    </i>
    <i t="default" r="1">
      <x v="155"/>
    </i>
    <i r="1">
      <x v="156"/>
      <x v="857"/>
    </i>
    <i r="2">
      <x v="858"/>
    </i>
    <i r="2">
      <x v="859"/>
    </i>
    <i r="2">
      <x v="860"/>
    </i>
    <i t="default" r="1">
      <x v="156"/>
    </i>
    <i r="1">
      <x v="157"/>
      <x v="861"/>
    </i>
    <i t="default" r="1">
      <x v="157"/>
    </i>
    <i t="default">
      <x v="9"/>
    </i>
    <i>
      <x v="10"/>
      <x v="158"/>
      <x v="862"/>
    </i>
    <i r="2">
      <x v="863"/>
    </i>
    <i r="2">
      <x v="864"/>
    </i>
    <i r="2">
      <x v="865"/>
    </i>
    <i r="2">
      <x v="866"/>
    </i>
    <i r="2">
      <x v="867"/>
    </i>
    <i t="default" r="1">
      <x v="158"/>
    </i>
    <i r="1">
      <x v="159"/>
      <x v="868"/>
    </i>
    <i r="2">
      <x v="869"/>
    </i>
    <i r="2">
      <x v="870"/>
    </i>
    <i r="2">
      <x v="871"/>
    </i>
    <i r="2">
      <x v="872"/>
    </i>
    <i r="2">
      <x v="873"/>
    </i>
    <i r="2">
      <x v="874"/>
    </i>
    <i r="2">
      <x v="875"/>
    </i>
    <i t="default" r="1">
      <x v="159"/>
    </i>
    <i r="1">
      <x v="160"/>
      <x v="876"/>
    </i>
    <i r="2">
      <x v="877"/>
    </i>
    <i r="2">
      <x v="878"/>
    </i>
    <i r="2">
      <x v="879"/>
    </i>
    <i t="default" r="1">
      <x v="160"/>
    </i>
    <i r="1">
      <x v="161"/>
      <x v="880"/>
    </i>
    <i r="2">
      <x v="881"/>
    </i>
    <i r="2">
      <x v="882"/>
    </i>
    <i r="2">
      <x v="883"/>
    </i>
    <i t="default" r="1">
      <x v="161"/>
    </i>
    <i r="1">
      <x v="162"/>
      <x v="884"/>
    </i>
    <i r="2">
      <x v="885"/>
    </i>
    <i t="default" r="1">
      <x v="162"/>
    </i>
    <i r="1">
      <x v="163"/>
      <x v="886"/>
    </i>
    <i r="2">
      <x v="887"/>
    </i>
    <i r="2">
      <x v="888"/>
    </i>
    <i t="default" r="1">
      <x v="163"/>
    </i>
    <i r="1">
      <x v="164"/>
      <x v="889"/>
    </i>
    <i r="2">
      <x v="890"/>
    </i>
    <i r="2">
      <x v="891"/>
    </i>
    <i r="2">
      <x v="892"/>
    </i>
    <i r="2">
      <x v="893"/>
    </i>
    <i r="2">
      <x v="894"/>
    </i>
    <i t="default" r="1">
      <x v="164"/>
    </i>
    <i r="1">
      <x v="165"/>
      <x v="895"/>
    </i>
    <i r="2">
      <x v="896"/>
    </i>
    <i r="2">
      <x v="897"/>
    </i>
    <i r="2">
      <x v="898"/>
    </i>
    <i r="2">
      <x v="899"/>
    </i>
    <i r="2">
      <x v="900"/>
    </i>
    <i r="2">
      <x v="901"/>
    </i>
    <i r="2">
      <x v="902"/>
    </i>
    <i r="2">
      <x v="903"/>
    </i>
    <i r="2">
      <x v="904"/>
    </i>
    <i r="2">
      <x v="905"/>
    </i>
    <i t="default" r="1">
      <x v="165"/>
    </i>
    <i r="1">
      <x v="166"/>
      <x v="906"/>
    </i>
    <i r="2">
      <x v="907"/>
    </i>
    <i r="2">
      <x v="908"/>
    </i>
    <i r="2">
      <x v="909"/>
    </i>
    <i r="2">
      <x v="910"/>
    </i>
    <i r="2">
      <x v="911"/>
    </i>
    <i t="default" r="1">
      <x v="166"/>
    </i>
    <i r="1">
      <x v="167"/>
      <x v="912"/>
    </i>
    <i t="default" r="1">
      <x v="167"/>
    </i>
    <i t="default">
      <x v="10"/>
    </i>
    <i>
      <x v="11"/>
      <x v="168"/>
      <x v="913"/>
    </i>
    <i r="2">
      <x v="914"/>
    </i>
    <i r="2">
      <x v="915"/>
    </i>
    <i r="2">
      <x v="916"/>
    </i>
    <i r="2">
      <x v="917"/>
    </i>
    <i r="2">
      <x v="918"/>
    </i>
    <i t="default" r="1">
      <x v="168"/>
    </i>
    <i r="1">
      <x v="169"/>
      <x v="919"/>
    </i>
    <i r="2">
      <x v="920"/>
    </i>
    <i r="2">
      <x v="921"/>
    </i>
    <i r="2">
      <x v="922"/>
    </i>
    <i r="2">
      <x v="923"/>
    </i>
    <i r="2">
      <x v="924"/>
    </i>
    <i t="default" r="1">
      <x v="169"/>
    </i>
    <i r="1">
      <x v="170"/>
      <x v="925"/>
    </i>
    <i t="default" r="1">
      <x v="170"/>
    </i>
    <i t="default">
      <x v="11"/>
    </i>
    <i>
      <x v="12"/>
      <x v="171"/>
      <x v="926"/>
    </i>
    <i r="2">
      <x v="927"/>
    </i>
    <i r="2">
      <x v="928"/>
    </i>
    <i r="2">
      <x v="929"/>
    </i>
    <i r="2">
      <x v="930"/>
    </i>
    <i t="default" r="1">
      <x v="171"/>
    </i>
    <i r="1">
      <x v="172"/>
      <x v="931"/>
    </i>
    <i r="2">
      <x v="932"/>
    </i>
    <i r="2">
      <x v="933"/>
    </i>
    <i t="default" r="1">
      <x v="172"/>
    </i>
    <i r="1">
      <x v="173"/>
      <x v="934"/>
    </i>
    <i r="2">
      <x v="935"/>
    </i>
    <i r="2">
      <x v="936"/>
    </i>
    <i r="2">
      <x v="937"/>
    </i>
    <i r="2">
      <x v="938"/>
    </i>
    <i r="2">
      <x v="939"/>
    </i>
    <i r="2">
      <x v="940"/>
    </i>
    <i r="2">
      <x v="941"/>
    </i>
    <i t="default" r="1">
      <x v="173"/>
    </i>
    <i r="1">
      <x v="174"/>
      <x v="942"/>
    </i>
    <i r="2">
      <x v="943"/>
    </i>
    <i r="2">
      <x v="944"/>
    </i>
    <i r="2">
      <x v="945"/>
    </i>
    <i r="2">
      <x v="946"/>
    </i>
    <i r="2">
      <x v="947"/>
    </i>
    <i r="2">
      <x v="948"/>
    </i>
    <i r="2">
      <x v="949"/>
    </i>
    <i r="2">
      <x v="950"/>
    </i>
    <i t="default" r="1">
      <x v="174"/>
    </i>
    <i r="1">
      <x v="175"/>
      <x v="951"/>
    </i>
    <i r="2">
      <x v="952"/>
    </i>
    <i r="2">
      <x v="953"/>
    </i>
    <i r="2">
      <x v="954"/>
    </i>
    <i r="2">
      <x v="955"/>
    </i>
    <i r="2">
      <x v="956"/>
    </i>
    <i r="2">
      <x v="957"/>
    </i>
    <i t="default" r="1">
      <x v="175"/>
    </i>
    <i r="1">
      <x v="176"/>
      <x v="958"/>
    </i>
    <i r="2">
      <x v="959"/>
    </i>
    <i r="2">
      <x v="960"/>
    </i>
    <i r="2">
      <x v="961"/>
    </i>
    <i r="2">
      <x v="962"/>
    </i>
    <i r="2">
      <x v="963"/>
    </i>
    <i t="default" r="1">
      <x v="176"/>
    </i>
    <i r="1">
      <x v="177"/>
      <x v="964"/>
    </i>
    <i r="2">
      <x v="965"/>
    </i>
    <i r="2">
      <x v="966"/>
    </i>
    <i r="2">
      <x v="967"/>
    </i>
    <i r="2">
      <x v="968"/>
    </i>
    <i r="2">
      <x v="969"/>
    </i>
    <i t="default" r="1">
      <x v="177"/>
    </i>
    <i r="1">
      <x v="178"/>
      <x v="970"/>
    </i>
    <i r="2">
      <x v="971"/>
    </i>
    <i t="default" r="1">
      <x v="178"/>
    </i>
    <i r="1">
      <x v="179"/>
      <x v="972"/>
    </i>
    <i r="2">
      <x v="973"/>
    </i>
    <i t="default" r="1">
      <x v="179"/>
    </i>
    <i r="1">
      <x v="180"/>
      <x v="974"/>
    </i>
    <i t="default" r="1">
      <x v="180"/>
    </i>
    <i t="default">
      <x v="12"/>
    </i>
    <i>
      <x v="13"/>
      <x v="181"/>
      <x v="975"/>
    </i>
    <i r="2">
      <x v="976"/>
    </i>
    <i r="2">
      <x v="977"/>
    </i>
    <i r="2">
      <x v="978"/>
    </i>
    <i r="2">
      <x v="979"/>
    </i>
    <i r="2">
      <x v="980"/>
    </i>
    <i r="2">
      <x v="981"/>
    </i>
    <i t="default" r="1">
      <x v="181"/>
    </i>
    <i r="1">
      <x v="182"/>
      <x v="982"/>
    </i>
    <i r="2">
      <x v="983"/>
    </i>
    <i r="2">
      <x v="984"/>
    </i>
    <i r="2">
      <x v="985"/>
    </i>
    <i r="2">
      <x v="986"/>
    </i>
    <i r="2">
      <x v="987"/>
    </i>
    <i t="default" r="1">
      <x v="182"/>
    </i>
    <i r="1">
      <x v="183"/>
      <x v="988"/>
    </i>
    <i r="2">
      <x v="989"/>
    </i>
    <i r="2">
      <x v="990"/>
    </i>
    <i r="2">
      <x v="991"/>
    </i>
    <i t="default" r="1">
      <x v="183"/>
    </i>
    <i r="1">
      <x v="184"/>
      <x v="992"/>
    </i>
    <i t="default" r="1">
      <x v="184"/>
    </i>
    <i t="default">
      <x v="13"/>
    </i>
    <i>
      <x v="14"/>
      <x v="185"/>
      <x v="993"/>
    </i>
    <i t="default" r="1">
      <x v="185"/>
    </i>
    <i r="1">
      <x v="186"/>
      <x v="994"/>
    </i>
    <i r="2">
      <x v="995"/>
    </i>
    <i r="2">
      <x v="996"/>
    </i>
    <i r="2">
      <x v="997"/>
    </i>
    <i t="default" r="1">
      <x v="186"/>
    </i>
    <i r="1">
      <x v="187"/>
      <x v="998"/>
    </i>
    <i r="2">
      <x v="999"/>
    </i>
    <i r="2">
      <x v="1000"/>
    </i>
    <i t="default" r="1">
      <x v="187"/>
    </i>
    <i r="1">
      <x v="188"/>
      <x v="1001"/>
    </i>
    <i r="2">
      <x v="1002"/>
    </i>
    <i r="2">
      <x v="1003"/>
    </i>
    <i r="2">
      <x v="1004"/>
    </i>
    <i r="2">
      <x v="1005"/>
    </i>
    <i t="default" r="1">
      <x v="188"/>
    </i>
    <i r="1">
      <x v="189"/>
      <x v="1006"/>
    </i>
    <i r="2">
      <x v="1007"/>
    </i>
    <i r="2">
      <x v="1008"/>
    </i>
    <i r="2">
      <x v="1009"/>
    </i>
    <i t="default" r="1">
      <x v="189"/>
    </i>
    <i r="1">
      <x v="190"/>
      <x v="1010"/>
    </i>
    <i r="2">
      <x v="1011"/>
    </i>
    <i t="default" r="1">
      <x v="190"/>
    </i>
    <i r="1">
      <x v="191"/>
      <x v="1012"/>
    </i>
    <i t="default" r="1">
      <x v="191"/>
    </i>
    <i t="default">
      <x v="14"/>
    </i>
    <i>
      <x v="15"/>
      <x v="192"/>
      <x v="1013"/>
    </i>
    <i r="2">
      <x v="1014"/>
    </i>
    <i r="2">
      <x v="1015"/>
    </i>
    <i r="2">
      <x v="1016"/>
    </i>
    <i r="2">
      <x v="1017"/>
    </i>
    <i r="2">
      <x v="1018"/>
    </i>
    <i r="2">
      <x v="1019"/>
    </i>
    <i r="2">
      <x v="1020"/>
    </i>
    <i r="2">
      <x v="1021"/>
    </i>
    <i r="2">
      <x v="1022"/>
    </i>
    <i r="2">
      <x v="1023"/>
    </i>
    <i r="2">
      <x v="1024"/>
    </i>
    <i r="2">
      <x v="1025"/>
    </i>
    <i r="2">
      <x v="1026"/>
    </i>
    <i r="2">
      <x v="1027"/>
    </i>
    <i r="2">
      <x v="1028"/>
    </i>
    <i t="default" r="1">
      <x v="192"/>
    </i>
    <i r="1">
      <x v="193"/>
      <x v="1029"/>
    </i>
    <i r="2">
      <x v="1030"/>
    </i>
    <i r="2">
      <x v="1031"/>
    </i>
    <i r="2">
      <x v="1032"/>
    </i>
    <i r="2">
      <x v="1033"/>
    </i>
    <i r="2">
      <x v="1034"/>
    </i>
    <i t="default" r="1">
      <x v="193"/>
    </i>
    <i r="1">
      <x v="194"/>
      <x v="1035"/>
    </i>
    <i r="2">
      <x v="1036"/>
    </i>
    <i r="2">
      <x v="1037"/>
    </i>
    <i r="2">
      <x v="1038"/>
    </i>
    <i r="2">
      <x v="1039"/>
    </i>
    <i r="2">
      <x v="1040"/>
    </i>
    <i t="default" r="1">
      <x v="194"/>
    </i>
    <i r="1">
      <x v="195"/>
      <x v="1041"/>
    </i>
    <i r="2">
      <x v="1042"/>
    </i>
    <i r="2">
      <x v="1043"/>
    </i>
    <i r="2">
      <x v="1044"/>
    </i>
    <i r="2">
      <x v="1045"/>
    </i>
    <i r="2">
      <x v="1046"/>
    </i>
    <i r="2">
      <x v="1047"/>
    </i>
    <i t="default" r="1">
      <x v="195"/>
    </i>
    <i r="1">
      <x v="196"/>
      <x v="1048"/>
    </i>
    <i t="default" r="1">
      <x v="196"/>
    </i>
    <i r="1">
      <x v="197"/>
      <x v="1049"/>
    </i>
    <i r="2">
      <x v="1050"/>
    </i>
    <i r="2">
      <x v="1051"/>
    </i>
    <i r="2">
      <x v="1052"/>
    </i>
    <i r="2">
      <x v="1053"/>
    </i>
    <i t="default" r="1">
      <x v="197"/>
    </i>
    <i r="1">
      <x v="198"/>
      <x v="1054"/>
    </i>
    <i t="default" r="1">
      <x v="198"/>
    </i>
    <i r="1">
      <x v="199"/>
      <x v="1055"/>
    </i>
    <i r="2">
      <x v="1056"/>
    </i>
    <i t="default" r="1">
      <x v="199"/>
    </i>
    <i r="1">
      <x v="200"/>
      <x v="1057"/>
    </i>
    <i t="default" r="1">
      <x v="200"/>
    </i>
    <i t="default">
      <x v="15"/>
    </i>
  </rowItems>
  <colFields count="1">
    <field x="-2"/>
  </colFields>
  <colItems count="3">
    <i>
      <x/>
    </i>
    <i i="1">
      <x v="1"/>
    </i>
    <i i="2">
      <x v="2"/>
    </i>
  </colItems>
  <pageFields count="4">
    <pageField fld="2" hier="0" name="[Advice Event Type].[Advice Event Type].&amp;[Gateway AIC Creation]" cap="Gateway AIC Creation"/>
    <pageField fld="16" hier="88" name="[Local Organisation].[CAB].[Member].&amp;[York (member)]&amp;[Yorkshire &amp; the Humber]" cap="York (member)"/>
    <pageField fld="3" hier="92" name="[Monthly Calendar].[Financial].[Year].&amp;[2016-17]" cap="2016-17"/>
    <pageField fld="9" hier="97" name="[National Funder].[Funder].[All]" cap="All"/>
  </pageFields>
  <dataFields count="3">
    <dataField name="Issues" fld="0" baseField="0" baseItem="0"/>
    <dataField name="% of Part 2" fld="23" baseField="12" baseItem="0" numFmtId="164">
      <extLst>
        <ext xmlns:x14="http://schemas.microsoft.com/office/spreadsheetml/2009/9/main" uri="{E15A36E0-9728-4e99-A89B-3F7291B0FE68}">
          <x14:dataField pivotShowAs="percentOfParent" sourceField="0" uniqueName="[__Xl2].[Measures].[Number of Advice Events]"/>
        </ext>
      </extLst>
    </dataField>
    <dataField fld="1" baseField="0" baseItem="0"/>
  </dataFields>
  <formats count="121">
    <format dxfId="289">
      <pivotArea outline="0" collapsedLevelsAreSubtotals="1" fieldPosition="0"/>
    </format>
    <format dxfId="288">
      <pivotArea dataOnly="0" labelOnly="1" outline="0" fieldPosition="0">
        <references count="1">
          <reference field="4294967294" count="2">
            <x v="0"/>
            <x v="2"/>
          </reference>
        </references>
      </pivotArea>
    </format>
    <format dxfId="287">
      <pivotArea dataOnly="0" labelOnly="1" outline="0" fieldPosition="0">
        <references count="1">
          <reference field="4294967294" count="2">
            <x v="0"/>
            <x v="2"/>
          </reference>
        </references>
      </pivotArea>
    </format>
    <format dxfId="286">
      <pivotArea type="all" dataOnly="0" outline="0" fieldPosition="0"/>
    </format>
    <format dxfId="285">
      <pivotArea type="all" dataOnly="0" outline="0" fieldPosition="0"/>
    </format>
    <format dxfId="284">
      <pivotArea field="11" type="button" dataOnly="0" labelOnly="1" outline="0" axis="axisRow" fieldPosition="0"/>
    </format>
    <format dxfId="283">
      <pivotArea field="12" type="button" dataOnly="0" labelOnly="1" outline="0" axis="axisRow" fieldPosition="1"/>
    </format>
    <format dxfId="282">
      <pivotArea field="14" type="button" dataOnly="0" labelOnly="1" outline="0" axis="axisRow" fieldPosition="2"/>
    </format>
    <format dxfId="281">
      <pivotArea dataOnly="0" labelOnly="1" outline="0" fieldPosition="0">
        <references count="1">
          <reference field="4294967294" count="2">
            <x v="0"/>
            <x v="2"/>
          </reference>
        </references>
      </pivotArea>
    </format>
    <format dxfId="280">
      <pivotArea field="12" type="button" dataOnly="0" labelOnly="1" outline="0" axis="axisRow" fieldPosition="1"/>
    </format>
    <format dxfId="279">
      <pivotArea field="14" type="button" dataOnly="0" labelOnly="1" outline="0" axis="axisRow" fieldPosition="2"/>
    </format>
    <format dxfId="278">
      <pivotArea dataOnly="0" labelOnly="1" outline="0" fieldPosition="0">
        <references count="1">
          <reference field="4294967294" count="2">
            <x v="0"/>
            <x v="2"/>
          </reference>
        </references>
      </pivotArea>
    </format>
    <format dxfId="277">
      <pivotArea outline="0" fieldPosition="0">
        <references count="1">
          <reference field="4294967294" count="1">
            <x v="1"/>
          </reference>
        </references>
      </pivotArea>
    </format>
    <format dxfId="276">
      <pivotArea dataOnly="0" labelOnly="1" outline="0" fieldPosition="0">
        <references count="1">
          <reference field="4294967294" count="1">
            <x v="1"/>
          </reference>
        </references>
      </pivotArea>
    </format>
    <format dxfId="275">
      <pivotArea dataOnly="0" labelOnly="1" outline="0" fieldPosition="0">
        <references count="1">
          <reference field="11" count="1">
            <x v="0"/>
          </reference>
        </references>
      </pivotArea>
    </format>
    <format dxfId="274">
      <pivotArea dataOnly="0" labelOnly="1" outline="0" offset="A256" fieldPosition="0">
        <references count="1">
          <reference field="11" count="1" defaultSubtotal="1">
            <x v="0"/>
          </reference>
        </references>
      </pivotArea>
    </format>
    <format dxfId="273">
      <pivotArea dataOnly="0" labelOnly="1" outline="0" fieldPosition="0">
        <references count="1">
          <reference field="11" count="1">
            <x v="1"/>
          </reference>
        </references>
      </pivotArea>
    </format>
    <format dxfId="272">
      <pivotArea dataOnly="0" labelOnly="1" outline="0" offset="A256" fieldPosition="0">
        <references count="1">
          <reference field="11" count="1" defaultSubtotal="1">
            <x v="1"/>
          </reference>
        </references>
      </pivotArea>
    </format>
    <format dxfId="271">
      <pivotArea dataOnly="0" labelOnly="1" outline="0" fieldPosition="0">
        <references count="1">
          <reference field="11" count="1">
            <x v="2"/>
          </reference>
        </references>
      </pivotArea>
    </format>
    <format dxfId="270">
      <pivotArea dataOnly="0" labelOnly="1" outline="0" offset="A256" fieldPosition="0">
        <references count="1">
          <reference field="11" count="1" defaultSubtotal="1">
            <x v="2"/>
          </reference>
        </references>
      </pivotArea>
    </format>
    <format dxfId="269">
      <pivotArea dataOnly="0" labelOnly="1" outline="0" fieldPosition="0">
        <references count="1">
          <reference field="11" count="1">
            <x v="4"/>
          </reference>
        </references>
      </pivotArea>
    </format>
    <format dxfId="268">
      <pivotArea dataOnly="0" labelOnly="1" outline="0" offset="A256" fieldPosition="0">
        <references count="1">
          <reference field="11" count="1" defaultSubtotal="1">
            <x v="4"/>
          </reference>
        </references>
      </pivotArea>
    </format>
    <format dxfId="267">
      <pivotArea dataOnly="0" labelOnly="1" outline="0" fieldPosition="0">
        <references count="1">
          <reference field="11" count="1">
            <x v="5"/>
          </reference>
        </references>
      </pivotArea>
    </format>
    <format dxfId="266">
      <pivotArea dataOnly="0" labelOnly="1" outline="0" offset="A256" fieldPosition="0">
        <references count="1">
          <reference field="11" count="1" defaultSubtotal="1">
            <x v="5"/>
          </reference>
        </references>
      </pivotArea>
    </format>
    <format dxfId="265">
      <pivotArea dataOnly="0" labelOnly="1" outline="0" fieldPosition="0">
        <references count="1">
          <reference field="11" count="1">
            <x v="6"/>
          </reference>
        </references>
      </pivotArea>
    </format>
    <format dxfId="264">
      <pivotArea dataOnly="0" labelOnly="1" outline="0" offset="A256" fieldPosition="0">
        <references count="1">
          <reference field="11" count="1" defaultSubtotal="1">
            <x v="6"/>
          </reference>
        </references>
      </pivotArea>
    </format>
    <format dxfId="263">
      <pivotArea dataOnly="0" labelOnly="1" outline="0" fieldPosition="0">
        <references count="1">
          <reference field="11" count="1">
            <x v="7"/>
          </reference>
        </references>
      </pivotArea>
    </format>
    <format dxfId="262">
      <pivotArea dataOnly="0" labelOnly="1" outline="0" offset="A256" fieldPosition="0">
        <references count="1">
          <reference field="11" count="1" defaultSubtotal="1">
            <x v="7"/>
          </reference>
        </references>
      </pivotArea>
    </format>
    <format dxfId="261">
      <pivotArea dataOnly="0" labelOnly="1" outline="0" fieldPosition="0">
        <references count="1">
          <reference field="11" count="1">
            <x v="8"/>
          </reference>
        </references>
      </pivotArea>
    </format>
    <format dxfId="260">
      <pivotArea dataOnly="0" labelOnly="1" outline="0" offset="A256" fieldPosition="0">
        <references count="1">
          <reference field="11" count="1" defaultSubtotal="1">
            <x v="8"/>
          </reference>
        </references>
      </pivotArea>
    </format>
    <format dxfId="259">
      <pivotArea dataOnly="0" labelOnly="1" outline="0" fieldPosition="0">
        <references count="1">
          <reference field="11" count="1">
            <x v="9"/>
          </reference>
        </references>
      </pivotArea>
    </format>
    <format dxfId="258">
      <pivotArea dataOnly="0" labelOnly="1" outline="0" offset="A256" fieldPosition="0">
        <references count="1">
          <reference field="11" count="1" defaultSubtotal="1">
            <x v="9"/>
          </reference>
        </references>
      </pivotArea>
    </format>
    <format dxfId="257">
      <pivotArea dataOnly="0" labelOnly="1" outline="0" fieldPosition="0">
        <references count="1">
          <reference field="11" count="1">
            <x v="10"/>
          </reference>
        </references>
      </pivotArea>
    </format>
    <format dxfId="256">
      <pivotArea dataOnly="0" labelOnly="1" outline="0" offset="A256" fieldPosition="0">
        <references count="1">
          <reference field="11" count="1" defaultSubtotal="1">
            <x v="10"/>
          </reference>
        </references>
      </pivotArea>
    </format>
    <format dxfId="255">
      <pivotArea dataOnly="0" labelOnly="1" outline="0" fieldPosition="0">
        <references count="1">
          <reference field="11" count="1">
            <x v="11"/>
          </reference>
        </references>
      </pivotArea>
    </format>
    <format dxfId="254">
      <pivotArea dataOnly="0" labelOnly="1" outline="0" offset="A256" fieldPosition="0">
        <references count="1">
          <reference field="11" count="1" defaultSubtotal="1">
            <x v="11"/>
          </reference>
        </references>
      </pivotArea>
    </format>
    <format dxfId="253">
      <pivotArea dataOnly="0" labelOnly="1" outline="0" fieldPosition="0">
        <references count="1">
          <reference field="11" count="1">
            <x v="12"/>
          </reference>
        </references>
      </pivotArea>
    </format>
    <format dxfId="252">
      <pivotArea dataOnly="0" labelOnly="1" outline="0" offset="A256" fieldPosition="0">
        <references count="1">
          <reference field="11" count="1" defaultSubtotal="1">
            <x v="12"/>
          </reference>
        </references>
      </pivotArea>
    </format>
    <format dxfId="251">
      <pivotArea dataOnly="0" labelOnly="1" outline="0" fieldPosition="0">
        <references count="1">
          <reference field="11" count="1">
            <x v="13"/>
          </reference>
        </references>
      </pivotArea>
    </format>
    <format dxfId="250">
      <pivotArea dataOnly="0" labelOnly="1" outline="0" offset="A256" fieldPosition="0">
        <references count="1">
          <reference field="11" count="1" defaultSubtotal="1">
            <x v="13"/>
          </reference>
        </references>
      </pivotArea>
    </format>
    <format dxfId="249">
      <pivotArea dataOnly="0" labelOnly="1" outline="0" fieldPosition="0">
        <references count="1">
          <reference field="11" count="1">
            <x v="14"/>
          </reference>
        </references>
      </pivotArea>
    </format>
    <format dxfId="248">
      <pivotArea dataOnly="0" labelOnly="1" outline="0" offset="A256" fieldPosition="0">
        <references count="1">
          <reference field="11" count="1" defaultSubtotal="1">
            <x v="14"/>
          </reference>
        </references>
      </pivotArea>
    </format>
    <format dxfId="247">
      <pivotArea dataOnly="0" labelOnly="1" outline="0" fieldPosition="0">
        <references count="1">
          <reference field="11" count="1">
            <x v="15"/>
          </reference>
        </references>
      </pivotArea>
    </format>
    <format dxfId="246">
      <pivotArea dataOnly="0" labelOnly="1" outline="0" offset="A256" fieldPosition="0">
        <references count="1">
          <reference field="11" count="1" defaultSubtotal="1">
            <x v="15"/>
          </reference>
        </references>
      </pivotArea>
    </format>
    <format dxfId="245">
      <pivotArea dataOnly="0" labelOnly="1" outline="0" fieldPosition="0">
        <references count="1">
          <reference field="11" count="1">
            <x v="0"/>
          </reference>
        </references>
      </pivotArea>
    </format>
    <format dxfId="244">
      <pivotArea dataOnly="0" labelOnly="1" outline="0" offset="A256" fieldPosition="0">
        <references count="1">
          <reference field="11" count="1" defaultSubtotal="1">
            <x v="0"/>
          </reference>
        </references>
      </pivotArea>
    </format>
    <format dxfId="243">
      <pivotArea dataOnly="0" labelOnly="1" outline="0" fieldPosition="0">
        <references count="1">
          <reference field="11" count="1">
            <x v="1"/>
          </reference>
        </references>
      </pivotArea>
    </format>
    <format dxfId="242">
      <pivotArea dataOnly="0" labelOnly="1" outline="0" offset="A256" fieldPosition="0">
        <references count="1">
          <reference field="11" count="1" defaultSubtotal="1">
            <x v="1"/>
          </reference>
        </references>
      </pivotArea>
    </format>
    <format dxfId="241">
      <pivotArea dataOnly="0" labelOnly="1" outline="0" fieldPosition="0">
        <references count="1">
          <reference field="11" count="1">
            <x v="2"/>
          </reference>
        </references>
      </pivotArea>
    </format>
    <format dxfId="240">
      <pivotArea dataOnly="0" labelOnly="1" outline="0" offset="A256" fieldPosition="0">
        <references count="1">
          <reference field="11" count="1" defaultSubtotal="1">
            <x v="2"/>
          </reference>
        </references>
      </pivotArea>
    </format>
    <format dxfId="239">
      <pivotArea dataOnly="0" labelOnly="1" outline="0" fieldPosition="0">
        <references count="1">
          <reference field="11" count="1">
            <x v="4"/>
          </reference>
        </references>
      </pivotArea>
    </format>
    <format dxfId="238">
      <pivotArea dataOnly="0" labelOnly="1" outline="0" offset="A256" fieldPosition="0">
        <references count="1">
          <reference field="11" count="1" defaultSubtotal="1">
            <x v="4"/>
          </reference>
        </references>
      </pivotArea>
    </format>
    <format dxfId="237">
      <pivotArea dataOnly="0" labelOnly="1" outline="0" fieldPosition="0">
        <references count="1">
          <reference field="11" count="1">
            <x v="5"/>
          </reference>
        </references>
      </pivotArea>
    </format>
    <format dxfId="236">
      <pivotArea dataOnly="0" labelOnly="1" outline="0" offset="A256" fieldPosition="0">
        <references count="1">
          <reference field="11" count="1" defaultSubtotal="1">
            <x v="5"/>
          </reference>
        </references>
      </pivotArea>
    </format>
    <format dxfId="235">
      <pivotArea dataOnly="0" labelOnly="1" outline="0" fieldPosition="0">
        <references count="1">
          <reference field="11" count="1">
            <x v="6"/>
          </reference>
        </references>
      </pivotArea>
    </format>
    <format dxfId="234">
      <pivotArea dataOnly="0" labelOnly="1" outline="0" offset="A256" fieldPosition="0">
        <references count="1">
          <reference field="11" count="1" defaultSubtotal="1">
            <x v="6"/>
          </reference>
        </references>
      </pivotArea>
    </format>
    <format dxfId="233">
      <pivotArea dataOnly="0" labelOnly="1" outline="0" fieldPosition="0">
        <references count="1">
          <reference field="11" count="1">
            <x v="7"/>
          </reference>
        </references>
      </pivotArea>
    </format>
    <format dxfId="232">
      <pivotArea dataOnly="0" labelOnly="1" outline="0" offset="A256" fieldPosition="0">
        <references count="1">
          <reference field="11" count="1" defaultSubtotal="1">
            <x v="7"/>
          </reference>
        </references>
      </pivotArea>
    </format>
    <format dxfId="231">
      <pivotArea dataOnly="0" labelOnly="1" outline="0" fieldPosition="0">
        <references count="1">
          <reference field="11" count="1">
            <x v="8"/>
          </reference>
        </references>
      </pivotArea>
    </format>
    <format dxfId="230">
      <pivotArea dataOnly="0" labelOnly="1" outline="0" offset="A256" fieldPosition="0">
        <references count="1">
          <reference field="11" count="1" defaultSubtotal="1">
            <x v="8"/>
          </reference>
        </references>
      </pivotArea>
    </format>
    <format dxfId="229">
      <pivotArea dataOnly="0" labelOnly="1" outline="0" fieldPosition="0">
        <references count="1">
          <reference field="11" count="1">
            <x v="9"/>
          </reference>
        </references>
      </pivotArea>
    </format>
    <format dxfId="228">
      <pivotArea dataOnly="0" labelOnly="1" outline="0" offset="A256" fieldPosition="0">
        <references count="1">
          <reference field="11" count="1" defaultSubtotal="1">
            <x v="9"/>
          </reference>
        </references>
      </pivotArea>
    </format>
    <format dxfId="227">
      <pivotArea dataOnly="0" labelOnly="1" outline="0" fieldPosition="0">
        <references count="1">
          <reference field="11" count="1">
            <x v="10"/>
          </reference>
        </references>
      </pivotArea>
    </format>
    <format dxfId="226">
      <pivotArea dataOnly="0" labelOnly="1" outline="0" offset="A256" fieldPosition="0">
        <references count="1">
          <reference field="11" count="1" defaultSubtotal="1">
            <x v="10"/>
          </reference>
        </references>
      </pivotArea>
    </format>
    <format dxfId="225">
      <pivotArea dataOnly="0" labelOnly="1" outline="0" fieldPosition="0">
        <references count="1">
          <reference field="11" count="1">
            <x v="11"/>
          </reference>
        </references>
      </pivotArea>
    </format>
    <format dxfId="224">
      <pivotArea dataOnly="0" labelOnly="1" outline="0" offset="A256" fieldPosition="0">
        <references count="1">
          <reference field="11" count="1" defaultSubtotal="1">
            <x v="11"/>
          </reference>
        </references>
      </pivotArea>
    </format>
    <format dxfId="223">
      <pivotArea dataOnly="0" labelOnly="1" outline="0" fieldPosition="0">
        <references count="1">
          <reference field="11" count="1">
            <x v="12"/>
          </reference>
        </references>
      </pivotArea>
    </format>
    <format dxfId="222">
      <pivotArea dataOnly="0" labelOnly="1" outline="0" offset="A256" fieldPosition="0">
        <references count="1">
          <reference field="11" count="1" defaultSubtotal="1">
            <x v="12"/>
          </reference>
        </references>
      </pivotArea>
    </format>
    <format dxfId="221">
      <pivotArea dataOnly="0" labelOnly="1" outline="0" fieldPosition="0">
        <references count="1">
          <reference field="11" count="1">
            <x v="13"/>
          </reference>
        </references>
      </pivotArea>
    </format>
    <format dxfId="220">
      <pivotArea dataOnly="0" labelOnly="1" outline="0" offset="A256" fieldPosition="0">
        <references count="1">
          <reference field="11" count="1" defaultSubtotal="1">
            <x v="13"/>
          </reference>
        </references>
      </pivotArea>
    </format>
    <format dxfId="219">
      <pivotArea dataOnly="0" labelOnly="1" outline="0" fieldPosition="0">
        <references count="1">
          <reference field="11" count="1">
            <x v="14"/>
          </reference>
        </references>
      </pivotArea>
    </format>
    <format dxfId="218">
      <pivotArea dataOnly="0" labelOnly="1" outline="0" offset="A256" fieldPosition="0">
        <references count="1">
          <reference field="11" count="1" defaultSubtotal="1">
            <x v="14"/>
          </reference>
        </references>
      </pivotArea>
    </format>
    <format dxfId="217">
      <pivotArea dataOnly="0" labelOnly="1" outline="0" fieldPosition="0">
        <references count="1">
          <reference field="11" count="1">
            <x v="15"/>
          </reference>
        </references>
      </pivotArea>
    </format>
    <format dxfId="216">
      <pivotArea dataOnly="0" labelOnly="1" outline="0" offset="A256" fieldPosition="0">
        <references count="1">
          <reference field="11" count="1" defaultSubtotal="1">
            <x v="15"/>
          </reference>
        </references>
      </pivotArea>
    </format>
    <format dxfId="215">
      <pivotArea dataOnly="0" labelOnly="1" outline="0" fieldPosition="0">
        <references count="1">
          <reference field="11" count="1">
            <x v="0"/>
          </reference>
        </references>
      </pivotArea>
    </format>
    <format dxfId="214">
      <pivotArea dataOnly="0" labelOnly="1" outline="0" fieldPosition="0">
        <references count="1">
          <reference field="11" count="1" defaultSubtotal="1">
            <x v="0"/>
          </reference>
        </references>
      </pivotArea>
    </format>
    <format dxfId="213">
      <pivotArea dataOnly="0" labelOnly="1" outline="0" fieldPosition="0">
        <references count="1">
          <reference field="11" count="1">
            <x v="1"/>
          </reference>
        </references>
      </pivotArea>
    </format>
    <format dxfId="212">
      <pivotArea dataOnly="0" labelOnly="1" outline="0" fieldPosition="0">
        <references count="1">
          <reference field="11" count="1" defaultSubtotal="1">
            <x v="1"/>
          </reference>
        </references>
      </pivotArea>
    </format>
    <format dxfId="211">
      <pivotArea dataOnly="0" labelOnly="1" outline="0" fieldPosition="0">
        <references count="1">
          <reference field="11" count="1">
            <x v="2"/>
          </reference>
        </references>
      </pivotArea>
    </format>
    <format dxfId="210">
      <pivotArea dataOnly="0" labelOnly="1" outline="0" fieldPosition="0">
        <references count="1">
          <reference field="11" count="1" defaultSubtotal="1">
            <x v="2"/>
          </reference>
        </references>
      </pivotArea>
    </format>
    <format dxfId="209">
      <pivotArea dataOnly="0" labelOnly="1" outline="0" fieldPosition="0">
        <references count="1">
          <reference field="11" count="1">
            <x v="4"/>
          </reference>
        </references>
      </pivotArea>
    </format>
    <format dxfId="208">
      <pivotArea dataOnly="0" labelOnly="1" outline="0" fieldPosition="0">
        <references count="1">
          <reference field="11" count="1" defaultSubtotal="1">
            <x v="4"/>
          </reference>
        </references>
      </pivotArea>
    </format>
    <format dxfId="207">
      <pivotArea dataOnly="0" labelOnly="1" outline="0" fieldPosition="0">
        <references count="1">
          <reference field="11" count="1">
            <x v="5"/>
          </reference>
        </references>
      </pivotArea>
    </format>
    <format dxfId="206">
      <pivotArea dataOnly="0" labelOnly="1" outline="0" fieldPosition="0">
        <references count="1">
          <reference field="11" count="1" defaultSubtotal="1">
            <x v="5"/>
          </reference>
        </references>
      </pivotArea>
    </format>
    <format dxfId="205">
      <pivotArea dataOnly="0" labelOnly="1" outline="0" fieldPosition="0">
        <references count="1">
          <reference field="11" count="1">
            <x v="6"/>
          </reference>
        </references>
      </pivotArea>
    </format>
    <format dxfId="204">
      <pivotArea dataOnly="0" labelOnly="1" outline="0" fieldPosition="0">
        <references count="1">
          <reference field="11" count="1" defaultSubtotal="1">
            <x v="6"/>
          </reference>
        </references>
      </pivotArea>
    </format>
    <format dxfId="203">
      <pivotArea dataOnly="0" labelOnly="1" outline="0" fieldPosition="0">
        <references count="1">
          <reference field="11" count="1">
            <x v="7"/>
          </reference>
        </references>
      </pivotArea>
    </format>
    <format dxfId="202">
      <pivotArea dataOnly="0" labelOnly="1" outline="0" fieldPosition="0">
        <references count="1">
          <reference field="11" count="1" defaultSubtotal="1">
            <x v="7"/>
          </reference>
        </references>
      </pivotArea>
    </format>
    <format dxfId="201">
      <pivotArea dataOnly="0" labelOnly="1" outline="0" fieldPosition="0">
        <references count="1">
          <reference field="11" count="1">
            <x v="8"/>
          </reference>
        </references>
      </pivotArea>
    </format>
    <format dxfId="200">
      <pivotArea dataOnly="0" labelOnly="1" outline="0" fieldPosition="0">
        <references count="1">
          <reference field="11" count="1" defaultSubtotal="1">
            <x v="8"/>
          </reference>
        </references>
      </pivotArea>
    </format>
    <format dxfId="199">
      <pivotArea dataOnly="0" labelOnly="1" outline="0" fieldPosition="0">
        <references count="1">
          <reference field="11" count="1">
            <x v="9"/>
          </reference>
        </references>
      </pivotArea>
    </format>
    <format dxfId="198">
      <pivotArea dataOnly="0" labelOnly="1" outline="0" fieldPosition="0">
        <references count="1">
          <reference field="11" count="1" defaultSubtotal="1">
            <x v="9"/>
          </reference>
        </references>
      </pivotArea>
    </format>
    <format dxfId="197">
      <pivotArea dataOnly="0" labelOnly="1" outline="0" fieldPosition="0">
        <references count="1">
          <reference field="11" count="1">
            <x v="10"/>
          </reference>
        </references>
      </pivotArea>
    </format>
    <format dxfId="196">
      <pivotArea dataOnly="0" labelOnly="1" outline="0" fieldPosition="0">
        <references count="1">
          <reference field="11" count="1" defaultSubtotal="1">
            <x v="10"/>
          </reference>
        </references>
      </pivotArea>
    </format>
    <format dxfId="195">
      <pivotArea dataOnly="0" labelOnly="1" outline="0" fieldPosition="0">
        <references count="1">
          <reference field="11" count="1">
            <x v="11"/>
          </reference>
        </references>
      </pivotArea>
    </format>
    <format dxfId="194">
      <pivotArea dataOnly="0" labelOnly="1" outline="0" fieldPosition="0">
        <references count="1">
          <reference field="11" count="1" defaultSubtotal="1">
            <x v="11"/>
          </reference>
        </references>
      </pivotArea>
    </format>
    <format dxfId="193">
      <pivotArea dataOnly="0" labelOnly="1" outline="0" fieldPosition="0">
        <references count="1">
          <reference field="11" count="1">
            <x v="12"/>
          </reference>
        </references>
      </pivotArea>
    </format>
    <format dxfId="192">
      <pivotArea dataOnly="0" labelOnly="1" outline="0" fieldPosition="0">
        <references count="1">
          <reference field="11" count="1" defaultSubtotal="1">
            <x v="12"/>
          </reference>
        </references>
      </pivotArea>
    </format>
    <format dxfId="191">
      <pivotArea dataOnly="0" labelOnly="1" outline="0" fieldPosition="0">
        <references count="1">
          <reference field="11" count="1">
            <x v="13"/>
          </reference>
        </references>
      </pivotArea>
    </format>
    <format dxfId="190">
      <pivotArea dataOnly="0" labelOnly="1" outline="0" fieldPosition="0">
        <references count="1">
          <reference field="11" count="1" defaultSubtotal="1">
            <x v="13"/>
          </reference>
        </references>
      </pivotArea>
    </format>
    <format dxfId="189">
      <pivotArea dataOnly="0" labelOnly="1" outline="0" fieldPosition="0">
        <references count="1">
          <reference field="11" count="1">
            <x v="14"/>
          </reference>
        </references>
      </pivotArea>
    </format>
    <format dxfId="188">
      <pivotArea dataOnly="0" labelOnly="1" outline="0" fieldPosition="0">
        <references count="1">
          <reference field="11" count="1" defaultSubtotal="1">
            <x v="14"/>
          </reference>
        </references>
      </pivotArea>
    </format>
    <format dxfId="187">
      <pivotArea dataOnly="0" labelOnly="1" outline="0" fieldPosition="0">
        <references count="1">
          <reference field="11" count="1">
            <x v="15"/>
          </reference>
        </references>
      </pivotArea>
    </format>
    <format dxfId="186">
      <pivotArea dataOnly="0" labelOnly="1" outline="0" fieldPosition="0">
        <references count="1">
          <reference field="11" count="1" defaultSubtotal="1">
            <x v="15"/>
          </reference>
        </references>
      </pivotArea>
    </format>
    <format dxfId="185">
      <pivotArea outline="0" collapsedLevelsAreSubtotals="1" fieldPosition="0">
        <references count="1">
          <reference field="4294967294" count="1" selected="0">
            <x v="1"/>
          </reference>
        </references>
      </pivotArea>
    </format>
    <format dxfId="184">
      <pivotArea dataOnly="0" labelOnly="1" outline="0" fieldPosition="0">
        <references count="1">
          <reference field="4294967294" count="1">
            <x v="1"/>
          </reference>
        </references>
      </pivotArea>
    </format>
    <format dxfId="183">
      <pivotArea field="11" type="button" dataOnly="0" labelOnly="1" outline="0" axis="axisRow" fieldPosition="0"/>
    </format>
    <format dxfId="182">
      <pivotArea outline="0" collapsedLevelsAreSubtotals="1" fieldPosition="0"/>
    </format>
    <format dxfId="181">
      <pivotArea type="all" dataOnly="0" outline="0" fieldPosition="0"/>
    </format>
    <format dxfId="180">
      <pivotArea field="11" type="button" dataOnly="0" labelOnly="1" outline="0" axis="axisRow" fieldPosition="0"/>
    </format>
    <format dxfId="179">
      <pivotArea field="12" type="button" dataOnly="0" labelOnly="1" outline="0" axis="axisRow" fieldPosition="1"/>
    </format>
    <format dxfId="178">
      <pivotArea field="14" type="button" dataOnly="0" labelOnly="1" outline="0" axis="axisRow" fieldPosition="2"/>
    </format>
    <format dxfId="177">
      <pivotArea dataOnly="0" labelOnly="1" outline="0" fieldPosition="0">
        <references count="1">
          <reference field="4294967294" count="3">
            <x v="0"/>
            <x v="1"/>
            <x v="2"/>
          </reference>
        </references>
      </pivotArea>
    </format>
    <format dxfId="176">
      <pivotArea field="11" type="button" dataOnly="0" labelOnly="1" outline="0" axis="axisRow" fieldPosition="0"/>
    </format>
    <format dxfId="175">
      <pivotArea field="12" type="button" dataOnly="0" labelOnly="1" outline="0" axis="axisRow" fieldPosition="1"/>
    </format>
    <format dxfId="174">
      <pivotArea field="14" type="button" dataOnly="0" labelOnly="1" outline="0" axis="axisRow" fieldPosition="2"/>
    </format>
    <format dxfId="173">
      <pivotArea dataOnly="0" labelOnly="1" outline="0" fieldPosition="0">
        <references count="1">
          <reference field="4294967294" count="3">
            <x v="0"/>
            <x v="1"/>
            <x v="2"/>
          </reference>
        </references>
      </pivotArea>
    </format>
    <format dxfId="172">
      <pivotArea field="11" type="button" dataOnly="0" labelOnly="1" outline="0" axis="axisRow" fieldPosition="0"/>
    </format>
    <format dxfId="171">
      <pivotArea field="12" type="button" dataOnly="0" labelOnly="1" outline="0" axis="axisRow" fieldPosition="1"/>
    </format>
    <format dxfId="170">
      <pivotArea field="14" type="button" dataOnly="0" labelOnly="1" outline="0" axis="axisRow" fieldPosition="2"/>
    </format>
    <format dxfId="169">
      <pivotArea dataOnly="0" labelOnly="1" outline="0" fieldPosition="0">
        <references count="1">
          <reference field="4294967294" count="3">
            <x v="0"/>
            <x v="1"/>
            <x v="2"/>
          </reference>
        </references>
      </pivotArea>
    </format>
  </formats>
  <pivotHierarchies count="115">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mps count="1">
        <mp field="13"/>
      </mps>
    </pivotHierarchy>
    <pivotHierarchy>
      <mps count="1">
        <mp field="1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20"/>
        <mp field="21"/>
        <mp field="22"/>
      </mps>
      <members count="1" level="2">
        <member name="[Local Organisation].[CAB].[Member].&amp;[York (member)]&amp;[Yorkshire &amp; the Humber]"/>
      </members>
    </pivotHierarchy>
    <pivotHierarchy/>
    <pivotHierarchy multipleItemSelectionAllowed="1"/>
    <pivotHierarchy/>
    <pivotHierarchy multipleItemSelectionAllowed="1">
      <mps count="3">
        <mp field="6"/>
        <mp field="7"/>
        <mp field="8"/>
      </mps>
      <members count="1" level="1">
        <member name="[Monthly Calendar].[Financial].[Year].&amp;[2016-17]"/>
      </members>
    </pivotHierarchy>
    <pivotHierarchy/>
    <pivotHierarchy/>
    <pivotHierarchy/>
    <pivotHierarchy/>
    <pivotHierarchy multipleItemSelectionAllowed="1">
      <mps count="1">
        <mp field="10"/>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Issues"/>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Medium2" showRowHeaders="1" showColHeaders="1" showRowStripes="0" showColStripes="0" showLastColumn="1"/>
  <rowHierarchiesUsage count="3">
    <rowHierarchyUsage hierarchyUsage="2"/>
    <rowHierarchyUsage hierarchyUsage="3"/>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14.xml><?xml version="1.0" encoding="utf-8"?>
<pivotTableDefinition xmlns="http://schemas.openxmlformats.org/spreadsheetml/2006/main" name="PivotTable1" cacheId="9" applyNumberFormats="0" applyBorderFormats="0" applyFontFormats="0" applyPatternFormats="0" applyAlignmentFormats="0" applyWidthHeightFormats="1" dataCaption="Values" updatedVersion="4" minRefreshableVersion="3" useAutoFormatting="1" subtotalHiddenItems="1" itemPrintTitles="1" createdVersion="4" indent="0" outline="1" outlineData="1" multipleFieldFilters="0" fieldListSortAscending="1">
  <location ref="AI19:AI27" firstHeaderRow="1" firstDataRow="1" firstDataCol="1"/>
  <pivotFields count="1">
    <pivotField axis="axisRow" allDrilled="1" showAll="0" dataSourceSort="1" defaultAttributeDrillState="1">
      <items count="8">
        <item x="0"/>
        <item x="1"/>
        <item x="2"/>
        <item x="3"/>
        <item x="4"/>
        <item x="5"/>
        <item x="6"/>
        <item t="default"/>
      </items>
    </pivotField>
  </pivotFields>
  <rowFields count="1">
    <field x="0"/>
  </rowFields>
  <rowItems count="8">
    <i>
      <x/>
    </i>
    <i>
      <x v="1"/>
    </i>
    <i>
      <x v="2"/>
    </i>
    <i>
      <x v="3"/>
    </i>
    <i>
      <x v="4"/>
    </i>
    <i>
      <x v="5"/>
    </i>
    <i>
      <x v="6"/>
    </i>
    <i t="grand">
      <x/>
    </i>
  </rowItems>
  <formats count="1">
    <format dxfId="164">
      <pivotArea type="all" dataOnly="0" outline="0" fieldPosition="0"/>
    </format>
  </formats>
  <pivotHierarchies count="10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5"/>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3" cacheId="8" applyNumberFormats="0" applyBorderFormats="0" applyFontFormats="0" applyPatternFormats="0" applyAlignmentFormats="0" applyWidthHeightFormats="1" dataCaption="Values" updatedVersion="4" minRefreshableVersion="3" useAutoFormatting="1" subtotalHiddenItems="1" itemPrintTitles="1" createdVersion="4" indent="0" outline="1" outlineData="1" multipleFieldFilters="0" fieldListSortAscending="1">
  <location ref="W10" firstHeaderRow="0" firstDataRow="0" firstDataCol="0" rowPageCount="1" colPageCount="1"/>
  <pivotFields count="1">
    <pivotField axis="axisPage" allDrilled="1" showAll="0" dataSourceSort="1" defaultAttributeDrillState="1">
      <items count="1">
        <item t="default"/>
      </items>
    </pivotField>
  </pivotFields>
  <pageFields count="1">
    <pageField fld="0" hier="2" name="[Client Event Type].[Client Event Type].&amp;[Email]" cap="Email"/>
  </pageFields>
  <formats count="2">
    <format dxfId="166">
      <pivotArea field="0" type="button" dataOnly="0" labelOnly="1" outline="0" axis="axisPage" fieldPosition="0"/>
    </format>
    <format dxfId="165">
      <pivotArea dataOnly="0" labelOnly="1" outline="0" fieldPosition="0">
        <references count="1">
          <reference field="0" count="0"/>
        </references>
      </pivotArea>
    </format>
  </formats>
  <pivotHierarchies count="109">
    <pivotHierarchy/>
    <pivotHierarchy/>
    <pivotHierarchy multipleItemSelectionAllowed="1">
      <members count="7" level="1">
        <member name="[Client Event Type].[Client Event Type].&amp;[Email]"/>
        <member name="[Client Event Type].[Client Event Type].&amp;[Letter]"/>
        <member name="[Client Event Type].[Client Event Type].&amp;[Enquiry]"/>
        <member name="[Client Event Type].[Client Event Type].&amp;[Gateway]"/>
        <member name="[Client Event Type].[Client Event Type].&amp;[Day sheet]"/>
        <member name="[Client Event Type].[Client Event Type].&amp;[Phone call]"/>
        <member name="[Client Event Type].[Client Event Type].&amp;[Face to face]"/>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17" cacheId="15" applyNumberFormats="0" applyBorderFormats="0" applyFontFormats="0" applyPatternFormats="0" applyAlignmentFormats="0" applyWidthHeightFormats="1" dataCaption="Values" updatedVersion="4" minRefreshableVersion="3" disableFieldList="1" showDrill="0" enableWizard="0" enableFieldProperties="0" subtotalHiddenItems="1" itemPrintTitles="1" createdVersion="4" indent="0" compact="0" compactData="0" multipleFieldFilters="0" fieldListSortAscending="1">
  <location ref="B24:D97" firstHeaderRow="1" firstDataRow="1" firstDataCol="2" rowPageCount="4" colPageCount="1"/>
  <pivotFields count="20">
    <pivotField dataField="1" compact="0" outline="0" showAll="0">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5">
        <item x="0"/>
        <item x="1"/>
        <item x="2"/>
        <item x="3"/>
        <item x="4"/>
        <item x="5"/>
        <item x="6"/>
        <item x="7"/>
        <item x="8"/>
        <item x="9"/>
        <item x="10"/>
        <item x="11"/>
        <item x="12"/>
        <item x="13"/>
        <item x="14"/>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s>
  <rowFields count="2">
    <field x="2"/>
    <field x="3"/>
  </rowFields>
  <rowItems count="73">
    <i>
      <x/>
      <x/>
    </i>
    <i r="1">
      <x v="1"/>
    </i>
    <i r="1">
      <x v="2"/>
    </i>
    <i r="1">
      <x v="3"/>
    </i>
    <i r="1">
      <x v="4"/>
    </i>
    <i r="1">
      <x v="5"/>
    </i>
    <i r="1">
      <x v="6"/>
    </i>
    <i r="1">
      <x v="7"/>
    </i>
    <i r="1">
      <x v="8"/>
    </i>
    <i r="1">
      <x v="9"/>
    </i>
    <i r="1">
      <x v="10"/>
    </i>
    <i r="1">
      <x v="11"/>
    </i>
    <i r="1">
      <x v="12"/>
    </i>
    <i>
      <x v="1"/>
      <x v="13"/>
    </i>
    <i r="1">
      <x v="14"/>
    </i>
    <i r="1">
      <x v="15"/>
    </i>
    <i r="1">
      <x v="16"/>
    </i>
    <i r="1">
      <x v="17"/>
    </i>
    <i>
      <x v="2"/>
      <x v="18"/>
    </i>
    <i r="1">
      <x v="19"/>
    </i>
    <i r="1">
      <x v="20"/>
    </i>
    <i r="1">
      <x v="21"/>
    </i>
    <i r="1">
      <x v="22"/>
    </i>
    <i r="1">
      <x v="23"/>
    </i>
    <i r="1">
      <x v="24"/>
    </i>
    <i>
      <x v="3"/>
      <x v="25"/>
    </i>
    <i r="1">
      <x v="26"/>
    </i>
    <i r="1">
      <x v="27"/>
    </i>
    <i r="1">
      <x v="28"/>
    </i>
    <i r="1">
      <x v="29"/>
    </i>
    <i>
      <x v="4"/>
      <x v="30"/>
    </i>
    <i>
      <x v="5"/>
      <x v="31"/>
    </i>
    <i r="1">
      <x v="32"/>
    </i>
    <i r="1">
      <x v="33"/>
    </i>
    <i r="1">
      <x v="34"/>
    </i>
    <i r="1">
      <x v="35"/>
    </i>
    <i r="1">
      <x v="36"/>
    </i>
    <i>
      <x v="6"/>
      <x v="37"/>
    </i>
    <i r="1">
      <x v="38"/>
    </i>
    <i r="1">
      <x v="39"/>
    </i>
    <i r="1">
      <x v="40"/>
    </i>
    <i r="1">
      <x v="41"/>
    </i>
    <i r="1">
      <x v="42"/>
    </i>
    <i r="1">
      <x v="43"/>
    </i>
    <i r="1">
      <x v="44"/>
    </i>
    <i r="1">
      <x v="45"/>
    </i>
    <i r="1">
      <x v="46"/>
    </i>
    <i>
      <x v="7"/>
      <x v="47"/>
    </i>
    <i r="1">
      <x v="48"/>
    </i>
    <i r="1">
      <x v="49"/>
    </i>
    <i r="1">
      <x v="50"/>
    </i>
    <i r="1">
      <x v="51"/>
    </i>
    <i r="1">
      <x v="52"/>
    </i>
    <i r="1">
      <x v="53"/>
    </i>
    <i r="1">
      <x v="54"/>
    </i>
    <i>
      <x v="8"/>
      <x v="55"/>
    </i>
    <i r="1">
      <x v="56"/>
    </i>
    <i r="1">
      <x v="57"/>
    </i>
    <i>
      <x v="9"/>
      <x v="58"/>
    </i>
    <i r="1">
      <x v="59"/>
    </i>
    <i r="1">
      <x v="60"/>
    </i>
    <i r="1">
      <x v="61"/>
    </i>
    <i>
      <x v="10"/>
      <x v="62"/>
    </i>
    <i>
      <x v="11"/>
      <x v="63"/>
    </i>
    <i>
      <x v="12"/>
      <x v="64"/>
    </i>
    <i r="1">
      <x v="65"/>
    </i>
    <i>
      <x v="13"/>
      <x v="66"/>
    </i>
    <i r="1">
      <x v="67"/>
    </i>
    <i r="1">
      <x v="68"/>
    </i>
    <i>
      <x v="14"/>
      <x v="69"/>
    </i>
    <i r="1">
      <x v="70"/>
    </i>
    <i r="1">
      <x v="71"/>
    </i>
    <i t="grand">
      <x/>
    </i>
  </rowItems>
  <colItems count="1">
    <i/>
  </colItems>
  <pageFields count="4">
    <pageField fld="1" hier="0" name="[Advice Event Type].[Advice Event Type].&amp;[BEF AIC Creation]" cap="BEF AIC Creation"/>
    <pageField fld="13" hier="88" name="[Local Organisation].[CAB].[Member].&amp;[York (member)]&amp;[Yorkshire &amp; the Humber]" cap="York (member)"/>
    <pageField fld="5" hier="92" name="[Monthly Calendar].[Financial].[Year].&amp;[2016-17]" cap="2016-17"/>
    <pageField fld="11" hier="97" name="[National Funder].[Funder].[All]" cap="All"/>
  </pageFields>
  <dataFields count="1">
    <dataField name="Ebefs" fld="0" baseField="0" baseItem="0" numFmtId="3"/>
  </dataFields>
  <formats count="26">
    <format dxfId="161">
      <pivotArea field="2" type="button" dataOnly="0" labelOnly="1" outline="0" axis="axisRow" fieldPosition="0"/>
    </format>
    <format dxfId="160">
      <pivotArea field="3" type="button" dataOnly="0" labelOnly="1" outline="0" axis="axisRow" fieldPosition="1"/>
    </format>
    <format dxfId="159">
      <pivotArea dataOnly="0" labelOnly="1" outline="0" axis="axisValues" fieldPosition="0"/>
    </format>
    <format dxfId="158">
      <pivotArea field="2" type="button" dataOnly="0" labelOnly="1" outline="0" axis="axisRow" fieldPosition="0"/>
    </format>
    <format dxfId="157">
      <pivotArea field="3" type="button" dataOnly="0" labelOnly="1" outline="0" axis="axisRow" fieldPosition="1"/>
    </format>
    <format dxfId="156">
      <pivotArea dataOnly="0" labelOnly="1" outline="0" axis="axisValues" fieldPosition="0"/>
    </format>
    <format dxfId="155">
      <pivotArea field="2" type="button" dataOnly="0" labelOnly="1" outline="0" axis="axisRow" fieldPosition="0"/>
    </format>
    <format dxfId="154">
      <pivotArea field="3" type="button" dataOnly="0" labelOnly="1" outline="0" axis="axisRow" fieldPosition="1"/>
    </format>
    <format dxfId="153">
      <pivotArea dataOnly="0" labelOnly="1" outline="0" axis="axisValues" fieldPosition="0"/>
    </format>
    <format dxfId="152">
      <pivotArea type="all" dataOnly="0" outline="0" fieldPosition="0"/>
    </format>
    <format dxfId="151">
      <pivotArea type="all" dataOnly="0" outline="0" fieldPosition="0"/>
    </format>
    <format dxfId="150">
      <pivotArea outline="0" collapsedLevelsAreSubtotals="1" fieldPosition="0"/>
    </format>
    <format dxfId="149">
      <pivotArea grandRow="1" outline="0" collapsedLevelsAreSubtotals="1" fieldPosition="0"/>
    </format>
    <format dxfId="148">
      <pivotArea dataOnly="0" labelOnly="1" grandRow="1" outline="0" fieldPosition="0"/>
    </format>
    <format dxfId="147">
      <pivotArea grandRow="1" outline="0" collapsedLevelsAreSubtotals="1" fieldPosition="0"/>
    </format>
    <format dxfId="146">
      <pivotArea dataOnly="0" labelOnly="1" grandRow="1" outline="0" fieldPosition="0"/>
    </format>
    <format dxfId="145">
      <pivotArea dataOnly="0" labelOnly="1" outline="0" axis="axisValues" fieldPosition="0"/>
    </format>
    <format dxfId="144">
      <pivotArea outline="0" collapsedLevelsAreSubtotals="1" fieldPosition="0"/>
    </format>
    <format dxfId="143">
      <pivotArea type="all" dataOnly="0" outline="0" fieldPosition="0"/>
    </format>
    <format dxfId="142">
      <pivotArea field="2" type="button" dataOnly="0" labelOnly="1" outline="0" axis="axisRow" fieldPosition="0"/>
    </format>
    <format dxfId="141">
      <pivotArea field="3" type="button" dataOnly="0" labelOnly="1" outline="0" axis="axisRow" fieldPosition="1"/>
    </format>
    <format dxfId="140">
      <pivotArea dataOnly="0" labelOnly="1" outline="0" axis="axisValues" fieldPosition="0"/>
    </format>
    <format dxfId="139">
      <pivotArea grandRow="1" outline="0" collapsedLevelsAreSubtotals="1" fieldPosition="0"/>
    </format>
    <format dxfId="138">
      <pivotArea dataOnly="0" labelOnly="1" grandRow="1" outline="0" fieldPosition="0"/>
    </format>
    <format dxfId="137">
      <pivotArea grandRow="1" outline="0" collapsedLevelsAreSubtotals="1" fieldPosition="0"/>
    </format>
    <format dxfId="136">
      <pivotArea dataOnly="0" labelOnly="1" grandRow="1" outline="0" fieldPosition="0"/>
    </format>
  </formats>
  <pivotHierarchies count="114">
    <pivotHierarchy multipleItemSelectionAllowed="1">
      <members count="1" level="1">
        <member name="[Advice Event Type].[Advice Event Type].&amp;[BEF AIC Creation]"/>
      </members>
    </pivotHierarchy>
    <pivotHierarchy/>
    <pivotHierarchy/>
    <pivotHierarchy>
      <mps count="1">
        <mp field="4"/>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7"/>
        <mp field="18"/>
        <mp field="19"/>
      </mps>
      <members count="1" level="2">
        <member name="[Local Organisation].[CAB].[Member].&amp;[York (member)]&amp;[Yorkshire &amp; the Humber]"/>
      </members>
    </pivotHierarchy>
    <pivotHierarchy/>
    <pivotHierarchy multipleItemSelectionAllowed="1"/>
    <pivotHierarchy/>
    <pivotHierarchy multipleItemSelectionAllowed="1">
      <mps count="3">
        <mp field="8"/>
        <mp field="9"/>
        <mp field="10"/>
      </mps>
      <members count="1" level="1">
        <member name="[Monthly Calendar].[Financial].[Year].&amp;[2016-17]"/>
      </members>
    </pivotHierarchy>
    <pivotHierarchy/>
    <pivotHierarchy/>
    <pivotHierarchy/>
    <pivotHierarchy/>
    <pivotHierarchy multipleItemSelectionAllowed="1">
      <mps count="1">
        <mp field="12"/>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Ebefs"/>
    <pivotHierarchy dragToRow="0" dragToCol="0" dragToPage="0" dragToData="1"/>
  </pivotHierarchies>
  <pivotTableStyleInfo name="PivotStyleLight16" showRowHeaders="1" showColHeaders="1" showRowStripes="0" showColStripes="0" showLastColumn="1"/>
  <rowHierarchiesUsage count="2">
    <rowHierarchyUsage hierarchyUsage="2"/>
    <rowHierarchyUsage hierarchyUsage="3"/>
  </rowHierarchiesUsage>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17.xml><?xml version="1.0" encoding="utf-8"?>
<pivotTableDefinition xmlns="http://schemas.openxmlformats.org/spreadsheetml/2006/main" name="PivotTable3" cacheId="21" applyNumberFormats="0" applyBorderFormats="0" applyFontFormats="0" applyPatternFormats="0" applyAlignmentFormats="0" applyWidthHeightFormats="1" dataCaption="Values" updatedVersion="4" minRefreshableVersion="3" disableFieldList="1" showDrill="0" enableWizard="0" enableFieldProperties="0" subtotalHiddenItems="1" itemPrintTitles="1" createdVersion="4" indent="0" compact="0" compactData="0" multipleFieldFilters="0" rowHeaderCaption="Ward" fieldListSortAscending="1">
  <location ref="H24:L256" firstHeaderRow="0" firstDataRow="1" firstDataCol="2" rowPageCount="4" colPageCount="1"/>
  <pivotFields count="22">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Row" compact="0" allDrilled="1" outline="0" showAll="0" dataSourceSort="1" defaultAttributeDrillState="1">
      <items count="2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extLst>
        <ext xmlns:x14="http://schemas.microsoft.com/office/spreadsheetml/2009/9/main" uri="{2946ED86-A175-432a-8AC1-64E0C546D7DE}">
          <x14:pivotField fillDownLabels="1"/>
        </ext>
      </extLst>
    </pivotField>
    <pivotField axis="axisPage" compact="0" allDrilled="1"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axis="axisPage" compact="0" outline="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13"/>
    <field x="11"/>
  </rowFields>
  <rowItems count="232">
    <i>
      <x/>
      <x v="170"/>
    </i>
    <i>
      <x v="1"/>
      <x v="216"/>
    </i>
    <i>
      <x v="2"/>
      <x v="10"/>
    </i>
    <i>
      <x v="3"/>
      <x v="65"/>
    </i>
    <i>
      <x v="4"/>
      <x v="180"/>
    </i>
    <i>
      <x v="5"/>
      <x v="197"/>
    </i>
    <i>
      <x v="6"/>
      <x v="149"/>
    </i>
    <i>
      <x v="7"/>
      <x v="181"/>
    </i>
    <i>
      <x v="8"/>
      <x v="12"/>
    </i>
    <i r="1">
      <x v="44"/>
    </i>
    <i r="1">
      <x v="69"/>
    </i>
    <i r="1">
      <x v="74"/>
    </i>
    <i r="1">
      <x v="79"/>
    </i>
    <i r="1">
      <x v="151"/>
    </i>
    <i r="1">
      <x v="185"/>
    </i>
    <i r="1">
      <x v="186"/>
    </i>
    <i r="1">
      <x v="187"/>
    </i>
    <i r="1">
      <x v="188"/>
    </i>
    <i r="1">
      <x v="209"/>
    </i>
    <i r="1">
      <x v="218"/>
    </i>
    <i r="1">
      <x v="223"/>
    </i>
    <i>
      <x v="9"/>
      <x v="11"/>
    </i>
    <i>
      <x v="10"/>
      <x v="58"/>
    </i>
    <i>
      <x v="11"/>
      <x v="15"/>
    </i>
    <i r="1">
      <x v="25"/>
    </i>
    <i r="1">
      <x v="26"/>
    </i>
    <i r="1">
      <x v="27"/>
    </i>
    <i r="1">
      <x v="43"/>
    </i>
    <i r="1">
      <x v="46"/>
    </i>
    <i r="1">
      <x v="51"/>
    </i>
    <i r="1">
      <x v="56"/>
    </i>
    <i r="1">
      <x v="70"/>
    </i>
    <i r="1">
      <x v="71"/>
    </i>
    <i r="1">
      <x v="82"/>
    </i>
    <i r="1">
      <x v="92"/>
    </i>
    <i r="1">
      <x v="93"/>
    </i>
    <i r="1">
      <x v="118"/>
    </i>
    <i r="1">
      <x v="121"/>
    </i>
    <i r="1">
      <x v="135"/>
    </i>
    <i r="1">
      <x v="155"/>
    </i>
    <i r="1">
      <x v="189"/>
    </i>
    <i r="1">
      <x v="190"/>
    </i>
    <i r="1">
      <x v="192"/>
    </i>
    <i r="1">
      <x v="215"/>
    </i>
    <i r="1">
      <x v="228"/>
    </i>
    <i r="1">
      <x v="229"/>
    </i>
    <i>
      <x v="12"/>
      <x v="174"/>
    </i>
    <i>
      <x v="13"/>
      <x v="6"/>
    </i>
    <i r="1">
      <x v="9"/>
    </i>
    <i r="1">
      <x v="14"/>
    </i>
    <i r="1">
      <x v="55"/>
    </i>
    <i r="1">
      <x v="75"/>
    </i>
    <i r="1">
      <x v="94"/>
    </i>
    <i r="1">
      <x v="124"/>
    </i>
    <i r="1">
      <x v="136"/>
    </i>
    <i r="1">
      <x v="137"/>
    </i>
    <i r="1">
      <x v="145"/>
    </i>
    <i r="1">
      <x v="157"/>
    </i>
    <i r="1">
      <x v="168"/>
    </i>
    <i r="1">
      <x v="195"/>
    </i>
    <i r="1">
      <x v="202"/>
    </i>
    <i r="1">
      <x v="211"/>
    </i>
    <i r="1">
      <x v="212"/>
    </i>
    <i>
      <x v="14"/>
      <x v="16"/>
    </i>
    <i r="1">
      <x v="17"/>
    </i>
    <i r="1">
      <x v="20"/>
    </i>
    <i r="1">
      <x v="73"/>
    </i>
    <i r="1">
      <x v="85"/>
    </i>
    <i r="1">
      <x v="89"/>
    </i>
    <i r="1">
      <x v="101"/>
    </i>
    <i r="1">
      <x v="103"/>
    </i>
    <i r="1">
      <x v="104"/>
    </i>
    <i r="1">
      <x v="105"/>
    </i>
    <i r="1">
      <x v="109"/>
    </i>
    <i r="1">
      <x v="113"/>
    </i>
    <i r="1">
      <x v="114"/>
    </i>
    <i r="1">
      <x v="127"/>
    </i>
    <i r="1">
      <x v="128"/>
    </i>
    <i r="1">
      <x v="132"/>
    </i>
    <i r="1">
      <x v="146"/>
    </i>
    <i r="1">
      <x v="148"/>
    </i>
    <i r="1">
      <x v="160"/>
    </i>
    <i r="1">
      <x v="165"/>
    </i>
    <i r="1">
      <x v="166"/>
    </i>
    <i r="1">
      <x v="167"/>
    </i>
    <i r="1">
      <x v="169"/>
    </i>
    <i r="1">
      <x v="173"/>
    </i>
    <i r="1">
      <x v="200"/>
    </i>
    <i r="1">
      <x v="203"/>
    </i>
    <i r="1">
      <x v="221"/>
    </i>
    <i>
      <x v="15"/>
      <x v="67"/>
    </i>
    <i>
      <x v="16"/>
      <x v="8"/>
    </i>
    <i r="1">
      <x v="19"/>
    </i>
    <i r="1">
      <x v="21"/>
    </i>
    <i r="1">
      <x v="22"/>
    </i>
    <i r="1">
      <x v="24"/>
    </i>
    <i r="1">
      <x v="47"/>
    </i>
    <i r="1">
      <x v="53"/>
    </i>
    <i r="1">
      <x v="87"/>
    </i>
    <i r="1">
      <x v="98"/>
    </i>
    <i r="1">
      <x v="100"/>
    </i>
    <i r="1">
      <x v="108"/>
    </i>
    <i r="1">
      <x v="112"/>
    </i>
    <i r="1">
      <x v="126"/>
    </i>
    <i r="1">
      <x v="130"/>
    </i>
    <i r="1">
      <x v="131"/>
    </i>
    <i r="1">
      <x v="143"/>
    </i>
    <i r="1">
      <x v="152"/>
    </i>
    <i r="1">
      <x v="193"/>
    </i>
    <i r="1">
      <x v="194"/>
    </i>
    <i r="1">
      <x v="196"/>
    </i>
    <i r="1">
      <x v="207"/>
    </i>
    <i r="1">
      <x v="217"/>
    </i>
    <i>
      <x v="17"/>
      <x v="2"/>
    </i>
    <i r="1">
      <x v="29"/>
    </i>
    <i r="1">
      <x v="123"/>
    </i>
    <i r="1">
      <x v="225"/>
    </i>
    <i>
      <x v="18"/>
      <x/>
    </i>
    <i>
      <x v="19"/>
      <x v="7"/>
    </i>
    <i>
      <x v="20"/>
      <x v="106"/>
    </i>
    <i>
      <x v="21"/>
      <x v="72"/>
    </i>
    <i>
      <x v="22"/>
      <x v="38"/>
    </i>
    <i r="1">
      <x v="220"/>
    </i>
    <i>
      <x v="23"/>
      <x v="142"/>
    </i>
    <i>
      <x v="24"/>
      <x v="116"/>
    </i>
    <i>
      <x v="25"/>
      <x v="54"/>
    </i>
    <i>
      <x v="26"/>
      <x v="198"/>
    </i>
    <i>
      <x v="27"/>
      <x v="39"/>
    </i>
    <i>
      <x v="28"/>
      <x v="99"/>
    </i>
    <i>
      <x v="29"/>
      <x v="28"/>
    </i>
    <i r="1">
      <x v="34"/>
    </i>
    <i r="1">
      <x v="41"/>
    </i>
    <i r="1">
      <x v="68"/>
    </i>
    <i r="1">
      <x v="77"/>
    </i>
    <i r="1">
      <x v="86"/>
    </i>
    <i r="1">
      <x v="90"/>
    </i>
    <i r="1">
      <x v="110"/>
    </i>
    <i r="1">
      <x v="119"/>
    </i>
    <i r="1">
      <x v="150"/>
    </i>
    <i r="1">
      <x v="159"/>
    </i>
    <i r="1">
      <x v="162"/>
    </i>
    <i r="1">
      <x v="163"/>
    </i>
    <i r="1">
      <x v="164"/>
    </i>
    <i r="1">
      <x v="176"/>
    </i>
    <i>
      <x v="30"/>
      <x v="120"/>
    </i>
    <i>
      <x v="31"/>
      <x v="4"/>
    </i>
    <i r="1">
      <x v="45"/>
    </i>
    <i r="1">
      <x v="48"/>
    </i>
    <i r="1">
      <x v="80"/>
    </i>
    <i r="1">
      <x v="91"/>
    </i>
    <i r="1">
      <x v="102"/>
    </i>
    <i r="1">
      <x v="111"/>
    </i>
    <i r="1">
      <x v="139"/>
    </i>
    <i r="1">
      <x v="140"/>
    </i>
    <i r="1">
      <x v="153"/>
    </i>
    <i r="1">
      <x v="154"/>
    </i>
    <i r="1">
      <x v="172"/>
    </i>
    <i r="1">
      <x v="182"/>
    </i>
    <i r="1">
      <x v="184"/>
    </i>
    <i r="1">
      <x v="213"/>
    </i>
    <i>
      <x v="32"/>
      <x v="32"/>
    </i>
    <i r="1">
      <x v="36"/>
    </i>
    <i r="1">
      <x v="37"/>
    </i>
    <i r="1">
      <x v="50"/>
    </i>
    <i r="1">
      <x v="57"/>
    </i>
    <i r="1">
      <x v="61"/>
    </i>
    <i r="1">
      <x v="62"/>
    </i>
    <i r="1">
      <x v="63"/>
    </i>
    <i r="1">
      <x v="81"/>
    </i>
    <i r="1">
      <x v="107"/>
    </i>
    <i r="1">
      <x v="115"/>
    </i>
    <i r="1">
      <x v="125"/>
    </i>
    <i r="1">
      <x v="129"/>
    </i>
    <i r="1">
      <x v="134"/>
    </i>
    <i r="1">
      <x v="138"/>
    </i>
    <i r="1">
      <x v="156"/>
    </i>
    <i r="1">
      <x v="175"/>
    </i>
    <i r="1">
      <x v="177"/>
    </i>
    <i r="1">
      <x v="201"/>
    </i>
    <i r="1">
      <x v="205"/>
    </i>
    <i r="1">
      <x v="222"/>
    </i>
    <i r="1">
      <x v="227"/>
    </i>
    <i r="1">
      <x v="230"/>
    </i>
    <i>
      <x v="33"/>
      <x v="5"/>
    </i>
    <i r="1">
      <x v="13"/>
    </i>
    <i r="1">
      <x v="23"/>
    </i>
    <i r="1">
      <x v="30"/>
    </i>
    <i r="1">
      <x v="31"/>
    </i>
    <i r="1">
      <x v="35"/>
    </i>
    <i r="1">
      <x v="49"/>
    </i>
    <i r="1">
      <x v="59"/>
    </i>
    <i r="1">
      <x v="60"/>
    </i>
    <i r="1">
      <x v="122"/>
    </i>
    <i r="1">
      <x v="161"/>
    </i>
    <i r="1">
      <x v="178"/>
    </i>
    <i r="1">
      <x v="179"/>
    </i>
    <i r="1">
      <x v="183"/>
    </i>
    <i r="1">
      <x v="191"/>
    </i>
    <i r="1">
      <x v="210"/>
    </i>
    <i r="1">
      <x v="214"/>
    </i>
    <i>
      <x v="34"/>
      <x v="147"/>
    </i>
    <i>
      <x v="35"/>
      <x v="141"/>
    </i>
    <i>
      <x v="36"/>
      <x v="206"/>
    </i>
    <i>
      <x v="37"/>
      <x v="208"/>
    </i>
    <i>
      <x v="38"/>
      <x v="199"/>
    </i>
    <i>
      <x v="39"/>
      <x v="219"/>
    </i>
    <i>
      <x v="40"/>
      <x v="3"/>
    </i>
    <i r="1">
      <x v="33"/>
    </i>
    <i r="1">
      <x v="133"/>
    </i>
    <i>
      <x v="41"/>
      <x v="1"/>
    </i>
    <i r="1">
      <x v="18"/>
    </i>
    <i r="1">
      <x v="40"/>
    </i>
    <i r="1">
      <x v="42"/>
    </i>
    <i r="1">
      <x v="52"/>
    </i>
    <i r="1">
      <x v="64"/>
    </i>
    <i r="1">
      <x v="66"/>
    </i>
    <i r="1">
      <x v="76"/>
    </i>
    <i r="1">
      <x v="78"/>
    </i>
    <i r="1">
      <x v="83"/>
    </i>
    <i r="1">
      <x v="84"/>
    </i>
    <i r="1">
      <x v="88"/>
    </i>
    <i r="1">
      <x v="95"/>
    </i>
    <i r="1">
      <x v="96"/>
    </i>
    <i r="1">
      <x v="97"/>
    </i>
    <i r="1">
      <x v="117"/>
    </i>
    <i r="1">
      <x v="144"/>
    </i>
    <i r="1">
      <x v="158"/>
    </i>
    <i r="1">
      <x v="171"/>
    </i>
    <i r="1">
      <x v="204"/>
    </i>
    <i r="1">
      <x v="224"/>
    </i>
    <i r="1">
      <x v="226"/>
    </i>
    <i t="grand">
      <x/>
    </i>
  </rowItems>
  <colFields count="1">
    <field x="-2"/>
  </colFields>
  <colItems count="3">
    <i>
      <x/>
    </i>
    <i i="1">
      <x v="1"/>
    </i>
    <i i="2">
      <x v="2"/>
    </i>
  </colItems>
  <pageFields count="4">
    <pageField fld="14" hier="88" name="[Local Organisation].[CAB].[Member].&amp;[York (member)]&amp;[Yorkshire &amp; the Humber]" cap="York (member)"/>
    <pageField fld="3" hier="92" name="[Monthly Calendar].[Financial].[Year].&amp;[2016-17]" cap="2016-17"/>
    <pageField fld="9" hier="97" name="[National Funder].[Funder].[All]" cap="All"/>
    <pageField fld="2" hier="0" name="[Advice Event Type].[Advice Event Type].&amp;[Gateway AIC Creation]" cap="Gateway AIC Creation"/>
  </pageFields>
  <dataFields count="3">
    <dataField name="Issues" fld="0" baseField="0" baseItem="0" numFmtId="3"/>
    <dataField fld="1" baseField="0" baseItem="0" numFmtId="3"/>
    <dataField name="Issues %" fld="21" showDataAs="percentOfTotal" baseField="13" baseItem="0" numFmtId="164">
      <extLst>
        <ext xmlns:x14="http://schemas.microsoft.com/office/spreadsheetml/2009/9/main" uri="{E15A36E0-9728-4e99-A89B-3F7291B0FE68}">
          <x14:dataField sourceField="0" uniqueName="[__Xl2].[Measures].[Number of Advice Events]"/>
        </ext>
      </extLst>
    </dataField>
  </dataFields>
  <formats count="20">
    <format dxfId="111">
      <pivotArea dataOnly="0" labelOnly="1" outline="0" fieldPosition="0">
        <references count="1">
          <reference field="4294967294" count="3">
            <x v="0"/>
            <x v="1"/>
            <x v="2"/>
          </reference>
        </references>
      </pivotArea>
    </format>
    <format dxfId="110">
      <pivotArea outline="0" collapsedLevelsAreSubtotals="1" fieldPosition="0">
        <references count="1">
          <reference field="4294967294" count="2" selected="0">
            <x v="0"/>
            <x v="1"/>
          </reference>
        </references>
      </pivotArea>
    </format>
    <format dxfId="109">
      <pivotArea outline="0" collapsedLevelsAreSubtotals="1" fieldPosition="0">
        <references count="1">
          <reference field="4294967294" count="1" selected="0">
            <x v="2"/>
          </reference>
        </references>
      </pivotArea>
    </format>
    <format dxfId="108">
      <pivotArea field="11" type="button" dataOnly="0" labelOnly="1" outline="0" axis="axisRow" fieldPosition="1"/>
    </format>
    <format dxfId="107">
      <pivotArea dataOnly="0" labelOnly="1" outline="0" fieldPosition="0">
        <references count="1">
          <reference field="4294967294" count="3">
            <x v="0"/>
            <x v="1"/>
            <x v="2"/>
          </reference>
        </references>
      </pivotArea>
    </format>
    <format dxfId="106">
      <pivotArea field="11" type="button" dataOnly="0" labelOnly="1" outline="0" axis="axisRow" fieldPosition="1"/>
    </format>
    <format dxfId="105">
      <pivotArea dataOnly="0" labelOnly="1" outline="0" fieldPosition="0">
        <references count="1">
          <reference field="4294967294" count="3">
            <x v="0"/>
            <x v="1"/>
            <x v="2"/>
          </reference>
        </references>
      </pivotArea>
    </format>
    <format dxfId="104">
      <pivotArea type="all" dataOnly="0" outline="0" fieldPosition="0"/>
    </format>
    <format dxfId="103">
      <pivotArea dataOnly="0" labelOnly="1" outline="0" fieldPosition="0">
        <references count="1">
          <reference field="4294967294" count="1">
            <x v="1"/>
          </reference>
        </references>
      </pivotArea>
    </format>
    <format dxfId="102">
      <pivotArea type="all" dataOnly="0" outline="0" fieldPosition="0"/>
    </format>
    <format dxfId="101">
      <pivotArea grandRow="1" outline="0" collapsedLevelsAreSubtotals="1" fieldPosition="0"/>
    </format>
    <format dxfId="100">
      <pivotArea dataOnly="0" labelOnly="1" grandRow="1" outline="0" fieldPosition="0"/>
    </format>
    <format dxfId="99">
      <pivotArea field="13" type="button" dataOnly="0" labelOnly="1" outline="0" axis="axisRow" fieldPosition="0"/>
    </format>
    <format dxfId="98">
      <pivotArea outline="0" collapsedLevelsAreSubtotals="1" fieldPosition="0"/>
    </format>
    <format dxfId="97">
      <pivotArea type="all" dataOnly="0" outline="0" fieldPosition="0"/>
    </format>
    <format dxfId="96">
      <pivotArea field="13" type="button" dataOnly="0" labelOnly="1" outline="0" axis="axisRow" fieldPosition="0"/>
    </format>
    <format dxfId="95">
      <pivotArea field="11" type="button" dataOnly="0" labelOnly="1" outline="0" axis="axisRow" fieldPosition="1"/>
    </format>
    <format dxfId="94">
      <pivotArea dataOnly="0" labelOnly="1" outline="0" fieldPosition="0">
        <references count="1">
          <reference field="4294967294" count="3">
            <x v="0"/>
            <x v="1"/>
            <x v="2"/>
          </reference>
        </references>
      </pivotArea>
    </format>
    <format dxfId="93">
      <pivotArea grandRow="1" outline="0" collapsedLevelsAreSubtotals="1" fieldPosition="0"/>
    </format>
    <format dxfId="92">
      <pivotArea dataOnly="0" labelOnly="1" grandRow="1" outline="0" fieldPosition="0"/>
    </format>
  </formats>
  <pivotHierarchies count="115">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pivotHierarchy/>
    <pivotHierarchy/>
    <pivotHierarchy/>
    <pivotHierarchy/>
    <pivotHierarchy/>
    <pivotHierarchy/>
    <pivotHierarchy/>
    <pivotHierarchy/>
    <pivotHierarchy/>
    <pivotHierarchy>
      <mps count="1">
        <mp field="12"/>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8"/>
        <mp field="19"/>
        <mp field="20"/>
      </mps>
      <members count="1" level="2">
        <member name="[Local Organisation].[CAB].[Member].&amp;[York (member)]&amp;[Yorkshire &amp; the Humber]"/>
      </members>
    </pivotHierarchy>
    <pivotHierarchy/>
    <pivotHierarchy multipleItemSelectionAllowed="1"/>
    <pivotHierarchy/>
    <pivotHierarchy multipleItemSelectionAllowed="1">
      <mps count="3">
        <mp field="6"/>
        <mp field="7"/>
        <mp field="8"/>
      </mps>
      <members count="1" level="1">
        <member name="[Monthly Calendar].[Financial].[Year].&amp;[2016-17]"/>
      </members>
    </pivotHierarchy>
    <pivotHierarchy/>
    <pivotHierarchy/>
    <pivotHierarchy/>
    <pivotHierarchy/>
    <pivotHierarchy multipleItemSelectionAllowed="1">
      <mps count="1">
        <mp field="10"/>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Issues"/>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12"/>
    <rowHierarchyUsage hierarchyUsage="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18.xml><?xml version="1.0" encoding="utf-8"?>
<pivotTableDefinition xmlns="http://schemas.openxmlformats.org/spreadsheetml/2006/main" name="PivotTable2" cacheId="20" applyNumberFormats="0" applyBorderFormats="0" applyFontFormats="0" applyPatternFormats="0" applyAlignmentFormats="0" applyWidthHeightFormats="1" dataCaption="Values" updatedVersion="4" minRefreshableVersion="3" disableFieldList="1" enableWizard="0" enableFieldProperties="0" subtotalHiddenItems="1" itemPrintTitles="1" createdVersion="4" indent="0" outline="1" outlineData="1" multipleFieldFilters="0" rowHeaderCaption="LA" fieldListSortAscending="1">
  <location ref="B24:E67" firstHeaderRow="0" firstDataRow="1" firstDataCol="1" rowPageCount="4" colPageCount="1"/>
  <pivotFields count="2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showAll="0" dataSourceSort="1" defaultSubtotal="0" showPropTip="1"/>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11"/>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Fields count="1">
    <field x="-2"/>
  </colFields>
  <colItems count="3">
    <i>
      <x/>
    </i>
    <i i="1">
      <x v="1"/>
    </i>
    <i i="2">
      <x v="2"/>
    </i>
  </colItems>
  <pageFields count="4">
    <pageField fld="12" hier="88" name="[Local Organisation].[CAB].[Member].&amp;[York (member)]&amp;[Yorkshire &amp; the Humber]" cap="York (member)"/>
    <pageField fld="0" hier="92" name="[Monthly Calendar].[Financial].[Year].&amp;[2016-17]" cap="2016-17"/>
    <pageField fld="6" hier="97" name="[National Funder].[Funder].[All]" cap="All"/>
    <pageField fld="8" hier="0" name="[Advice Event Type].[Advice Event Type].&amp;[Gateway AIC Creation]" cap="Gateway AIC Creation"/>
  </pageFields>
  <dataFields count="3">
    <dataField name="Issues" fld="9" baseField="0" baseItem="0"/>
    <dataField fld="10" baseField="0" baseItem="0"/>
    <dataField name="Issues %" fld="19" showDataAs="percentOfTotal" baseField="13" baseItem="0" numFmtId="164">
      <extLst>
        <ext xmlns:x14="http://schemas.microsoft.com/office/spreadsheetml/2009/9/main" uri="{E15A36E0-9728-4e99-A89B-3F7291B0FE68}">
          <x14:dataField sourceField="9" uniqueName="[__Xl2].[Measures].[Number of Advice Events]"/>
        </ext>
      </extLst>
    </dataField>
  </dataFields>
  <formats count="24">
    <format dxfId="135">
      <pivotArea field="11" type="button" dataOnly="0" labelOnly="1" outline="0" axis="axisRow" fieldPosition="0"/>
    </format>
    <format dxfId="134">
      <pivotArea dataOnly="0" labelOnly="1" outline="0" fieldPosition="0">
        <references count="1">
          <reference field="4294967294" count="2">
            <x v="0"/>
            <x v="1"/>
          </reference>
        </references>
      </pivotArea>
    </format>
    <format dxfId="133">
      <pivotArea field="11" type="button" dataOnly="0" labelOnly="1" outline="0" axis="axisRow" fieldPosition="0"/>
    </format>
    <format dxfId="132">
      <pivotArea dataOnly="0" labelOnly="1" outline="0" fieldPosition="0">
        <references count="1">
          <reference field="4294967294" count="2">
            <x v="0"/>
            <x v="1"/>
          </reference>
        </references>
      </pivotArea>
    </format>
    <format dxfId="131">
      <pivotArea field="11" type="button" dataOnly="0" labelOnly="1" outline="0" axis="axisRow" fieldPosition="0"/>
    </format>
    <format dxfId="130">
      <pivotArea dataOnly="0" labelOnly="1" outline="0" fieldPosition="0">
        <references count="1">
          <reference field="4294967294" count="2">
            <x v="0"/>
            <x v="1"/>
          </reference>
        </references>
      </pivotArea>
    </format>
    <format dxfId="129">
      <pivotArea type="all" dataOnly="0" outline="0" fieldPosition="0"/>
    </format>
    <format dxfId="128">
      <pivotArea dataOnly="0" labelOnly="1" outline="0" fieldPosition="0">
        <references count="1">
          <reference field="4294967294" count="2">
            <x v="0"/>
            <x v="1"/>
          </reference>
        </references>
      </pivotArea>
    </format>
    <format dxfId="127">
      <pivotArea outline="0" collapsedLevelsAreSubtotals="1" fieldPosition="0"/>
    </format>
    <format dxfId="126">
      <pivotArea type="all" dataOnly="0" outline="0" fieldPosition="0"/>
    </format>
    <format dxfId="125">
      <pivotArea grandRow="1" outline="0" collapsedLevelsAreSubtotals="1" fieldPosition="0"/>
    </format>
    <format dxfId="124">
      <pivotArea dataOnly="0" labelOnly="1" grandRow="1" outline="0" fieldPosition="0"/>
    </format>
    <format dxfId="123">
      <pivotArea dataOnly="0" labelOnly="1" outline="0" fieldPosition="0">
        <references count="1">
          <reference field="4294967294" count="1">
            <x v="2"/>
          </reference>
        </references>
      </pivotArea>
    </format>
    <format dxfId="122">
      <pivotArea dataOnly="0" labelOnly="1" outline="0" fieldPosition="0">
        <references count="1">
          <reference field="4294967294" count="1">
            <x v="2"/>
          </reference>
        </references>
      </pivotArea>
    </format>
    <format dxfId="121">
      <pivotArea dataOnly="0" labelOnly="1" outline="0" fieldPosition="0">
        <references count="1">
          <reference field="4294967294" count="1">
            <x v="2"/>
          </reference>
        </references>
      </pivotArea>
    </format>
    <format dxfId="120">
      <pivotArea outline="0" fieldPosition="0">
        <references count="1">
          <reference field="4294967294" count="1">
            <x v="2"/>
          </reference>
        </references>
      </pivotArea>
    </format>
    <format dxfId="119">
      <pivotArea field="11" type="button" dataOnly="0" labelOnly="1" outline="0" axis="axisRow" fieldPosition="0"/>
    </format>
    <format dxfId="118">
      <pivotArea dataOnly="0" labelOnly="1" outline="0" fieldPosition="0">
        <references count="1">
          <reference field="4294967294" count="3">
            <x v="0"/>
            <x v="1"/>
            <x v="2"/>
          </reference>
        </references>
      </pivotArea>
    </format>
    <format dxfId="117">
      <pivotArea outline="0" collapsedLevelsAreSubtotals="1" fieldPosition="0"/>
    </format>
    <format dxfId="116">
      <pivotArea type="all" dataOnly="0" outline="0" fieldPosition="0"/>
    </format>
    <format dxfId="115">
      <pivotArea field="11" type="button" dataOnly="0" labelOnly="1" outline="0" axis="axisRow" fieldPosition="0"/>
    </format>
    <format dxfId="114">
      <pivotArea dataOnly="0" labelOnly="1" outline="0" fieldPosition="0">
        <references count="1">
          <reference field="4294967294" count="3">
            <x v="0"/>
            <x v="1"/>
            <x v="2"/>
          </reference>
        </references>
      </pivotArea>
    </format>
    <format dxfId="113">
      <pivotArea grandRow="1" outline="0" collapsedLevelsAreSubtotals="1" fieldPosition="0"/>
    </format>
    <format dxfId="112">
      <pivotArea dataOnly="0" labelOnly="1" grandRow="1" outline="0" fieldPosition="0"/>
    </format>
  </formats>
  <pivotHierarchies count="115">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6"/>
        <mp field="17"/>
        <mp field="18"/>
      </mps>
      <members count="1" level="2">
        <member name="[Local Organisation].[CAB].[Member].&amp;[York (member)]&amp;[Yorkshire &amp; the Humber]"/>
      </members>
    </pivotHierarchy>
    <pivotHierarchy/>
    <pivotHierarchy multipleItemSelectionAllowed="1"/>
    <pivotHierarchy/>
    <pivotHierarchy multipleItemSelectionAllowed="1">
      <mps count="3">
        <mp field="3"/>
        <mp field="4"/>
        <mp field="5"/>
      </mps>
      <members count="1" level="1">
        <member name="[Monthly Calendar].[Financial].[Year].&amp;[2016-17]"/>
      </members>
    </pivotHierarchy>
    <pivotHierarchy/>
    <pivotHierarchy/>
    <pivotHierarchy/>
    <pivotHierarchy/>
    <pivotHierarchy multipleItemSelectionAllowed="1">
      <mps count="1">
        <mp field="7"/>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Issues %"/>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1" cacheId="14" applyNumberFormats="0" applyBorderFormats="0" applyFontFormats="0" applyPatternFormats="0" applyAlignmentFormats="0" applyWidthHeightFormats="1" dataCaption="Values" updatedVersion="4" minRefreshableVersion="3" disableFieldList="1" enableWizard="0" enableFieldProperties="0" subtotalHiddenItems="1" itemPrintTitles="1" createdVersion="4" indent="0" outline="1" outlineData="1" multipleFieldFilters="0" rowHeaderCaption="Constituency" fieldListSortAscending="1">
  <location ref="B26:E78" firstHeaderRow="0" firstDataRow="1" firstDataCol="1" rowPageCount="4" colPageCount="1"/>
  <pivotFields count="21">
    <pivotField dataField="1" showAll="0"/>
    <pivotField dataField="1" showAll="0"/>
    <pivotField axis="axisPage" allDrilled="1" showAll="0" dataSourceSort="1" defaultAttributeDrillState="1">
      <items count="1">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showAll="0" dataSourceSort="1" defaultSubtotal="0" showPropTip="1"/>
    <pivotField axis="axisRow" allDrilled="1" showAll="0" dataSourceSort="1" defaultAttributeDrillState="1">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11"/>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Fields count="1">
    <field x="-2"/>
  </colFields>
  <colItems count="3">
    <i>
      <x/>
    </i>
    <i i="1">
      <x v="1"/>
    </i>
    <i i="2">
      <x v="2"/>
    </i>
  </colItems>
  <pageFields count="4">
    <pageField fld="2" hier="0" name="[Advice Event Type].[Advice Event Type].&amp;[Gateway AIC Creation]" cap="Gateway AIC Creation"/>
    <pageField fld="13" hier="88" name="[Local Organisation].[CAB].[Member].&amp;[York (member)]&amp;[Yorkshire &amp; the Humber]" cap="York (member)"/>
    <pageField fld="3" hier="92" name="[Monthly Calendar].[Financial].[Year].&amp;[2016-17]" cap="2016-17"/>
    <pageField fld="9" hier="97" name="[National Funder].[Funder].[All]" cap="All"/>
  </pageFields>
  <dataFields count="3">
    <dataField name="Issues" fld="0" baseField="0" baseItem="0" numFmtId="3"/>
    <dataField fld="1" baseField="0" baseItem="0"/>
    <dataField name="Issues %" fld="20" showDataAs="percentOfCol" baseField="13" baseItem="0" numFmtId="10">
      <extLst>
        <ext xmlns:x14="http://schemas.microsoft.com/office/spreadsheetml/2009/9/main" uri="{E15A36E0-9728-4e99-A89B-3F7291B0FE68}">
          <x14:dataField sourceField="0" uniqueName="[__Xl2].[Measures].[Number of Advice Events]"/>
        </ext>
      </extLst>
    </dataField>
  </dataFields>
  <formats count="22">
    <format dxfId="91">
      <pivotArea outline="0" collapsedLevelsAreSubtotals="1" fieldPosition="0"/>
    </format>
    <format dxfId="90">
      <pivotArea dataOnly="0" labelOnly="1" outline="0" fieldPosition="0">
        <references count="1">
          <reference field="4294967294" count="2">
            <x v="0"/>
            <x v="1"/>
          </reference>
        </references>
      </pivotArea>
    </format>
    <format dxfId="89">
      <pivotArea field="11" type="button" dataOnly="0" labelOnly="1" outline="0" axis="axisRow" fieldPosition="0"/>
    </format>
    <format dxfId="88">
      <pivotArea dataOnly="0" labelOnly="1" outline="0" fieldPosition="0">
        <references count="1">
          <reference field="4294967294" count="2">
            <x v="0"/>
            <x v="1"/>
          </reference>
        </references>
      </pivotArea>
    </format>
    <format dxfId="87">
      <pivotArea field="11" type="button" dataOnly="0" labelOnly="1" outline="0" axis="axisRow" fieldPosition="0"/>
    </format>
    <format dxfId="86">
      <pivotArea dataOnly="0" labelOnly="1" outline="0" fieldPosition="0">
        <references count="1">
          <reference field="4294967294" count="2">
            <x v="0"/>
            <x v="1"/>
          </reference>
        </references>
      </pivotArea>
    </format>
    <format dxfId="85">
      <pivotArea type="all" dataOnly="0" outline="0" fieldPosition="0"/>
    </format>
    <format dxfId="84">
      <pivotArea type="all" dataOnly="0" outline="0" fieldPosition="0"/>
    </format>
    <format dxfId="83">
      <pivotArea outline="0" collapsedLevelsAreSubtotals="1" fieldPosition="0"/>
    </format>
    <format dxfId="82">
      <pivotArea dataOnly="0" labelOnly="1" outline="0" fieldPosition="0">
        <references count="1">
          <reference field="4294967294" count="2">
            <x v="0"/>
            <x v="1"/>
          </reference>
        </references>
      </pivotArea>
    </format>
    <format dxfId="81">
      <pivotArea field="11" type="button" dataOnly="0" labelOnly="1" outline="0" axis="axisRow" fieldPosition="0"/>
    </format>
    <format dxfId="80">
      <pivotArea dataOnly="0" labelOnly="1" outline="0" fieldPosition="0">
        <references count="1">
          <reference field="4294967294" count="2">
            <x v="0"/>
            <x v="1"/>
          </reference>
        </references>
      </pivotArea>
    </format>
    <format dxfId="79">
      <pivotArea outline="0" fieldPosition="0">
        <references count="1">
          <reference field="4294967294" count="1">
            <x v="2"/>
          </reference>
        </references>
      </pivotArea>
    </format>
    <format dxfId="78">
      <pivotArea dataOnly="0" labelOnly="1" outline="0" fieldPosition="0">
        <references count="1">
          <reference field="4294967294" count="1">
            <x v="2"/>
          </reference>
        </references>
      </pivotArea>
    </format>
    <format dxfId="77">
      <pivotArea outline="0" collapsedLevelsAreSubtotals="1" fieldPosition="0"/>
    </format>
    <format dxfId="76">
      <pivotArea type="all" dataOnly="0" outline="0" fieldPosition="0"/>
    </format>
    <format dxfId="75">
      <pivotArea field="11" type="button" dataOnly="0" labelOnly="1" outline="0" axis="axisRow" fieldPosition="0"/>
    </format>
    <format dxfId="74">
      <pivotArea dataOnly="0" labelOnly="1" outline="0" fieldPosition="0">
        <references count="1">
          <reference field="4294967294" count="3">
            <x v="0"/>
            <x v="1"/>
            <x v="2"/>
          </reference>
        </references>
      </pivotArea>
    </format>
    <format dxfId="73">
      <pivotArea grandRow="1" outline="0" collapsedLevelsAreSubtotals="1" fieldPosition="0"/>
    </format>
    <format dxfId="72">
      <pivotArea grandRow="1" outline="0" collapsedLevelsAreSubtotals="1" fieldPosition="0"/>
    </format>
    <format dxfId="71">
      <pivotArea grandRow="1" outline="0" collapsedLevelsAreSubtotals="1" fieldPosition="0"/>
    </format>
    <format dxfId="70">
      <pivotArea dataOnly="0" labelOnly="1" grandRow="1" outline="0" fieldPosition="0"/>
    </format>
  </formats>
  <pivotHierarchies count="115">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2"/>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7"/>
        <mp field="18"/>
        <mp field="19"/>
      </mps>
      <members count="1" level="2">
        <member name="[Local Organisation].[CAB].[Member].&amp;[York (member)]&amp;[Yorkshire &amp; the Humber]"/>
      </members>
    </pivotHierarchy>
    <pivotHierarchy/>
    <pivotHierarchy multipleItemSelectionAllowed="1"/>
    <pivotHierarchy/>
    <pivotHierarchy multipleItemSelectionAllowed="1">
      <mps count="3">
        <mp field="6"/>
        <mp field="7"/>
        <mp field="8"/>
      </mps>
      <members count="1" level="1">
        <member name="[Monthly Calendar].[Financial].[Year].&amp;[2016-17]"/>
      </members>
    </pivotHierarchy>
    <pivotHierarchy/>
    <pivotHierarchy/>
    <pivotHierarchy/>
    <pivotHierarchy/>
    <pivotHierarchy multipleItemSelectionAllowed="1">
      <mps count="1">
        <mp field="10"/>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Issues"/>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4" minRefreshableVersion="3" disableFieldList="1" enableWizard="0" enableFieldProperties="0" subtotalHiddenItems="1" itemPrintTitles="1" createdVersion="4" indent="0" outline="1" outlineData="1" multipleFieldFilters="0" fieldListSortAscending="1">
  <location ref="C21" firstHeaderRow="0" firstDataRow="0" firstDataCol="0" rowPageCount="3" colPageCount="1"/>
  <pivotFields count="15">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s>
  <pageFields count="3">
    <pageField fld="8" hier="88" name="[Local Organisation].[CAB].[Member].&amp;[York (member)]&amp;[Yorkshire &amp; the Humber]" cap="York (member)"/>
    <pageField fld="0" hier="92" name="[Monthly Calendar].[Financial].[Year].&amp;[2016-17]" cap="2016-17"/>
    <pageField fld="6" hier="97" name="[National Funder].[Funder].[All]" cap="All"/>
  </pageFields>
  <formats count="54">
    <format dxfId="468">
      <pivotArea dataOnly="0" labelOnly="1" outline="0" fieldPosition="0">
        <references count="1">
          <reference field="0" count="0"/>
        </references>
      </pivotArea>
    </format>
    <format dxfId="467">
      <pivotArea field="6" type="button" dataOnly="0" labelOnly="1" outline="0" axis="axisPage" fieldPosition="2"/>
    </format>
    <format dxfId="466">
      <pivotArea dataOnly="0" labelOnly="1" outline="0" fieldPosition="0">
        <references count="1">
          <reference field="6" count="0"/>
        </references>
      </pivotArea>
    </format>
    <format dxfId="465">
      <pivotArea field="0" type="button" dataOnly="0" labelOnly="1" outline="0" axis="axisPage" fieldPosition="1"/>
    </format>
    <format dxfId="464">
      <pivotArea field="0" type="button" dataOnly="0" labelOnly="1" outline="0" axis="axisPage" fieldPosition="1"/>
    </format>
    <format dxfId="463">
      <pivotArea dataOnly="0" labelOnly="1" outline="0" fieldPosition="0">
        <references count="1">
          <reference field="0" count="0"/>
        </references>
      </pivotArea>
    </format>
    <format dxfId="462">
      <pivotArea field="6" type="button" dataOnly="0" labelOnly="1" outline="0" axis="axisPage" fieldPosition="2"/>
    </format>
    <format dxfId="461">
      <pivotArea dataOnly="0" labelOnly="1" outline="0" fieldPosition="0">
        <references count="1">
          <reference field="6" count="0"/>
        </references>
      </pivotArea>
    </format>
    <format dxfId="460">
      <pivotArea field="0" type="button" dataOnly="0" labelOnly="1" outline="0" axis="axisPage" fieldPosition="1"/>
    </format>
    <format dxfId="459">
      <pivotArea dataOnly="0" labelOnly="1" outline="0" fieldPosition="0">
        <references count="1">
          <reference field="0" count="0"/>
        </references>
      </pivotArea>
    </format>
    <format dxfId="458">
      <pivotArea field="6" type="button" dataOnly="0" labelOnly="1" outline="0" axis="axisPage" fieldPosition="2"/>
    </format>
    <format dxfId="457">
      <pivotArea dataOnly="0" labelOnly="1" outline="0" fieldPosition="0">
        <references count="1">
          <reference field="6" count="0"/>
        </references>
      </pivotArea>
    </format>
    <format dxfId="456">
      <pivotArea field="0" type="button" dataOnly="0" labelOnly="1" outline="0" axis="axisPage" fieldPosition="1"/>
    </format>
    <format dxfId="455">
      <pivotArea dataOnly="0" labelOnly="1" outline="0" fieldPosition="0">
        <references count="1">
          <reference field="0" count="0"/>
        </references>
      </pivotArea>
    </format>
    <format dxfId="454">
      <pivotArea field="6" type="button" dataOnly="0" labelOnly="1" outline="0" axis="axisPage" fieldPosition="2"/>
    </format>
    <format dxfId="453">
      <pivotArea dataOnly="0" labelOnly="1" outline="0" fieldPosition="0">
        <references count="1">
          <reference field="6" count="0"/>
        </references>
      </pivotArea>
    </format>
    <format dxfId="452">
      <pivotArea field="0" type="button" dataOnly="0" labelOnly="1" outline="0" axis="axisPage" fieldPosition="1"/>
    </format>
    <format dxfId="451">
      <pivotArea dataOnly="0" labelOnly="1" outline="0" fieldPosition="0">
        <references count="1">
          <reference field="0" count="0"/>
        </references>
      </pivotArea>
    </format>
    <format dxfId="450">
      <pivotArea field="6" type="button" dataOnly="0" labelOnly="1" outline="0" axis="axisPage" fieldPosition="2"/>
    </format>
    <format dxfId="449">
      <pivotArea dataOnly="0" labelOnly="1" outline="0" fieldPosition="0">
        <references count="1">
          <reference field="6" count="0"/>
        </references>
      </pivotArea>
    </format>
    <format dxfId="448">
      <pivotArea field="8" type="button" dataOnly="0" labelOnly="1" outline="0" axis="axisPage" fieldPosition="0"/>
    </format>
    <format dxfId="447">
      <pivotArea dataOnly="0" labelOnly="1" outline="0" fieldPosition="0">
        <references count="1">
          <reference field="8" count="0"/>
        </references>
      </pivotArea>
    </format>
    <format dxfId="446">
      <pivotArea field="0" type="button" dataOnly="0" labelOnly="1" outline="0" axis="axisPage" fieldPosition="1"/>
    </format>
    <format dxfId="445">
      <pivotArea dataOnly="0" labelOnly="1" outline="0" fieldPosition="0">
        <references count="1">
          <reference field="0" count="0"/>
        </references>
      </pivotArea>
    </format>
    <format dxfId="444">
      <pivotArea field="6" type="button" dataOnly="0" labelOnly="1" outline="0" axis="axisPage" fieldPosition="2"/>
    </format>
    <format dxfId="443">
      <pivotArea dataOnly="0" labelOnly="1" outline="0" fieldPosition="0">
        <references count="1">
          <reference field="6" count="0"/>
        </references>
      </pivotArea>
    </format>
    <format dxfId="442">
      <pivotArea dataOnly="0" labelOnly="1" outline="0" fieldPosition="0">
        <references count="1">
          <reference field="8" count="0"/>
        </references>
      </pivotArea>
    </format>
    <format dxfId="441">
      <pivotArea field="0" type="button" dataOnly="0" labelOnly="1" outline="0" axis="axisPage" fieldPosition="1"/>
    </format>
    <format dxfId="440">
      <pivotArea dataOnly="0" labelOnly="1" outline="0" fieldPosition="0">
        <references count="1">
          <reference field="0" count="0"/>
        </references>
      </pivotArea>
    </format>
    <format dxfId="439">
      <pivotArea field="6" type="button" dataOnly="0" labelOnly="1" outline="0" axis="axisPage" fieldPosition="2"/>
    </format>
    <format dxfId="438">
      <pivotArea dataOnly="0" labelOnly="1" outline="0" fieldPosition="0">
        <references count="1">
          <reference field="6" count="0"/>
        </references>
      </pivotArea>
    </format>
    <format dxfId="437">
      <pivotArea field="8" type="button" dataOnly="0" labelOnly="1" outline="0" axis="axisPage" fieldPosition="0"/>
    </format>
    <format dxfId="436">
      <pivotArea dataOnly="0" labelOnly="1" outline="0" fieldPosition="0">
        <references count="1">
          <reference field="8" count="0"/>
        </references>
      </pivotArea>
    </format>
    <format dxfId="435">
      <pivotArea field="0" type="button" dataOnly="0" labelOnly="1" outline="0" axis="axisPage" fieldPosition="1"/>
    </format>
    <format dxfId="434">
      <pivotArea dataOnly="0" labelOnly="1" outline="0" fieldPosition="0">
        <references count="1">
          <reference field="0" count="0"/>
        </references>
      </pivotArea>
    </format>
    <format dxfId="433">
      <pivotArea field="6" type="button" dataOnly="0" labelOnly="1" outline="0" axis="axisPage" fieldPosition="2"/>
    </format>
    <format dxfId="432">
      <pivotArea dataOnly="0" labelOnly="1" outline="0" fieldPosition="0">
        <references count="1">
          <reference field="6" count="0"/>
        </references>
      </pivotArea>
    </format>
    <format dxfId="431">
      <pivotArea field="8" type="button" dataOnly="0" labelOnly="1" outline="0" axis="axisPage" fieldPosition="0"/>
    </format>
    <format dxfId="430">
      <pivotArea field="8" type="button" dataOnly="0" labelOnly="1" outline="0" axis="axisPage" fieldPosition="0"/>
    </format>
    <format dxfId="429">
      <pivotArea dataOnly="0" labelOnly="1" outline="0" fieldPosition="0">
        <references count="1">
          <reference field="8" count="0"/>
        </references>
      </pivotArea>
    </format>
    <format dxfId="428">
      <pivotArea field="0" type="button" dataOnly="0" labelOnly="1" outline="0" axis="axisPage" fieldPosition="1"/>
    </format>
    <format dxfId="427">
      <pivotArea dataOnly="0" labelOnly="1" outline="0" fieldPosition="0">
        <references count="1">
          <reference field="0" count="0"/>
        </references>
      </pivotArea>
    </format>
    <format dxfId="426">
      <pivotArea field="6" type="button" dataOnly="0" labelOnly="1" outline="0" axis="axisPage" fieldPosition="2"/>
    </format>
    <format dxfId="425">
      <pivotArea dataOnly="0" labelOnly="1" outline="0" fieldPosition="0">
        <references count="1">
          <reference field="6" count="0"/>
        </references>
      </pivotArea>
    </format>
    <format dxfId="424">
      <pivotArea field="8" type="button" dataOnly="0" labelOnly="1" outline="0" axis="axisPage" fieldPosition="0"/>
    </format>
    <format dxfId="423">
      <pivotArea dataOnly="0" labelOnly="1" outline="0" fieldPosition="0">
        <references count="1">
          <reference field="8" count="0"/>
        </references>
      </pivotArea>
    </format>
    <format dxfId="422">
      <pivotArea field="0" type="button" dataOnly="0" labelOnly="1" outline="0" axis="axisPage" fieldPosition="1"/>
    </format>
    <format dxfId="421">
      <pivotArea dataOnly="0" labelOnly="1" outline="0" fieldPosition="0">
        <references count="1">
          <reference field="0" count="0"/>
        </references>
      </pivotArea>
    </format>
    <format dxfId="420">
      <pivotArea field="6" type="button" dataOnly="0" labelOnly="1" outline="0" axis="axisPage" fieldPosition="2"/>
    </format>
    <format dxfId="419">
      <pivotArea dataOnly="0" labelOnly="1" outline="0" fieldPosition="0">
        <references count="1">
          <reference field="6" count="0"/>
        </references>
      </pivotArea>
    </format>
    <format dxfId="418">
      <pivotArea field="0" type="button" dataOnly="0" labelOnly="1" outline="0" axis="axisPage" fieldPosition="1"/>
    </format>
    <format dxfId="417">
      <pivotArea field="0" type="button" dataOnly="0" labelOnly="1" outline="0" axis="axisPage" fieldPosition="1"/>
    </format>
    <format dxfId="416">
      <pivotArea field="0" type="button" dataOnly="0" labelOnly="1" outline="0" axis="axisPage" fieldPosition="1"/>
    </format>
    <format dxfId="415">
      <pivotArea field="0" type="button" dataOnly="0" labelOnly="1" outline="0" axis="axisPage" fieldPosition="1"/>
    </format>
  </formats>
  <pivotHierarchies count="11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caption="Region\Member\Bureau">
      <mps count="3">
        <mp field="12"/>
        <mp field="13"/>
        <mp field="14"/>
      </mps>
      <members count="1" level="2">
        <member name="[Local Organisation].[CAB].[Member].&amp;[York (member)]&amp;[Yorkshire &amp; the Humber]"/>
      </members>
    </pivotHierarchy>
    <pivotHierarchy/>
    <pivotHierarchy multipleItemSelectionAllowed="1" caption="Member"/>
    <pivotHierarchy/>
    <pivotHierarchy multipleItemSelectionAllowed="1" caption="Time Period">
      <mps count="3">
        <mp field="3"/>
        <mp field="4"/>
        <mp field="5"/>
      </mps>
      <members count="1" level="1">
        <member name="[Monthly Calendar].[Financial].[Year].&amp;[2016-17]"/>
      </members>
    </pivotHierarchy>
    <pivotHierarchy/>
    <pivotHierarchy/>
    <pivotHierarchy/>
    <pivotHierarchy/>
    <pivotHierarchy multipleItemSelectionAllowed="1">
      <mps count="1">
        <mp field="7"/>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ie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4" minRefreshableVersion="3" disableFieldList="1" enableWizard="0" enableFieldProperties="0" subtotalHiddenItems="1" itemPrintTitles="1" createdVersion="4" indent="0" outline="1" outlineData="1" multipleFieldFilters="0" rowHeaderCaption="Local Funder" fieldListSortAscending="1">
  <location ref="G24:J39" firstHeaderRow="0" firstDataRow="1" firstDataCol="1" rowPageCount="3" colPageCount="1"/>
  <pivotFields count="19">
    <pivotField dataField="1" showAll="0"/>
    <pivotField dataField="1" showAll="0"/>
    <pivotField axis="axisPage" allDrilled="1" showAll="0" dataSourceSort="1" defaultAttributeDrillState="1">
      <items count="1">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Row" allDrilled="1" showAll="0" dataSourceSort="1" defaultAttributeDrillState="1">
      <items count="15">
        <item x="0"/>
        <item x="1"/>
        <item x="2"/>
        <item x="3"/>
        <item x="4"/>
        <item x="5"/>
        <item x="6"/>
        <item x="7"/>
        <item x="8"/>
        <item x="9"/>
        <item x="10"/>
        <item x="11"/>
        <item x="12"/>
        <item x="13"/>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9"/>
  </rowFields>
  <rowItems count="15">
    <i>
      <x/>
    </i>
    <i>
      <x v="1"/>
    </i>
    <i>
      <x v="2"/>
    </i>
    <i>
      <x v="3"/>
    </i>
    <i>
      <x v="4"/>
    </i>
    <i>
      <x v="5"/>
    </i>
    <i>
      <x v="6"/>
    </i>
    <i>
      <x v="7"/>
    </i>
    <i>
      <x v="8"/>
    </i>
    <i>
      <x v="9"/>
    </i>
    <i>
      <x v="10"/>
    </i>
    <i>
      <x v="11"/>
    </i>
    <i>
      <x v="12"/>
    </i>
    <i>
      <x v="13"/>
    </i>
    <i t="grand">
      <x/>
    </i>
  </rowItems>
  <colFields count="1">
    <field x="-2"/>
  </colFields>
  <colItems count="3">
    <i>
      <x/>
    </i>
    <i i="1">
      <x v="1"/>
    </i>
    <i i="2">
      <x v="2"/>
    </i>
  </colItems>
  <pageFields count="3">
    <pageField fld="2" hier="0" name="[Advice Event Type].[Advice Event Type].&amp;[Gateway AIC Creation]" cap="Gateway AIC Creation"/>
    <pageField fld="11" hier="88" name="[Local Organisation].[CAB].[Member].&amp;[York (member)]&amp;[Yorkshire &amp; the Humber]" cap="York (member)"/>
    <pageField fld="3" hier="92" name="[Monthly Calendar].[Financial].[Year].&amp;[2016-17]" cap="2016-17"/>
  </pageFields>
  <dataFields count="3">
    <dataField name="Issues" fld="0" baseField="0" baseItem="0"/>
    <dataField fld="1" baseField="0" baseItem="0"/>
    <dataField name="Issues %" fld="18" showDataAs="percentOfCol" baseField="11" baseItem="4" numFmtId="10">
      <extLst>
        <ext xmlns:x14="http://schemas.microsoft.com/office/spreadsheetml/2009/9/main" uri="{E15A36E0-9728-4e99-A89B-3F7291B0FE68}">
          <x14:dataField sourceField="0" uniqueName="[__Xl2].[Measures].[Number of Advice Events]"/>
        </ext>
      </extLst>
    </dataField>
  </dataFields>
  <formats count="25">
    <format dxfId="42">
      <pivotArea field="9" type="button" dataOnly="0" labelOnly="1" outline="0" axis="axisRow" fieldPosition="0"/>
    </format>
    <format dxfId="41">
      <pivotArea dataOnly="0" labelOnly="1" outline="0" fieldPosition="0">
        <references count="1">
          <reference field="4294967294" count="2">
            <x v="0"/>
            <x v="1"/>
          </reference>
        </references>
      </pivotArea>
    </format>
    <format dxfId="40">
      <pivotArea field="9" type="button" dataOnly="0" labelOnly="1" outline="0" axis="axisRow" fieldPosition="0"/>
    </format>
    <format dxfId="39">
      <pivotArea dataOnly="0" labelOnly="1" outline="0" fieldPosition="0">
        <references count="1">
          <reference field="4294967294" count="2">
            <x v="0"/>
            <x v="1"/>
          </reference>
        </references>
      </pivotArea>
    </format>
    <format dxfId="38">
      <pivotArea type="all" dataOnly="0" outline="0" fieldPosition="0"/>
    </format>
    <format dxfId="37">
      <pivotArea field="9" type="button" dataOnly="0" labelOnly="1" outline="0" axis="axisRow" fieldPosition="0"/>
    </format>
    <format dxfId="36">
      <pivotArea dataOnly="0" labelOnly="1" outline="0" fieldPosition="0">
        <references count="1">
          <reference field="4294967294" count="2">
            <x v="0"/>
            <x v="1"/>
          </reference>
        </references>
      </pivotArea>
    </format>
    <format dxfId="35">
      <pivotArea grandRow="1" outline="0" collapsedLevelsAreSubtotals="1" fieldPosition="0"/>
    </format>
    <format dxfId="34">
      <pivotArea dataOnly="0" labelOnly="1" grandRow="1" outline="0" fieldPosition="0"/>
    </format>
    <format dxfId="33">
      <pivotArea grandRow="1" outline="0" collapsedLevelsAreSubtotals="1" fieldPosition="0"/>
    </format>
    <format dxfId="32">
      <pivotArea dataOnly="0" labelOnly="1" grandRow="1" outline="0" fieldPosition="0"/>
    </format>
    <format dxfId="31">
      <pivotArea outline="0" collapsedLevelsAreSubtotals="1" fieldPosition="0"/>
    </format>
    <format dxfId="30">
      <pivotArea type="all" dataOnly="0" outline="0" fieldPosition="0"/>
    </format>
    <format dxfId="29">
      <pivotArea dataOnly="0" labelOnly="1" outline="0" fieldPosition="0">
        <references count="1">
          <reference field="4294967294" count="1">
            <x v="0"/>
          </reference>
        </references>
      </pivotArea>
    </format>
    <format dxfId="28">
      <pivotArea dataOnly="0" labelOnly="1" outline="0" fieldPosition="0">
        <references count="1">
          <reference field="4294967294" count="1">
            <x v="1"/>
          </reference>
        </references>
      </pivotArea>
    </format>
    <format dxfId="27">
      <pivotArea field="9" type="button" dataOnly="0" labelOnly="1" outline="0" axis="axisRow" fieldPosition="0"/>
    </format>
    <format dxfId="26">
      <pivotArea dataOnly="0" labelOnly="1" outline="0" fieldPosition="0">
        <references count="1">
          <reference field="4294967294" count="2">
            <x v="0"/>
            <x v="1"/>
          </reference>
        </references>
      </pivotArea>
    </format>
    <format dxfId="25">
      <pivotArea dataOnly="0" labelOnly="1" outline="0" fieldPosition="0">
        <references count="1">
          <reference field="4294967294" count="1">
            <x v="2"/>
          </reference>
        </references>
      </pivotArea>
    </format>
    <format dxfId="24">
      <pivotArea outline="0" fieldPosition="0">
        <references count="1">
          <reference field="4294967294" count="1">
            <x v="2"/>
          </reference>
        </references>
      </pivotArea>
    </format>
    <format dxfId="23">
      <pivotArea outline="0" collapsedLevelsAreSubtotals="1" fieldPosition="0"/>
    </format>
    <format dxfId="22">
      <pivotArea type="all" dataOnly="0" outline="0" fieldPosition="0"/>
    </format>
    <format dxfId="21">
      <pivotArea field="9" type="button" dataOnly="0" labelOnly="1" outline="0" axis="axisRow" fieldPosition="0"/>
    </format>
    <format dxfId="20">
      <pivotArea dataOnly="0" labelOnly="1" outline="0" fieldPosition="0">
        <references count="1">
          <reference field="4294967294" count="3">
            <x v="0"/>
            <x v="1"/>
            <x v="2"/>
          </reference>
        </references>
      </pivotArea>
    </format>
    <format dxfId="19">
      <pivotArea grandRow="1" outline="0" collapsedLevelsAreSubtotals="1" fieldPosition="0"/>
    </format>
    <format dxfId="18">
      <pivotArea dataOnly="0" labelOnly="1" grandRow="1" outline="0" fieldPosition="0"/>
    </format>
  </formats>
  <pivotHierarchies count="115">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multipleItemSelectionAllowed="1">
      <mps count="3">
        <mp field="15"/>
        <mp field="16"/>
        <mp field="17"/>
      </mps>
      <members count="1" level="2">
        <member name="[Local Organisation].[CAB].[Member].&amp;[York (member)]&amp;[Yorkshire &amp; the Humber]"/>
      </members>
    </pivotHierarchy>
    <pivotHierarchy/>
    <pivotHierarchy multipleItemSelectionAllowed="1"/>
    <pivotHierarchy/>
    <pivotHierarchy multipleItemSelectionAllowed="1">
      <mps count="3">
        <mp field="6"/>
        <mp field="7"/>
        <mp field="8"/>
      </mps>
      <members count="1" level="1">
        <member name="[Monthly Calendar].[Financial].[Year].&amp;[2016-17]"/>
      </members>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dragToRow="0" dragToCol="0" dragToPage="0" dragToData="1" caption="Issues %"/>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8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4" minRefreshableVersion="3" disableFieldList="1" enableWizard="0" enableFieldProperties="0" subtotalHiddenItems="1" itemPrintTitles="1" createdVersion="4" indent="0" outline="1" outlineData="1" multipleFieldFilters="0" rowHeaderCaption="National Funder" fieldListSortAscending="1">
  <location ref="B24:E32" firstHeaderRow="0" firstDataRow="1" firstDataCol="1" rowPageCount="3" colPageCount="1"/>
  <pivotFields count="19">
    <pivotField dataField="1" showAll="0"/>
    <pivotField dataField="1" showAll="0"/>
    <pivotField axis="axisPage" allDrilled="1" showAll="0" dataSourceSort="1" defaultAttributeDrillState="1">
      <items count="1">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Row" allDrilled="1" showAll="0" dataSourceSort="1" defaultAttributeDrillState="1">
      <items count="8">
        <item x="0"/>
        <item x="1"/>
        <item x="2"/>
        <item x="3"/>
        <item x="4"/>
        <item x="5"/>
        <item x="6"/>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9"/>
  </rowFields>
  <rowItems count="8">
    <i>
      <x/>
    </i>
    <i>
      <x v="1"/>
    </i>
    <i>
      <x v="2"/>
    </i>
    <i>
      <x v="3"/>
    </i>
    <i>
      <x v="4"/>
    </i>
    <i>
      <x v="5"/>
    </i>
    <i>
      <x v="6"/>
    </i>
    <i t="grand">
      <x/>
    </i>
  </rowItems>
  <colFields count="1">
    <field x="-2"/>
  </colFields>
  <colItems count="3">
    <i>
      <x/>
    </i>
    <i i="1">
      <x v="1"/>
    </i>
    <i i="2">
      <x v="2"/>
    </i>
  </colItems>
  <pageFields count="3">
    <pageField fld="2" hier="0" name="[Advice Event Type].[Advice Event Type].&amp;[Gateway AIC Creation]" cap="Gateway AIC Creation"/>
    <pageField fld="11" hier="88" name="[Local Organisation].[CAB].[Member].&amp;[York (member)]&amp;[Yorkshire &amp; the Humber]" cap="York (member)"/>
    <pageField fld="3" hier="92" name="[Monthly Calendar].[Financial].[Year].&amp;[2016-17]" cap="2016-17"/>
  </pageFields>
  <dataFields count="3">
    <dataField name="Issues" fld="0" baseField="0" baseItem="0"/>
    <dataField fld="1" baseField="0" baseItem="0"/>
    <dataField name="Issues %" fld="18" showDataAs="percentOfCol" baseField="11" baseItem="4" numFmtId="10">
      <extLst>
        <ext xmlns:x14="http://schemas.microsoft.com/office/spreadsheetml/2009/9/main" uri="{E15A36E0-9728-4e99-A89B-3F7291B0FE68}">
          <x14:dataField sourceField="0" uniqueName="[__Xl2].[Measures].[Number of Advice Events]"/>
        </ext>
      </extLst>
    </dataField>
  </dataFields>
  <formats count="27">
    <format dxfId="69">
      <pivotArea outline="0" collapsedLevelsAreSubtotals="1" fieldPosition="0"/>
    </format>
    <format dxfId="68">
      <pivotArea dataOnly="0" labelOnly="1" outline="0" fieldPosition="0">
        <references count="1">
          <reference field="4294967294" count="2">
            <x v="0"/>
            <x v="1"/>
          </reference>
        </references>
      </pivotArea>
    </format>
    <format dxfId="67">
      <pivotArea dataOnly="0" labelOnly="1" outline="0" fieldPosition="0">
        <references count="1">
          <reference field="4294967294" count="2">
            <x v="0"/>
            <x v="1"/>
          </reference>
        </references>
      </pivotArea>
    </format>
    <format dxfId="66">
      <pivotArea type="all" dataOnly="0" outline="0" fieldPosition="0"/>
    </format>
    <format dxfId="65">
      <pivotArea type="all" dataOnly="0" outline="0" fieldPosition="0"/>
    </format>
    <format dxfId="64">
      <pivotArea field="9" type="button" dataOnly="0" labelOnly="1" outline="0" axis="axisRow" fieldPosition="0"/>
    </format>
    <format dxfId="63">
      <pivotArea dataOnly="0" labelOnly="1" outline="0" fieldPosition="0">
        <references count="1">
          <reference field="4294967294" count="2">
            <x v="0"/>
            <x v="1"/>
          </reference>
        </references>
      </pivotArea>
    </format>
    <format dxfId="62">
      <pivotArea field="9" type="button" dataOnly="0" labelOnly="1" outline="0" axis="axisRow" fieldPosition="0"/>
    </format>
    <format dxfId="61">
      <pivotArea dataOnly="0" labelOnly="1" outline="0" fieldPosition="0">
        <references count="1">
          <reference field="4294967294" count="2">
            <x v="0"/>
            <x v="1"/>
          </reference>
        </references>
      </pivotArea>
    </format>
    <format dxfId="60">
      <pivotArea grandRow="1" outline="0" collapsedLevelsAreSubtotals="1" fieldPosition="0"/>
    </format>
    <format dxfId="59">
      <pivotArea dataOnly="0" labelOnly="1" grandRow="1" outline="0" fieldPosition="0"/>
    </format>
    <format dxfId="58">
      <pivotArea grandRow="1" outline="0" collapsedLevelsAreSubtotals="1" fieldPosition="0"/>
    </format>
    <format dxfId="57">
      <pivotArea dataOnly="0" labelOnly="1" grandRow="1" outline="0" fieldPosition="0"/>
    </format>
    <format dxfId="56">
      <pivotArea field="9" type="button" dataOnly="0" labelOnly="1" outline="0" axis="axisRow" fieldPosition="0"/>
    </format>
    <format dxfId="55">
      <pivotArea dataOnly="0" labelOnly="1" outline="0" fieldPosition="0">
        <references count="1">
          <reference field="4294967294" count="2">
            <x v="0"/>
            <x v="1"/>
          </reference>
        </references>
      </pivotArea>
    </format>
    <format dxfId="54">
      <pivotArea field="9" type="button" dataOnly="0" labelOnly="1" outline="0" axis="axisRow" fieldPosition="0"/>
    </format>
    <format dxfId="53">
      <pivotArea dataOnly="0" labelOnly="1" outline="0" fieldPosition="0">
        <references count="1">
          <reference field="4294967294" count="2">
            <x v="0"/>
            <x v="1"/>
          </reference>
        </references>
      </pivotArea>
    </format>
    <format dxfId="52">
      <pivotArea outline="0" fieldPosition="0">
        <references count="1">
          <reference field="4294967294" count="1">
            <x v="2"/>
          </reference>
        </references>
      </pivotArea>
    </format>
    <format dxfId="51">
      <pivotArea dataOnly="0" labelOnly="1" outline="0" fieldPosition="0">
        <references count="1">
          <reference field="4294967294" count="1">
            <x v="1"/>
          </reference>
        </references>
      </pivotArea>
    </format>
    <format dxfId="50">
      <pivotArea dataOnly="0" labelOnly="1" outline="0" fieldPosition="0">
        <references count="1">
          <reference field="4294967294" count="1">
            <x v="1"/>
          </reference>
        </references>
      </pivotArea>
    </format>
    <format dxfId="49">
      <pivotArea dataOnly="0" labelOnly="1" outline="0" fieldPosition="0">
        <references count="1">
          <reference field="4294967294" count="1">
            <x v="2"/>
          </reference>
        </references>
      </pivotArea>
    </format>
    <format dxfId="48">
      <pivotArea outline="0" collapsedLevelsAreSubtotals="1" fieldPosition="0"/>
    </format>
    <format dxfId="47">
      <pivotArea type="all" dataOnly="0" outline="0" fieldPosition="0"/>
    </format>
    <format dxfId="46">
      <pivotArea field="9" type="button" dataOnly="0" labelOnly="1" outline="0" axis="axisRow" fieldPosition="0"/>
    </format>
    <format dxfId="45">
      <pivotArea dataOnly="0" labelOnly="1" outline="0" fieldPosition="0">
        <references count="1">
          <reference field="4294967294" count="3">
            <x v="0"/>
            <x v="1"/>
            <x v="2"/>
          </reference>
        </references>
      </pivotArea>
    </format>
    <format dxfId="44">
      <pivotArea grandRow="1" outline="0" collapsedLevelsAreSubtotals="1" fieldPosition="0"/>
    </format>
    <format dxfId="43">
      <pivotArea dataOnly="0" labelOnly="1" grandRow="1" outline="0" fieldPosition="0"/>
    </format>
  </formats>
  <pivotHierarchies count="115">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5"/>
        <mp field="16"/>
        <mp field="17"/>
      </mps>
      <members count="1" level="2">
        <member name="[Local Organisation].[CAB].[Member].&amp;[York (member)]&amp;[Yorkshire &amp; the Humber]"/>
      </members>
    </pivotHierarchy>
    <pivotHierarchy/>
    <pivotHierarchy multipleItemSelectionAllowed="1"/>
    <pivotHierarchy/>
    <pivotHierarchy multipleItemSelectionAllowed="1">
      <mps count="3">
        <mp field="6"/>
        <mp field="7"/>
        <mp field="8"/>
      </mps>
      <members count="1" level="1">
        <member name="[Monthly Calendar].[Financial].[Year].&amp;[2016-17]"/>
      </members>
    </pivotHierarchy>
    <pivotHierarchy/>
    <pivotHierarchy/>
    <pivotHierarchy/>
    <pivotHierarchy/>
    <pivotHierarchy multipleItemSelectionAllowed="1">
      <mps count="1">
        <mp field="10"/>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Issues %"/>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9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fieldListSortAscending="1">
  <location ref="CG17" firstHeaderRow="0" firstDataRow="0" firstDataCol="0" rowPageCount="1" colPageCount="1"/>
  <pivotFields count="7">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s>
  <pageFields count="1">
    <pageField fld="0" hier="88" name="[Local Organisation].[CAB].[All]" cap="All"/>
  </pageFields>
  <formats count="2">
    <format dxfId="1">
      <pivotArea field="0" type="button" dataOnly="0" labelOnly="1" outline="0" axis="axisPage" fieldPosition="0"/>
    </format>
    <format dxfId="0">
      <pivotArea dataOnly="0" labelOnly="1" outline="0" fieldPosition="0">
        <references count="1">
          <reference field="0" count="0"/>
        </references>
      </pivotArea>
    </format>
  </formats>
  <pivotHierarchies count="11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4"/>
        <mp field="5"/>
        <mp field="6"/>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4" minRefreshableVersion="3" disableFieldList="1" enableWizard="0" enableFieldProperties="0" itemPrintTitles="1" createdVersion="4" indent="0" outline="1" outlineData="1" multipleFieldFilters="0" fieldListSortAscending="1">
  <location ref="B20" firstHeaderRow="0" firstDataRow="0" firstDataCol="0" rowPageCount="2" colPageCount="1"/>
  <pivotFields count="12">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s>
  <pageFields count="2">
    <pageField fld="0" hier="107" name="[Monthly Calendar Outcome Date].[Financial].[Year].&amp;[2016-17]" cap="2016-17"/>
    <pageField fld="6" hier="102" name="[Monthly Calendar Enquiry Created].[Financial].[All]" cap="All"/>
  </pageFields>
  <formats count="16">
    <format dxfId="17">
      <pivotArea field="0" type="button" dataOnly="0" labelOnly="1" outline="0" axis="axisPage" fieldPosition="0"/>
    </format>
    <format dxfId="16">
      <pivotArea dataOnly="0" labelOnly="1" outline="0" fieldPosition="0">
        <references count="1">
          <reference field="0" count="0"/>
        </references>
      </pivotArea>
    </format>
    <format dxfId="15">
      <pivotArea field="6" type="button" dataOnly="0" labelOnly="1" outline="0" axis="axisPage" fieldPosition="1"/>
    </format>
    <format dxfId="14">
      <pivotArea dataOnly="0" labelOnly="1" outline="0" fieldPosition="0">
        <references count="1">
          <reference field="6" count="0"/>
        </references>
      </pivotArea>
    </format>
    <format dxfId="13">
      <pivotArea field="0" type="button" dataOnly="0" labelOnly="1" outline="0" axis="axisPage" fieldPosition="0"/>
    </format>
    <format dxfId="12">
      <pivotArea dataOnly="0" labelOnly="1" outline="0" fieldPosition="0">
        <references count="1">
          <reference field="0" count="0"/>
        </references>
      </pivotArea>
    </format>
    <format dxfId="11">
      <pivotArea field="6" type="button" dataOnly="0" labelOnly="1" outline="0" axis="axisPage" fieldPosition="1"/>
    </format>
    <format dxfId="10">
      <pivotArea dataOnly="0" labelOnly="1" outline="0" fieldPosition="0">
        <references count="1">
          <reference field="6" count="0"/>
        </references>
      </pivotArea>
    </format>
    <format dxfId="9">
      <pivotArea field="0" type="button" dataOnly="0" labelOnly="1" outline="0" axis="axisPage" fieldPosition="0"/>
    </format>
    <format dxfId="8">
      <pivotArea dataOnly="0" labelOnly="1" outline="0" fieldPosition="0">
        <references count="1">
          <reference field="0" count="0"/>
        </references>
      </pivotArea>
    </format>
    <format dxfId="7">
      <pivotArea field="6" type="button" dataOnly="0" labelOnly="1" outline="0" axis="axisPage" fieldPosition="1"/>
    </format>
    <format dxfId="6">
      <pivotArea dataOnly="0" labelOnly="1" outline="0" fieldPosition="0">
        <references count="1">
          <reference field="6" count="0"/>
        </references>
      </pivotArea>
    </format>
    <format dxfId="5">
      <pivotArea field="0" type="button" dataOnly="0" labelOnly="1" outline="0" axis="axisPage" fieldPosition="0"/>
    </format>
    <format dxfId="4">
      <pivotArea dataOnly="0" labelOnly="1" outline="0" fieldPosition="0">
        <references count="1">
          <reference field="0" count="0"/>
        </references>
      </pivotArea>
    </format>
    <format dxfId="3">
      <pivotArea field="6" type="button" dataOnly="0" labelOnly="1" outline="0" axis="axisPage" fieldPosition="1"/>
    </format>
    <format dxfId="2">
      <pivotArea dataOnly="0" labelOnly="1" outline="0" fieldPosition="0">
        <references count="1">
          <reference field="6" count="0"/>
        </references>
      </pivotArea>
    </format>
  </formats>
  <pivotHierarchies count="13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caption="Enquiry Date">
      <mps count="3">
        <mp field="9"/>
        <mp field="10"/>
        <mp field="11"/>
      </mps>
    </pivotHierarchy>
    <pivotHierarchy/>
    <pivotHierarchy/>
    <pivotHierarchy/>
    <pivotHierarchy/>
    <pivotHierarchy multipleItemSelectionAllowed="1" caption="Outcome Date">
      <mps count="3">
        <mp field="3"/>
        <mp field="4"/>
        <mp field="5"/>
      </mps>
      <members count="1" level="1">
        <member name="[Monthly Calendar Outcome Date].[Financial].[Year].&amp;[2016-17]"/>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SummaryOutcomeDate" cacheId="5" applyNumberFormats="0" applyBorderFormats="0" applyFontFormats="0" applyPatternFormats="0" applyAlignmentFormats="0" applyWidthHeightFormats="1" dataCaption="Values" updatedVersion="4" minRefreshableVersion="3" useAutoFormatting="1" rowGrandTotals="0" itemPrintTitles="1" createdVersion="4" indent="0" outline="1" outlineData="1" multipleFieldFilters="0" rowHeaderCaption="Outcome Date" fieldListSortAscending="1">
  <location ref="H7:H24" firstHeaderRow="1" firstDataRow="1" firstDataCol="1"/>
  <pivotFields count="12">
    <pivotField axis="axisRow" allDrilled="1" showAll="0" dataSourceSort="1">
      <items count="2">
        <item s="1" c="1" x="0"/>
        <item t="default"/>
      </items>
    </pivotField>
    <pivotField axis="axisRow" allDrilled="1" showAll="0" dataSourceSort="1">
      <items count="5">
        <item c="1" x="0"/>
        <item c="1" x="1"/>
        <item c="1" x="2"/>
        <item c="1" x="3"/>
        <item t="default"/>
      </items>
    </pivotField>
    <pivotField axis="axisRow" allDrilled="1" showAll="0" dataSourceSort="1">
      <items count="13">
        <item x="0"/>
        <item x="1"/>
        <item x="2"/>
        <item x="3"/>
        <item x="4"/>
        <item x="5"/>
        <item x="6"/>
        <item x="7"/>
        <item x="8"/>
        <item x="9"/>
        <item x="10"/>
        <item x="11"/>
        <item t="default"/>
      </items>
    </pivotField>
    <pivotField showAll="0" dataSourceSort="1" defaultSubtotal="0" showPropTip="1"/>
    <pivotField showAll="0" dataSourceSort="1" defaultSubtotal="0" showPropTip="1"/>
    <pivotField showAll="0" dataSourceSort="1" defaultSubtotal="0" showPropTip="1"/>
    <pivotField allDrilled="1" showAll="0" dataSourceSort="1"/>
    <pivotField showAll="0" dataSourceSort="1"/>
    <pivotField showAll="0" dataSourceSort="1"/>
    <pivotField showAll="0" dataSourceSort="1" defaultSubtotal="0" showPropTip="1"/>
    <pivotField showAll="0" dataSourceSort="1" defaultSubtotal="0" showPropTip="1"/>
    <pivotField showAll="0" dataSourceSort="1" defaultSubtotal="0" showPropTip="1"/>
  </pivotFields>
  <rowFields count="3">
    <field x="0"/>
    <field x="1"/>
    <field x="2"/>
  </rowFields>
  <rowItems count="17">
    <i>
      <x/>
    </i>
    <i r="1">
      <x/>
    </i>
    <i r="2">
      <x/>
    </i>
    <i r="2">
      <x v="1"/>
    </i>
    <i r="2">
      <x v="2"/>
    </i>
    <i r="1">
      <x v="1"/>
    </i>
    <i r="2">
      <x v="3"/>
    </i>
    <i r="2">
      <x v="4"/>
    </i>
    <i r="2">
      <x v="5"/>
    </i>
    <i r="1">
      <x v="2"/>
    </i>
    <i r="2">
      <x v="6"/>
    </i>
    <i r="2">
      <x v="7"/>
    </i>
    <i r="2">
      <x v="8"/>
    </i>
    <i r="1">
      <x v="3"/>
    </i>
    <i r="2">
      <x v="9"/>
    </i>
    <i r="2">
      <x v="10"/>
    </i>
    <i r="2">
      <x v="11"/>
    </i>
  </rowItems>
  <formats count="6">
    <format dxfId="335">
      <pivotArea type="all" dataOnly="0" outline="0" fieldPosition="0"/>
    </format>
    <format dxfId="334">
      <pivotArea field="0" type="button" dataOnly="0" labelOnly="1" outline="0" axis="axisRow" fieldPosition="0"/>
    </format>
    <format dxfId="333">
      <pivotArea field="0" type="button" dataOnly="0" labelOnly="1" outline="0" axis="axisRow" fieldPosition="0"/>
    </format>
    <format dxfId="332">
      <pivotArea field="0" type="button" dataOnly="0" labelOnly="1" outline="0" axis="axisRow" fieldPosition="0"/>
    </format>
    <format dxfId="331">
      <pivotArea field="0" type="button" dataOnly="0" labelOnly="1" outline="0" axis="axisRow" fieldPosition="0"/>
    </format>
    <format dxfId="330">
      <pivotArea type="all" dataOnly="0" outline="0" fieldPosition="0"/>
    </format>
  </formats>
  <pivotHierarchies count="13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9"/>
        <mp field="10"/>
        <mp field="11"/>
      </mps>
    </pivotHierarchy>
    <pivotHierarchy/>
    <pivotHierarchy/>
    <pivotHierarchy/>
    <pivotHierarchy/>
    <pivotHierarchy multipleItemSelectionAllowed="1">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ies>
  <pivotTableStyleInfo name="PivotTable Style 1 2" showRowHeaders="1" showColHeaders="1" showRowStripes="0" showColStripes="0" showLastColumn="1"/>
  <rowHierarchiesUsage count="1">
    <rowHierarchyUsage hierarchyUsage="10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SummaryFunder" cacheId="23" applyNumberFormats="0" applyBorderFormats="0" applyFontFormats="0" applyPatternFormats="0" applyAlignmentFormats="0" applyWidthHeightFormats="1" dataCaption="Values" updatedVersion="4" minRefreshableVersion="3" useAutoFormatting="1" rowGrandTotals="0" itemPrintTitles="1" createdVersion="4" indent="0" outline="1" outlineData="1" multipleFieldFilters="0" rowHeaderCaption="National Funder" fieldListSortAscending="1">
  <location ref="F7:F14" firstHeaderRow="1" firstDataRow="1" firstDataCol="1"/>
  <pivotFields count="15">
    <pivotField axis="axisRow" allDrilled="1" showAll="0" dataSourceSort="1" defaultAttributeDrillState="1">
      <items count="8">
        <item x="0"/>
        <item x="1"/>
        <item x="2"/>
        <item x="3"/>
        <item x="4"/>
        <item x="5"/>
        <item x="6"/>
        <item t="default"/>
      </items>
    </pivotField>
    <pivotField showAll="0" dataSourceSort="1" defaultSubtotal="0" showPropTip="1"/>
    <pivotField allDrilled="1" showAll="0" dataSourceSort="1"/>
    <pivotField showAll="0" dataSourceSort="1"/>
    <pivotField showAll="0" dataSourceSort="1"/>
    <pivotField showAll="0" dataSourceSort="1" defaultSubtotal="0" showPropTip="1"/>
    <pivotField showAll="0" dataSourceSort="1" defaultSubtotal="0" showPropTip="1"/>
    <pivotField showAll="0" dataSourceSort="1" defaultSubtotal="0" showPropTip="1"/>
    <pivotField allDrilled="1" showAll="0" dataSourceSort="1"/>
    <pivotField showAll="0" dataSourceSort="1"/>
    <pivotField showAll="0" dataSourceSort="1"/>
    <pivotField showAll="0" dataSourceSort="1"/>
    <pivotField showAll="0" dataSourceSort="1" defaultSubtotal="0" showPropTip="1"/>
    <pivotField showAll="0" dataSourceSort="1" defaultSubtotal="0" showPropTip="1"/>
    <pivotField showAll="0" dataSourceSort="1" defaultSubtotal="0" showPropTip="1"/>
  </pivotFields>
  <rowFields count="1">
    <field x="0"/>
  </rowFields>
  <rowItems count="7">
    <i>
      <x/>
    </i>
    <i>
      <x v="1"/>
    </i>
    <i>
      <x v="2"/>
    </i>
    <i>
      <x v="3"/>
    </i>
    <i>
      <x v="4"/>
    </i>
    <i>
      <x v="5"/>
    </i>
    <i>
      <x v="6"/>
    </i>
  </rowItems>
  <formats count="2">
    <format dxfId="337">
      <pivotArea field="0" type="button" dataOnly="0" labelOnly="1" outline="0" axis="axisRow" fieldPosition="0"/>
    </format>
    <format dxfId="336">
      <pivotArea type="all" dataOnly="0" outline="0" fieldPosition="0"/>
    </format>
  </formats>
  <pivotHierarchies count="11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2"/>
        <mp field="13"/>
        <mp field="14"/>
      </mps>
      <members count="1" level="2">
        <member name="[Local Organisation].[CAB].[Member].&amp;[York (member)]&amp;[Yorkshire &amp; the Humber]"/>
      </members>
    </pivotHierarchy>
    <pivotHierarchy/>
    <pivotHierarchy/>
    <pivotHierarchy/>
    <pivotHierarchy multipleItemSelectionAllowed="1">
      <mps count="3">
        <mp field="5"/>
        <mp field="6"/>
        <mp field="7"/>
      </mps>
      <members count="1" level="1">
        <member name="[Monthly Calendar].[Financial].[Year].&amp;[2016-17]"/>
      </members>
    </pivotHierarchy>
    <pivotHierarchy/>
    <pivotHierarchy/>
    <pivotHierarchy/>
    <pivotHierarchy/>
    <pivotHierarchy multipleItemSelectionAllowed="1">
      <mps count="1">
        <mp field="1"/>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ies>
  <pivotTableStyleInfo name="PivotTable Style 1" showRowHeaders="1" showColHeaders="1" showRowStripes="0" showColStripes="0" showLastColumn="1"/>
  <rowHierarchiesUsage count="1">
    <rowHierarchyUsage hierarchyUsage="9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summaryperiod" cacheId="24" applyNumberFormats="0" applyBorderFormats="0" applyFontFormats="0" applyPatternFormats="0" applyAlignmentFormats="0" applyWidthHeightFormats="1" dataCaption="Values" updatedVersion="4" minRefreshableVersion="3" useAutoFormatting="1" rowGrandTotals="0" itemPrintTitles="1" createdVersion="4" indent="0" outline="1" outlineData="1" multipleFieldFilters="0" rowHeaderCaption="Period" fieldListSortAscending="1">
  <location ref="D7:D24" firstHeaderRow="1" firstDataRow="1" firstDataCol="1"/>
  <pivotFields count="13">
    <pivotField axis="axisRow" allDrilled="1" showAll="0" dataSourceSort="1">
      <items count="2">
        <item s="1" c="1" x="0"/>
        <item t="default"/>
      </items>
    </pivotField>
    <pivotField axis="axisRow" allDrilled="1" showAll="0" dataSourceSort="1">
      <items count="5">
        <item c="1" x="0"/>
        <item c="1" x="1"/>
        <item c="1" x="2"/>
        <item c="1" x="3"/>
        <item t="default"/>
      </items>
    </pivotField>
    <pivotField axis="axisRow" allDrilled="1" showAll="0" dataSourceSort="1">
      <items count="13">
        <item x="0"/>
        <item x="1"/>
        <item x="2"/>
        <item x="3"/>
        <item x="4"/>
        <item x="5"/>
        <item x="6"/>
        <item x="7"/>
        <item x="8"/>
        <item x="9"/>
        <item x="10"/>
        <item x="11"/>
        <item t="default"/>
      </items>
    </pivotField>
    <pivotField showAll="0" dataSourceSort="1" defaultSubtotal="0" showPropTip="1"/>
    <pivotField showAll="0" dataSourceSort="1" defaultSubtotal="0" showPropTip="1"/>
    <pivotField showAll="0" dataSourceSort="1" defaultSubtotal="0" showPropTip="1"/>
    <pivotField allDrilled="1" showAll="0" dataSourceSort="1"/>
    <pivotField showAll="0" dataSourceSort="1"/>
    <pivotField showAll="0" dataSourceSort="1"/>
    <pivotField showAll="0" dataSourceSort="1"/>
    <pivotField showAll="0" dataSourceSort="1" defaultSubtotal="0" showPropTip="1"/>
    <pivotField showAll="0" dataSourceSort="1" defaultSubtotal="0" showPropTip="1"/>
    <pivotField showAll="0" dataSourceSort="1" defaultSubtotal="0" showPropTip="1"/>
  </pivotFields>
  <rowFields count="3">
    <field x="0"/>
    <field x="1"/>
    <field x="2"/>
  </rowFields>
  <rowItems count="17">
    <i>
      <x/>
    </i>
    <i r="1">
      <x/>
    </i>
    <i r="2">
      <x/>
    </i>
    <i r="2">
      <x v="1"/>
    </i>
    <i r="2">
      <x v="2"/>
    </i>
    <i r="1">
      <x v="1"/>
    </i>
    <i r="2">
      <x v="3"/>
    </i>
    <i r="2">
      <x v="4"/>
    </i>
    <i r="2">
      <x v="5"/>
    </i>
    <i r="1">
      <x v="2"/>
    </i>
    <i r="2">
      <x v="6"/>
    </i>
    <i r="2">
      <x v="7"/>
    </i>
    <i r="2">
      <x v="8"/>
    </i>
    <i r="1">
      <x v="3"/>
    </i>
    <i r="2">
      <x v="9"/>
    </i>
    <i r="2">
      <x v="10"/>
    </i>
    <i r="2">
      <x v="11"/>
    </i>
  </rowItems>
  <formats count="2">
    <format dxfId="339">
      <pivotArea field="0" type="button" dataOnly="0" labelOnly="1" outline="0" axis="axisRow" fieldPosition="0"/>
    </format>
    <format dxfId="338">
      <pivotArea type="all" dataOnly="0" outline="0" fieldPosition="0"/>
    </format>
  </formats>
  <pivotHierarchies count="11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0"/>
        <mp field="11"/>
        <mp field="12"/>
      </mps>
      <members count="1" level="2">
        <member name="[Local Organisation].[CAB].[Member].&amp;[York (member)]&amp;[Yorkshire &amp; the Humber]"/>
      </members>
    </pivotHierarchy>
    <pivotHierarchy/>
    <pivotHierarchy/>
    <pivotHierarchy/>
    <pivotHierarchy multipleItemSelectionAllowed="1">
      <mps count="3">
        <mp field="3"/>
        <mp field="4"/>
        <mp field="5"/>
      </mps>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ies>
  <pivotTableStyleInfo name="PivotTable Style 1" showRowHeaders="1" showColHeaders="1" showRowStripes="0" showColStripes="0" showLastColumn="1"/>
  <rowHierarchiesUsage count="1">
    <rowHierarchyUsage hierarchyUsage="92"/>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summarybx" cacheId="22" applyNumberFormats="0" applyBorderFormats="0" applyFontFormats="0" applyPatternFormats="0" applyAlignmentFormats="0" applyWidthHeightFormats="1" dataCaption="Values" updatedVersion="4" minRefreshableVersion="3" useAutoFormatting="1" subtotalHiddenItems="1" rowGrandTotals="0" itemPrintTitles="1" createdVersion="4" indent="0" outline="1" outlineData="1" multipleFieldFilters="0" rowHeaderCaption="Member &gt; Bureau &gt; Outreach" fieldListSortAscending="1">
  <location ref="B7:B9" firstHeaderRow="1" firstDataRow="1" firstDataCol="1"/>
  <pivotFields count="19">
    <pivotField axis="axisRow" allDrilled="1" showAll="0" dataSourceSort="1" defaultAttributeDrillState="1">
      <items count="2">
        <item x="0"/>
        <item t="default"/>
      </items>
    </pivotField>
    <pivotField showAll="0" dataSourceSort="1" defaultSubtotal="0" showPropTip="1"/>
    <pivotField axis="axisRow" allDrilled="1" showAll="0" dataSourceSort="1" defaultSubtotal="0">
      <items count="1">
        <item x="0" e="0"/>
      </items>
    </pivotField>
    <pivotField showAll="0" dataSourceSort="1" defaultSubtotal="0" showPropTip="1"/>
    <pivotField axis="axisRow" allDrilled="1" showAll="0" dataSourceSort="1" defaultAttributeDrillState="1">
      <items count="2">
        <item x="0"/>
        <item t="default"/>
      </items>
    </pivotField>
    <pivotField showAll="0" dataSourceSort="1" defaultSubtotal="0" showPropTip="1"/>
    <pivotField allDrilled="1" showAll="0" dataSourceSort="1"/>
    <pivotField showAll="0" dataSourceSort="1"/>
    <pivotField showAll="0" dataSourceSort="1"/>
    <pivotField showAll="0" dataSourceSort="1" defaultSubtotal="0" showPropTip="1"/>
    <pivotField showAll="0" dataSourceSort="1" defaultSubtotal="0" showPropTip="1"/>
    <pivotField showAll="0" dataSourceSort="1" defaultSubtotal="0" showPropTip="1"/>
    <pivotField allDrilled="1" showAll="0" dataSourceSort="1"/>
    <pivotField showAll="0" dataSourceSort="1"/>
    <pivotField showAll="0" dataSourceSort="1"/>
    <pivotField showAll="0" dataSourceSort="1"/>
    <pivotField showAll="0" dataSourceSort="1" defaultSubtotal="0" showPropTip="1"/>
    <pivotField showAll="0" dataSourceSort="1" defaultSubtotal="0" showPropTip="1"/>
    <pivotField showAll="0" dataSourceSort="1" defaultSubtotal="0" showPropTip="1"/>
  </pivotFields>
  <rowFields count="3">
    <field x="0"/>
    <field x="2"/>
    <field x="4"/>
  </rowFields>
  <rowItems count="2">
    <i>
      <x/>
    </i>
    <i r="1">
      <x/>
    </i>
  </rowItems>
  <formats count="5">
    <format dxfId="344">
      <pivotArea type="all" dataOnly="0" outline="0" fieldPosition="0"/>
    </format>
    <format dxfId="343">
      <pivotArea field="0" type="button" dataOnly="0" labelOnly="1" outline="0" axis="axisRow" fieldPosition="0"/>
    </format>
    <format dxfId="342">
      <pivotArea dataOnly="0" labelOnly="1" fieldPosition="0">
        <references count="1">
          <reference field="0" count="0"/>
        </references>
      </pivotArea>
    </format>
    <format dxfId="341">
      <pivotArea field="0" type="button" dataOnly="0" labelOnly="1" outline="0" axis="axisRow" fieldPosition="0"/>
    </format>
    <format dxfId="340">
      <pivotArea type="all" dataOnly="0" outline="0" fieldPosition="0"/>
    </format>
  </formats>
  <pivotHierarchies count="11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3"/>
      </mps>
    </pivotHierarchy>
    <pivotHierarchy multipleItemSelectionAllowed="1">
      <mps count="3">
        <mp field="16"/>
        <mp field="17"/>
        <mp field="18"/>
      </mps>
      <members count="1" level="2">
        <member name="[Local Organisation].[CAB].[Member].&amp;[York (member)]&amp;[Yorkshire &amp; the Humber]"/>
      </members>
    </pivotHierarchy>
    <pivotHierarchy/>
    <pivotHierarchy>
      <mps count="1">
        <mp field="1"/>
      </mps>
    </pivotHierarchy>
    <pivotHierarchy>
      <mps count="1">
        <mp field="5"/>
      </mps>
    </pivotHierarchy>
    <pivotHierarchy multipleItemSelectionAllowed="1">
      <mps count="3">
        <mp field="9"/>
        <mp field="10"/>
        <mp field="11"/>
      </mps>
      <members count="1" level="1">
        <member name="[Monthly Calendar].[Financial].[Year].&amp;[2016-17]"/>
      </members>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ies>
  <pivotTableStyleInfo name="PivotTable Style 1" showRowHeaders="1" showColHeaders="1" showRowStripes="0" showColStripes="0" showLastColumn="1"/>
  <rowHierarchiesUsage count="3">
    <rowHierarchyUsage hierarchyUsage="90"/>
    <rowHierarchyUsage hierarchyUsage="87"/>
    <rowHierarchyUsage hierarchyUsage="9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SummaryEnquiryDate" cacheId="4" applyNumberFormats="0" applyBorderFormats="0" applyFontFormats="0" applyPatternFormats="0" applyAlignmentFormats="0" applyWidthHeightFormats="1" dataCaption="Values" updatedVersion="4" minRefreshableVersion="3" useAutoFormatting="1" rowGrandTotals="0" itemPrintTitles="1" createdVersion="4" indent="0" outline="1" outlineData="1" multipleFieldFilters="0" rowHeaderCaption="Outcome Enquiry Date" fieldListSortAscending="1">
  <location ref="J7:J19" firstHeaderRow="1" firstDataRow="1" firstDataCol="1"/>
  <pivotFields count="12">
    <pivotField axis="axisRow" allDrilled="1" showAll="0" dataSourceSort="1" defaultSubtotal="0">
      <items count="12">
        <item c="1" x="0"/>
        <item c="1" x="1"/>
        <item c="1" x="2"/>
        <item c="1" x="3"/>
        <item c="1" x="4"/>
        <item c="1" x="5"/>
        <item c="1" x="6"/>
        <item c="1" x="7"/>
        <item c="1" x="8"/>
        <item c="1" x="9"/>
        <item c="1" x="10"/>
        <item c="1" x="11"/>
      </items>
    </pivotField>
    <pivotField axis="axisRow" showAll="0" dataSourceSort="1">
      <items count="7">
        <item c="1" x="0"/>
        <item c="1" x="1"/>
        <item c="1" x="2"/>
        <item x="3" d="1"/>
        <item x="4" d="1"/>
        <item x="5" d="1"/>
        <item t="default"/>
      </items>
    </pivotField>
    <pivotField axis="axisRow"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llDrilled="1" showAll="0" dataSourceSort="1"/>
    <pivotField showAll="0" dataSourceSort="1"/>
    <pivotField showAll="0" dataSourceSort="1"/>
    <pivotField showAll="0" dataSourceSort="1" defaultSubtotal="0" showPropTip="1"/>
    <pivotField showAll="0" dataSourceSort="1" defaultSubtotal="0" showPropTip="1"/>
    <pivotField showAll="0" dataSourceSort="1" defaultSubtotal="0" showPropTip="1"/>
  </pivotFields>
  <rowFields count="1">
    <field x="0"/>
  </rowFields>
  <rowItems count="12">
    <i>
      <x/>
    </i>
    <i>
      <x v="1"/>
    </i>
    <i>
      <x v="2"/>
    </i>
    <i>
      <x v="3"/>
    </i>
    <i>
      <x v="4"/>
    </i>
    <i>
      <x v="5"/>
    </i>
    <i>
      <x v="6"/>
    </i>
    <i>
      <x v="7"/>
    </i>
    <i>
      <x v="8"/>
    </i>
    <i>
      <x v="9"/>
    </i>
    <i>
      <x v="10"/>
    </i>
    <i>
      <x v="11"/>
    </i>
  </rowItems>
  <formats count="6">
    <format dxfId="350">
      <pivotArea type="all" dataOnly="0" outline="0" fieldPosition="0"/>
    </format>
    <format dxfId="349">
      <pivotArea field="0" type="button" dataOnly="0" labelOnly="1" outline="0" axis="axisRow" fieldPosition="0"/>
    </format>
    <format dxfId="348">
      <pivotArea field="0" type="button" dataOnly="0" labelOnly="1" outline="0" axis="axisRow" fieldPosition="0"/>
    </format>
    <format dxfId="347">
      <pivotArea field="0" type="button" dataOnly="0" labelOnly="1" outline="0" axis="axisRow" fieldPosition="0"/>
    </format>
    <format dxfId="346">
      <pivotArea field="0" type="button" dataOnly="0" labelOnly="1" outline="0" axis="axisRow" fieldPosition="0"/>
    </format>
    <format dxfId="345">
      <pivotArea type="all" dataOnly="0" outline="0" fieldPosition="0"/>
    </format>
  </formats>
  <pivotHierarchies count="13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3"/>
        <mp field="4"/>
        <mp field="5"/>
      </mps>
    </pivotHierarchy>
    <pivotHierarchy/>
    <pivotHierarchy/>
    <pivotHierarchy/>
    <pivotHierarchy/>
    <pivotHierarchy multipleItemSelectionAllowed="1">
      <mps count="3">
        <mp field="9"/>
        <mp field="10"/>
        <mp field="11"/>
      </mps>
      <members count="1" level="1">
        <member name="[Monthly Calendar Outcome Date].[Financial].[Year].&amp;[2016-17]"/>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ies>
  <pivotTableStyleInfo name="PivotTable Style 1 2" showRowHeaders="1" showColHeaders="1" showRowStripes="0" showColStripes="0" showLastColumn="1"/>
  <rowHierarchiesUsage count="1">
    <rowHierarchyUsage hierarchyUsage="102"/>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4" minRefreshableVersion="3" useAutoFormatting="1" subtotalHiddenItems="1" rowGrandTotals="0" colGrandTotals="0" itemPrintTitles="1" createdVersion="4" indent="0" outline="1" outlineData="1" multipleFieldFilters="0" fieldListSortAscending="1">
  <location ref="BJ23:BL74" firstHeaderRow="0" firstDataRow="1" firstDataCol="1" rowPageCount="4" colPageCount="1"/>
  <pivotFields count="22">
    <pivotField axis="axisPage" allDrilled="1" showAll="0" dataSourceSort="1" defaultAttributeDrillState="1">
      <items count="1">
        <item t="default"/>
      </items>
    </pivotField>
    <pivotField axis="axisPage" allDrilled="1" showAll="0" dataSourceSort="1" defaultAttributeDrillState="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showAll="0" dataSourceSort="1" defaultSubtotal="0" showPropTip="1"/>
    <pivotField dataField="1" showAll="0"/>
    <pivotField axis="axisRow" allDrilled="1" showAll="0" dataSourceSort="1" defaultAttributeDrillState="1">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showAll="0" dataSourceSort="1" defaultSubtotal="0" showPropTip="1"/>
    <pivotField allDrilled="1" showAll="0" dataSourceSort="1"/>
    <pivotField showAll="0" dataSourceSort="1"/>
    <pivotField showAll="0" dataSourceSort="1"/>
    <pivotField showAll="0" dataSourceSort="1"/>
    <pivotField showAll="0" dataSourceSort="1" defaultSubtotal="0" showPropTip="1"/>
    <pivotField showAll="0" dataSourceSort="1" defaultSubtotal="0" showPropTip="1"/>
    <pivotField showAll="0" dataSourceSort="1" defaultSubtotal="0" showPropTip="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12"/>
  </rowFields>
  <rowItems count="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rowItems>
  <colFields count="1">
    <field x="-2"/>
  </colFields>
  <colItems count="2">
    <i>
      <x/>
    </i>
    <i i="1">
      <x v="1"/>
    </i>
  </colItems>
  <pageFields count="4">
    <pageField fld="0" hier="0" name="[Advice Event Type].[Advice Event Type].&amp;[Gateway AIC Creation]" cap="Gateway AIC Creation"/>
    <pageField fld="1" hier="90" name="[Local Organisation].[Member].[All]" cap="All"/>
    <pageField fld="3" hier="92" name="[Monthly Calendar].[Financial].[Year].&amp;[2016-17]" cap="2016-17"/>
    <pageField fld="9" hier="97" name="[National Funder].[Funder].[All]" cap="All"/>
  </pageFields>
  <dataFields count="2">
    <dataField fld="11" baseField="12" baseItem="3">
      <extLst>
        <ext xmlns:x14="http://schemas.microsoft.com/office/spreadsheetml/2009/9/main" uri="{E15A36E0-9728-4e99-A89B-3F7291B0FE68}">
          <x14:dataField pivotShowAs="rankDescending"/>
        </ext>
      </extLst>
    </dataField>
    <dataField name="Unique Client Count2" fld="21" baseField="0" baseItem="0">
      <extLst>
        <ext xmlns:x14="http://schemas.microsoft.com/office/spreadsheetml/2009/9/main" uri="{E15A36E0-9728-4e99-A89B-3F7291B0FE68}">
          <x14:dataField sourceField="11" uniqueName="[__Xl2].[Measures].[Unique Client Count]"/>
        </ext>
      </extLst>
    </dataField>
  </dataFields>
  <formats count="1">
    <format dxfId="327">
      <pivotArea type="all" dataOnly="0" outline="0" fieldPosition="0"/>
    </format>
  </formats>
  <pivotHierarchies count="115">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3"/>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8"/>
        <mp field="19"/>
        <mp field="20"/>
      </mps>
      <members count="1" level="2">
        <member name="[Local Organisation].[CAB].[Member].&amp;[York (member)]&amp;[Yorkshire &amp; the Humber]"/>
      </members>
    </pivotHierarchy>
    <pivotHierarchy/>
    <pivotHierarchy multipleItemSelectionAllowed="1">
      <mps count="1">
        <mp field="2"/>
      </mps>
    </pivotHierarchy>
    <pivotHierarchy/>
    <pivotHierarchy multipleItemSelectionAllowed="1">
      <mps count="3">
        <mp field="6"/>
        <mp field="7"/>
        <mp field="8"/>
      </mps>
      <members count="1" level="1">
        <member name="[Monthly Calendar].[Financial].[Year].&amp;[2016-17]"/>
      </members>
    </pivotHierarchy>
    <pivotHierarchy/>
    <pivotHierarchy/>
    <pivotHierarchy/>
    <pivotHierarchy/>
    <pivotHierarchy multipleItemSelectionAllowed="1">
      <mps count="1">
        <mp field="10"/>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4" minRefreshableVersion="3" useAutoFormatting="1" subtotalHiddenItems="1" itemPrintTitles="1" createdVersion="4" indent="0" outline="1" outlineData="1" multipleFieldFilters="0" fieldListSortAscending="1">
  <location ref="AP23:AR66" firstHeaderRow="0" firstDataRow="1" firstDataCol="1" rowPageCount="4" colPageCount="1"/>
  <pivotFields count="21">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showAll="0" dataSourceSort="1" defaultSubtotal="0" showPropTip="1"/>
    <pivotField axis="axisRow" allDrilled="1" showAll="0" dataSourceSort="1"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allDrilled="1" showAll="0" dataSourceSort="1"/>
    <pivotField showAll="0" dataSourceSort="1"/>
    <pivotField showAll="0" dataSourceSort="1"/>
    <pivotField showAll="0" dataSourceSort="1"/>
    <pivotField showAll="0" dataSourceSort="1" defaultSubtotal="0" showPropTip="1"/>
    <pivotField showAll="0" dataSourceSort="1" defaultSubtotal="0" showPropTip="1"/>
    <pivotField showAll="0" dataSourceSort="1" defaultSubtotal="0" showPropTip="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12"/>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Fields count="1">
    <field x="-2"/>
  </colFields>
  <colItems count="2">
    <i>
      <x/>
    </i>
    <i i="1">
      <x v="1"/>
    </i>
  </colItems>
  <pageFields count="4">
    <pageField fld="1" hier="0" name="[Advice Event Type].[Advice Event Type].&amp;[Gateway AIC Creation]" cap="Gateway AIC Creation"/>
    <pageField fld="2" hier="90" name="[Local Organisation].[Member].[All]" cap="All"/>
    <pageField fld="4" hier="92" name="[Monthly Calendar].[Financial].[Year].&amp;[2016-17]" cap="2016-17"/>
    <pageField fld="10" hier="97" name="[National Funder].[Funder].[All]" cap="All"/>
  </pageFields>
  <dataFields count="2">
    <dataField name="Unique Client Count2" fld="0" baseField="12" baseItem="0">
      <extLst>
        <ext xmlns:x14="http://schemas.microsoft.com/office/spreadsheetml/2009/9/main" uri="{E15A36E0-9728-4e99-A89B-3F7291B0FE68}">
          <x14:dataField pivotShowAs="rankDescending" sourceField="0" uniqueName="[__Xl2].[Measures].[Unique Client Count]"/>
        </ext>
      </extLst>
    </dataField>
    <dataField fld="20" baseField="0" baseItem="0">
      <extLst>
        <ext xmlns:x14="http://schemas.microsoft.com/office/spreadsheetml/2009/9/main" uri="{E15A36E0-9728-4e99-A89B-3F7291B0FE68}">
          <x14:dataField sourceField="0"/>
        </ext>
      </extLst>
    </dataField>
  </dataFields>
  <formats count="1">
    <format dxfId="328">
      <pivotArea type="all" dataOnly="0" outline="0" fieldPosition="0"/>
    </format>
  </formats>
  <pivotHierarchies count="115">
    <pivotHierarchy multipleItemSelectionAllowed="1">
      <members count="3" level="1">
        <member name="[Advice Event Type].[Advice Event Type].&amp;[Gateway AIC Creation]"/>
        <member name="[Advice Event Type].[Advice Event Type].&amp;[Day sheet AIC Creation]"/>
        <member name="[Advice Event Type].[Advice Event Type].&amp;[Enquiry AIC/Outcome Creation]"/>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3">
        <mp field="17"/>
        <mp field="18"/>
        <mp field="19"/>
      </mps>
      <members count="1" level="2">
        <member name="[Local Organisation].[CAB].[Member].&amp;[York (member)]&amp;[Yorkshire &amp; the Humber]"/>
      </members>
    </pivotHierarchy>
    <pivotHierarchy/>
    <pivotHierarchy multipleItemSelectionAllowed="1">
      <mps count="1">
        <mp field="3"/>
      </mps>
    </pivotHierarchy>
    <pivotHierarchy/>
    <pivotHierarchy multipleItemSelectionAllowed="1">
      <mps count="3">
        <mp field="7"/>
        <mp field="8"/>
        <mp field="9"/>
      </mps>
      <members count="1" level="1">
        <member name="[Monthly Calendar].[Financial].[Year].&amp;[2016-17]"/>
      </members>
    </pivotHierarchy>
    <pivotHierarchy/>
    <pivotHierarchy/>
    <pivotHierarchy/>
    <pivotHierarchy/>
    <pivotHierarchy multipleItemSelectionAllowed="1">
      <mps count="1">
        <mp field="11"/>
      </mps>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inancial" sourceName="[Monthly Calendar].[Financial]">
  <pivotTables>
    <pivotTable tabId="6" name="PivotTable2"/>
    <pivotTable tabId="1" name="PivotTable1"/>
    <pivotTable tabId="2" name="PivotTable5"/>
    <pivotTable tabId="3" name="PivotTable6"/>
    <pivotTable tabId="11" name="PivotTable17"/>
    <pivotTable tabId="12" name="PivotTable2"/>
    <pivotTable tabId="12" name="PivotTable3"/>
    <pivotTable tabId="13" name="PivotTable1"/>
    <pivotTable tabId="14" name="PivotTable2"/>
    <pivotTable tabId="14" name="PivotTable3"/>
    <pivotTable tabId="16" name="PivotTable1"/>
    <pivotTable tabId="16" name="PivotTable2"/>
    <pivotTable tabId="21" name="summarybx"/>
    <pivotTable tabId="21" name="SummaryFunder"/>
    <pivotTable tabId="21" name="summaryperiod"/>
  </pivotTables>
  <data>
    <olap pivotCacheId="55">
      <levels count="4">
        <level uniqueName="[Monthly Calendar].[Financial].[(All)]" sourceCaption="(All)" count="0"/>
        <level uniqueName="[Monthly Calendar].[Financial].[Year]" sourceCaption="Year" count="23">
          <ranges>
            <range startItem="0">
              <i n="[Monthly Calendar].[Financial].[Year].&amp;[2013-14]" c="2013-14"/>
              <i n="[Monthly Calendar].[Financial].[Year].&amp;[2014-15]" c="2014-15"/>
              <i n="[Monthly Calendar].[Financial].[Year].&amp;[2015-16]" c="2015-16"/>
              <i n="[Monthly Calendar].[Financial].[Year].&amp;[2016-17]" c="2016-17"/>
              <i n="[Monthly Calendar].[Financial].[Year].&amp;[2017-18]" c="2017-18"/>
              <i n="[Monthly Calendar].[Financial].[Year].&amp;[]" c="" nd="1"/>
              <i n="[Monthly Calendar].[Financial].[Year].&amp;[1999-00]" c="1999-00" nd="1"/>
              <i n="[Monthly Calendar].[Financial].[Year].&amp;[2000-01]" c="2000-01" nd="1"/>
              <i n="[Monthly Calendar].[Financial].[Year].&amp;[2001-02]" c="2001-02" nd="1"/>
              <i n="[Monthly Calendar].[Financial].[Year].&amp;[2002-03]" c="2002-03" nd="1"/>
              <i n="[Monthly Calendar].[Financial].[Year].&amp;[2003-04]" c="2003-04" nd="1"/>
              <i n="[Monthly Calendar].[Financial].[Year].&amp;[2004-05]" c="2004-05" nd="1"/>
              <i n="[Monthly Calendar].[Financial].[Year].&amp;[2005-06]" c="2005-06" nd="1"/>
              <i n="[Monthly Calendar].[Financial].[Year].&amp;[2006-07]" c="2006-07" nd="1"/>
              <i n="[Monthly Calendar].[Financial].[Year].&amp;[2007-08]" c="2007-08" nd="1"/>
              <i n="[Monthly Calendar].[Financial].[Year].&amp;[2008-09]" c="2008-09" nd="1"/>
              <i n="[Monthly Calendar].[Financial].[Year].&amp;[2009-10]" c="2009-10" nd="1"/>
              <i n="[Monthly Calendar].[Financial].[Year].&amp;[2010-11]" c="2010-11" nd="1"/>
              <i n="[Monthly Calendar].[Financial].[Year].&amp;[2011-12]" c="2011-12" nd="1"/>
              <i n="[Monthly Calendar].[Financial].[Year].&amp;[2012-13]" c="2012-13" nd="1"/>
              <i n="[Monthly Calendar].[Financial].[Year].&amp;[2018-19]" c="2018-19" nd="1"/>
              <i n="[Monthly Calendar].[Financial].[Year].&amp;[2019-20]" c="2019-20" nd="1"/>
              <i n="[Monthly Calendar].[Financial].[Year].&amp;[2020-21]" c="2020-21" nd="1"/>
            </range>
          </ranges>
        </level>
        <level uniqueName="[Monthly Calendar].[Financial].[Quarter]" sourceCaption="Quarter" count="86">
          <ranges>
            <range startItem="0">
              <i n="[Monthly Calendar].[Financial].[Quarter].&amp;[Q3]&amp;[2013-14]" c="Q3">
                <p n="[Monthly Calendar].[Financial].[Year].&amp;[2013-14]"/>
              </i>
              <i n="[Monthly Calendar].[Financial].[Quarter].&amp;[Q4]&amp;[2013-14]" c="Q4">
                <p n="[Monthly Calendar].[Financial].[Year].&amp;[2013-14]"/>
              </i>
              <i n="[Monthly Calendar].[Financial].[Quarter].&amp;[Q1]&amp;[2014-15]" c="Q1">
                <p n="[Monthly Calendar].[Financial].[Year].&amp;[2014-15]"/>
              </i>
              <i n="[Monthly Calendar].[Financial].[Quarter].&amp;[Q2]&amp;[2014-15]" c="Q2">
                <p n="[Monthly Calendar].[Financial].[Year].&amp;[2014-15]"/>
              </i>
              <i n="[Monthly Calendar].[Financial].[Quarter].&amp;[Q3]&amp;[2014-15]" c="Q3">
                <p n="[Monthly Calendar].[Financial].[Year].&amp;[2014-15]"/>
              </i>
              <i n="[Monthly Calendar].[Financial].[Quarter].&amp;[Q4]&amp;[2014-15]" c="Q4">
                <p n="[Monthly Calendar].[Financial].[Year].&amp;[2014-15]"/>
              </i>
              <i n="[Monthly Calendar].[Financial].[Quarter].&amp;[Q1]&amp;[2015-16]" c="Q1">
                <p n="[Monthly Calendar].[Financial].[Year].&amp;[2015-16]"/>
              </i>
              <i n="[Monthly Calendar].[Financial].[Quarter].&amp;[Q2]&amp;[2015-16]" c="Q2">
                <p n="[Monthly Calendar].[Financial].[Year].&amp;[2015-16]"/>
              </i>
              <i n="[Monthly Calendar].[Financial].[Quarter].&amp;[Q3]&amp;[2015-16]" c="Q3">
                <p n="[Monthly Calendar].[Financial].[Year].&amp;[2015-16]"/>
              </i>
              <i n="[Monthly Calendar].[Financial].[Quarter].&amp;[Q4]&amp;[2015-16]" c="Q4">
                <p n="[Monthly Calendar].[Financial].[Year].&amp;[2015-16]"/>
              </i>
              <i n="[Monthly Calendar].[Financial].[Quarter].&amp;[Q1]&amp;[2016-17]" c="Q1">
                <p n="[Monthly Calendar].[Financial].[Year].&amp;[2016-17]"/>
              </i>
              <i n="[Monthly Calendar].[Financial].[Quarter].&amp;[Q2]&amp;[2016-17]" c="Q2">
                <p n="[Monthly Calendar].[Financial].[Year].&amp;[2016-17]"/>
              </i>
              <i n="[Monthly Calendar].[Financial].[Quarter].&amp;[Q3]&amp;[2016-17]" c="Q3">
                <p n="[Monthly Calendar].[Financial].[Year].&amp;[2016-17]"/>
              </i>
              <i n="[Monthly Calendar].[Financial].[Quarter].&amp;[Q4]&amp;[2016-17]" c="Q4">
                <p n="[Monthly Calendar].[Financial].[Year].&amp;[2016-17]"/>
              </i>
              <i n="[Monthly Calendar].[Financial].[Quarter].&amp;[Q1]&amp;[2017-18]" c="Q1">
                <p n="[Monthly Calendar].[Financial].[Year].&amp;[2017-18]"/>
              </i>
              <i n="[Monthly Calendar].[Financial].[Quarter].&amp;[]&amp;[]" c="" nd="1">
                <p n="[Monthly Calendar].[Financial].[Year].&amp;[]"/>
              </i>
              <i n="[Monthly Calendar].[Financial].[Quarter].&amp;[Q4]&amp;[1999-00]" c="Q4" nd="1">
                <p n="[Monthly Calendar].[Financial].[Year].&amp;[1999-00]"/>
              </i>
              <i n="[Monthly Calendar].[Financial].[Quarter].&amp;[Q1]&amp;[2000-01]" c="Q1" nd="1">
                <p n="[Monthly Calendar].[Financial].[Year].&amp;[2000-01]"/>
              </i>
              <i n="[Monthly Calendar].[Financial].[Quarter].&amp;[Q2]&amp;[2000-01]" c="Q2" nd="1">
                <p n="[Monthly Calendar].[Financial].[Year].&amp;[2000-01]"/>
              </i>
              <i n="[Monthly Calendar].[Financial].[Quarter].&amp;[Q3]&amp;[2000-01]" c="Q3" nd="1">
                <p n="[Monthly Calendar].[Financial].[Year].&amp;[2000-01]"/>
              </i>
              <i n="[Monthly Calendar].[Financial].[Quarter].&amp;[Q4]&amp;[2000-01]" c="Q4" nd="1">
                <p n="[Monthly Calendar].[Financial].[Year].&amp;[2000-01]"/>
              </i>
              <i n="[Monthly Calendar].[Financial].[Quarter].&amp;[Q1]&amp;[2001-02]" c="Q1" nd="1">
                <p n="[Monthly Calendar].[Financial].[Year].&amp;[2001-02]"/>
              </i>
              <i n="[Monthly Calendar].[Financial].[Quarter].&amp;[Q2]&amp;[2001-02]" c="Q2" nd="1">
                <p n="[Monthly Calendar].[Financial].[Year].&amp;[2001-02]"/>
              </i>
              <i n="[Monthly Calendar].[Financial].[Quarter].&amp;[Q3]&amp;[2001-02]" c="Q3" nd="1">
                <p n="[Monthly Calendar].[Financial].[Year].&amp;[2001-02]"/>
              </i>
              <i n="[Monthly Calendar].[Financial].[Quarter].&amp;[Q4]&amp;[2001-02]" c="Q4" nd="1">
                <p n="[Monthly Calendar].[Financial].[Year].&amp;[2001-02]"/>
              </i>
              <i n="[Monthly Calendar].[Financial].[Quarter].&amp;[Q1]&amp;[2002-03]" c="Q1" nd="1">
                <p n="[Monthly Calendar].[Financial].[Year].&amp;[2002-03]"/>
              </i>
              <i n="[Monthly Calendar].[Financial].[Quarter].&amp;[Q2]&amp;[2002-03]" c="Q2" nd="1">
                <p n="[Monthly Calendar].[Financial].[Year].&amp;[2002-03]"/>
              </i>
              <i n="[Monthly Calendar].[Financial].[Quarter].&amp;[Q3]&amp;[2002-03]" c="Q3" nd="1">
                <p n="[Monthly Calendar].[Financial].[Year].&amp;[2002-03]"/>
              </i>
              <i n="[Monthly Calendar].[Financial].[Quarter].&amp;[Q4]&amp;[2002-03]" c="Q4" nd="1">
                <p n="[Monthly Calendar].[Financial].[Year].&amp;[2002-03]"/>
              </i>
              <i n="[Monthly Calendar].[Financial].[Quarter].&amp;[Q1]&amp;[2003-04]" c="Q1" nd="1">
                <p n="[Monthly Calendar].[Financial].[Year].&amp;[2003-04]"/>
              </i>
              <i n="[Monthly Calendar].[Financial].[Quarter].&amp;[Q2]&amp;[2003-04]" c="Q2" nd="1">
                <p n="[Monthly Calendar].[Financial].[Year].&amp;[2003-04]"/>
              </i>
              <i n="[Monthly Calendar].[Financial].[Quarter].&amp;[Q3]&amp;[2003-04]" c="Q3" nd="1">
                <p n="[Monthly Calendar].[Financial].[Year].&amp;[2003-04]"/>
              </i>
              <i n="[Monthly Calendar].[Financial].[Quarter].&amp;[Q4]&amp;[2003-04]" c="Q4" nd="1">
                <p n="[Monthly Calendar].[Financial].[Year].&amp;[2003-04]"/>
              </i>
              <i n="[Monthly Calendar].[Financial].[Quarter].&amp;[Q1]&amp;[2004-05]" c="Q1" nd="1">
                <p n="[Monthly Calendar].[Financial].[Year].&amp;[2004-05]"/>
              </i>
              <i n="[Monthly Calendar].[Financial].[Quarter].&amp;[Q2]&amp;[2004-05]" c="Q2" nd="1">
                <p n="[Monthly Calendar].[Financial].[Year].&amp;[2004-05]"/>
              </i>
              <i n="[Monthly Calendar].[Financial].[Quarter].&amp;[Q3]&amp;[2004-05]" c="Q3" nd="1">
                <p n="[Monthly Calendar].[Financial].[Year].&amp;[2004-05]"/>
              </i>
              <i n="[Monthly Calendar].[Financial].[Quarter].&amp;[Q4]&amp;[2004-05]" c="Q4" nd="1">
                <p n="[Monthly Calendar].[Financial].[Year].&amp;[2004-05]"/>
              </i>
              <i n="[Monthly Calendar].[Financial].[Quarter].&amp;[Q1]&amp;[2005-06]" c="Q1" nd="1">
                <p n="[Monthly Calendar].[Financial].[Year].&amp;[2005-06]"/>
              </i>
              <i n="[Monthly Calendar].[Financial].[Quarter].&amp;[Q2]&amp;[2005-06]" c="Q2" nd="1">
                <p n="[Monthly Calendar].[Financial].[Year].&amp;[2005-06]"/>
              </i>
              <i n="[Monthly Calendar].[Financial].[Quarter].&amp;[Q3]&amp;[2005-06]" c="Q3" nd="1">
                <p n="[Monthly Calendar].[Financial].[Year].&amp;[2005-06]"/>
              </i>
              <i n="[Monthly Calendar].[Financial].[Quarter].&amp;[Q4]&amp;[2005-06]" c="Q4" nd="1">
                <p n="[Monthly Calendar].[Financial].[Year].&amp;[2005-06]"/>
              </i>
              <i n="[Monthly Calendar].[Financial].[Quarter].&amp;[Q1]&amp;[2006-07]" c="Q1" nd="1">
                <p n="[Monthly Calendar].[Financial].[Year].&amp;[2006-07]"/>
              </i>
              <i n="[Monthly Calendar].[Financial].[Quarter].&amp;[Q2]&amp;[2006-07]" c="Q2" nd="1">
                <p n="[Monthly Calendar].[Financial].[Year].&amp;[2006-07]"/>
              </i>
              <i n="[Monthly Calendar].[Financial].[Quarter].&amp;[Q3]&amp;[2006-07]" c="Q3" nd="1">
                <p n="[Monthly Calendar].[Financial].[Year].&amp;[2006-07]"/>
              </i>
              <i n="[Monthly Calendar].[Financial].[Quarter].&amp;[Q4]&amp;[2006-07]" c="Q4" nd="1">
                <p n="[Monthly Calendar].[Financial].[Year].&amp;[2006-07]"/>
              </i>
              <i n="[Monthly Calendar].[Financial].[Quarter].&amp;[Q1]&amp;[2007-08]" c="Q1" nd="1">
                <p n="[Monthly Calendar].[Financial].[Year].&amp;[2007-08]"/>
              </i>
              <i n="[Monthly Calendar].[Financial].[Quarter].&amp;[Q2]&amp;[2007-08]" c="Q2" nd="1">
                <p n="[Monthly Calendar].[Financial].[Year].&amp;[2007-08]"/>
              </i>
              <i n="[Monthly Calendar].[Financial].[Quarter].&amp;[Q3]&amp;[2007-08]" c="Q3" nd="1">
                <p n="[Monthly Calendar].[Financial].[Year].&amp;[2007-08]"/>
              </i>
              <i n="[Monthly Calendar].[Financial].[Quarter].&amp;[Q4]&amp;[2007-08]" c="Q4" nd="1">
                <p n="[Monthly Calendar].[Financial].[Year].&amp;[2007-08]"/>
              </i>
              <i n="[Monthly Calendar].[Financial].[Quarter].&amp;[Q1]&amp;[2008-09]" c="Q1" nd="1">
                <p n="[Monthly Calendar].[Financial].[Year].&amp;[2008-09]"/>
              </i>
              <i n="[Monthly Calendar].[Financial].[Quarter].&amp;[Q2]&amp;[2008-09]" c="Q2" nd="1">
                <p n="[Monthly Calendar].[Financial].[Year].&amp;[2008-09]"/>
              </i>
              <i n="[Monthly Calendar].[Financial].[Quarter].&amp;[Q3]&amp;[2008-09]" c="Q3" nd="1">
                <p n="[Monthly Calendar].[Financial].[Year].&amp;[2008-09]"/>
              </i>
              <i n="[Monthly Calendar].[Financial].[Quarter].&amp;[Q4]&amp;[2008-09]" c="Q4" nd="1">
                <p n="[Monthly Calendar].[Financial].[Year].&amp;[2008-09]"/>
              </i>
              <i n="[Monthly Calendar].[Financial].[Quarter].&amp;[Q1]&amp;[2009-10]" c="Q1" nd="1">
                <p n="[Monthly Calendar].[Financial].[Year].&amp;[2009-10]"/>
              </i>
              <i n="[Monthly Calendar].[Financial].[Quarter].&amp;[Q2]&amp;[2009-10]" c="Q2" nd="1">
                <p n="[Monthly Calendar].[Financial].[Year].&amp;[2009-10]"/>
              </i>
              <i n="[Monthly Calendar].[Financial].[Quarter].&amp;[Q3]&amp;[2009-10]" c="Q3" nd="1">
                <p n="[Monthly Calendar].[Financial].[Year].&amp;[2009-10]"/>
              </i>
              <i n="[Monthly Calendar].[Financial].[Quarter].&amp;[Q4]&amp;[2009-10]" c="Q4" nd="1">
                <p n="[Monthly Calendar].[Financial].[Year].&amp;[2009-10]"/>
              </i>
              <i n="[Monthly Calendar].[Financial].[Quarter].&amp;[Q1]&amp;[2010-11]" c="Q1" nd="1">
                <p n="[Monthly Calendar].[Financial].[Year].&amp;[2010-11]"/>
              </i>
              <i n="[Monthly Calendar].[Financial].[Quarter].&amp;[Q2]&amp;[2010-11]" c="Q2" nd="1">
                <p n="[Monthly Calendar].[Financial].[Year].&amp;[2010-11]"/>
              </i>
              <i n="[Monthly Calendar].[Financial].[Quarter].&amp;[Q3]&amp;[2010-11]" c="Q3" nd="1">
                <p n="[Monthly Calendar].[Financial].[Year].&amp;[2010-11]"/>
              </i>
              <i n="[Monthly Calendar].[Financial].[Quarter].&amp;[Q4]&amp;[2010-11]" c="Q4" nd="1">
                <p n="[Monthly Calendar].[Financial].[Year].&amp;[2010-11]"/>
              </i>
              <i n="[Monthly Calendar].[Financial].[Quarter].&amp;[Q1]&amp;[2011-12]" c="Q1" nd="1">
                <p n="[Monthly Calendar].[Financial].[Year].&amp;[2011-12]"/>
              </i>
              <i n="[Monthly Calendar].[Financial].[Quarter].&amp;[Q2]&amp;[2011-12]" c="Q2" nd="1">
                <p n="[Monthly Calendar].[Financial].[Year].&amp;[2011-12]"/>
              </i>
              <i n="[Monthly Calendar].[Financial].[Quarter].&amp;[Q3]&amp;[2011-12]" c="Q3" nd="1">
                <p n="[Monthly Calendar].[Financial].[Year].&amp;[2011-12]"/>
              </i>
              <i n="[Monthly Calendar].[Financial].[Quarter].&amp;[Q4]&amp;[2011-12]" c="Q4" nd="1">
                <p n="[Monthly Calendar].[Financial].[Year].&amp;[2011-12]"/>
              </i>
              <i n="[Monthly Calendar].[Financial].[Quarter].&amp;[Q1]&amp;[2012-13]" c="Q1" nd="1">
                <p n="[Monthly Calendar].[Financial].[Year].&amp;[2012-13]"/>
              </i>
              <i n="[Monthly Calendar].[Financial].[Quarter].&amp;[Q2]&amp;[2012-13]" c="Q2" nd="1">
                <p n="[Monthly Calendar].[Financial].[Year].&amp;[2012-13]"/>
              </i>
              <i n="[Monthly Calendar].[Financial].[Quarter].&amp;[Q3]&amp;[2012-13]" c="Q3" nd="1">
                <p n="[Monthly Calendar].[Financial].[Year].&amp;[2012-13]"/>
              </i>
              <i n="[Monthly Calendar].[Financial].[Quarter].&amp;[Q4]&amp;[2012-13]" c="Q4" nd="1">
                <p n="[Monthly Calendar].[Financial].[Year].&amp;[2012-13]"/>
              </i>
              <i n="[Monthly Calendar].[Financial].[Quarter].&amp;[Q1]&amp;[2013-14]" c="Q1" nd="1">
                <p n="[Monthly Calendar].[Financial].[Year].&amp;[2013-14]"/>
              </i>
              <i n="[Monthly Calendar].[Financial].[Quarter].&amp;[Q2]&amp;[2013-14]" c="Q2" nd="1">
                <p n="[Monthly Calendar].[Financial].[Year].&amp;[2013-14]"/>
              </i>
              <i n="[Monthly Calendar].[Financial].[Quarter].&amp;[Q2]&amp;[2017-18]" c="Q2" nd="1">
                <p n="[Monthly Calendar].[Financial].[Year].&amp;[2017-18]"/>
              </i>
              <i n="[Monthly Calendar].[Financial].[Quarter].&amp;[Q3]&amp;[2017-18]" c="Q3" nd="1">
                <p n="[Monthly Calendar].[Financial].[Year].&amp;[2017-18]"/>
              </i>
              <i n="[Monthly Calendar].[Financial].[Quarter].&amp;[Q4]&amp;[2017-18]" c="Q4" nd="1">
                <p n="[Monthly Calendar].[Financial].[Year].&amp;[2017-18]"/>
              </i>
              <i n="[Monthly Calendar].[Financial].[Quarter].&amp;[Q1]&amp;[2018-19]" c="Q1" nd="1">
                <p n="[Monthly Calendar].[Financial].[Year].&amp;[2018-19]"/>
              </i>
              <i n="[Monthly Calendar].[Financial].[Quarter].&amp;[Q2]&amp;[2018-19]" c="Q2" nd="1">
                <p n="[Monthly Calendar].[Financial].[Year].&amp;[2018-19]"/>
              </i>
              <i n="[Monthly Calendar].[Financial].[Quarter].&amp;[Q3]&amp;[2018-19]" c="Q3" nd="1">
                <p n="[Monthly Calendar].[Financial].[Year].&amp;[2018-19]"/>
              </i>
              <i n="[Monthly Calendar].[Financial].[Quarter].&amp;[Q4]&amp;[2018-19]" c="Q4" nd="1">
                <p n="[Monthly Calendar].[Financial].[Year].&amp;[2018-19]"/>
              </i>
              <i n="[Monthly Calendar].[Financial].[Quarter].&amp;[Q1]&amp;[2019-20]" c="Q1" nd="1">
                <p n="[Monthly Calendar].[Financial].[Year].&amp;[2019-20]"/>
              </i>
              <i n="[Monthly Calendar].[Financial].[Quarter].&amp;[Q2]&amp;[2019-20]" c="Q2" nd="1">
                <p n="[Monthly Calendar].[Financial].[Year].&amp;[2019-20]"/>
              </i>
              <i n="[Monthly Calendar].[Financial].[Quarter].&amp;[Q3]&amp;[2019-20]" c="Q3" nd="1">
                <p n="[Monthly Calendar].[Financial].[Year].&amp;[2019-20]"/>
              </i>
              <i n="[Monthly Calendar].[Financial].[Quarter].&amp;[Q4]&amp;[2019-20]" c="Q4" nd="1">
                <p n="[Monthly Calendar].[Financial].[Year].&amp;[2019-20]"/>
              </i>
              <i n="[Monthly Calendar].[Financial].[Quarter].&amp;[Q1]&amp;[2020-21]" c="Q1" nd="1">
                <p n="[Monthly Calendar].[Financial].[Year].&amp;[2020-21]"/>
              </i>
              <i n="[Monthly Calendar].[Financial].[Quarter].&amp;[Q2]&amp;[2020-21]" c="Q2" nd="1">
                <p n="[Monthly Calendar].[Financial].[Year].&amp;[2020-21]"/>
              </i>
              <i n="[Monthly Calendar].[Financial].[Quarter].&amp;[Q3]&amp;[2020-21]" c="Q3" nd="1">
                <p n="[Monthly Calendar].[Financial].[Year].&amp;[2020-21]"/>
              </i>
              <i n="[Monthly Calendar].[Financial].[Quarter].&amp;[Q4]&amp;[2020-21]" c="Q4" nd="1">
                <p n="[Monthly Calendar].[Financial].[Year].&amp;[2020-21]"/>
              </i>
            </range>
          </ranges>
        </level>
        <level uniqueName="[Monthly Calendar].[Financial].[Month Name]" sourceCaption="Month Name" count="256">
          <ranges>
            <range startItem="0">
              <i n="[Monthly Calendar].[Financial].[Month Name].&amp;[October]&amp;[2013-14]" c="October">
                <p n="[Monthly Calendar].[Financial].[Quarter].&amp;[Q3]&amp;[2013-14]"/>
                <p n="[Monthly Calendar].[Financial].[Year].&amp;[2013-14]"/>
              </i>
              <i n="[Monthly Calendar].[Financial].[Month Name].&amp;[November]&amp;[2013-14]" c="November">
                <p n="[Monthly Calendar].[Financial].[Quarter].&amp;[Q3]&amp;[2013-14]"/>
                <p n="[Monthly Calendar].[Financial].[Year].&amp;[2013-14]"/>
              </i>
              <i n="[Monthly Calendar].[Financial].[Month Name].&amp;[December]&amp;[2013-14]" c="December">
                <p n="[Monthly Calendar].[Financial].[Quarter].&amp;[Q3]&amp;[2013-14]"/>
                <p n="[Monthly Calendar].[Financial].[Year].&amp;[2013-14]"/>
              </i>
              <i n="[Monthly Calendar].[Financial].[Month Name].&amp;[January]&amp;[2013-14]" c="January">
                <p n="[Monthly Calendar].[Financial].[Quarter].&amp;[Q4]&amp;[2013-14]"/>
                <p n="[Monthly Calendar].[Financial].[Year].&amp;[2013-14]"/>
              </i>
              <i n="[Monthly Calendar].[Financial].[Month Name].&amp;[February]&amp;[2013-14]" c="February">
                <p n="[Monthly Calendar].[Financial].[Quarter].&amp;[Q4]&amp;[2013-14]"/>
                <p n="[Monthly Calendar].[Financial].[Year].&amp;[2013-14]"/>
              </i>
              <i n="[Monthly Calendar].[Financial].[Month Name].&amp;[March]&amp;[2013-14]" c="March">
                <p n="[Monthly Calendar].[Financial].[Quarter].&amp;[Q4]&amp;[2013-14]"/>
                <p n="[Monthly Calendar].[Financial].[Year].&amp;[2013-14]"/>
              </i>
              <i n="[Monthly Calendar].[Financial].[Month Name].&amp;[April]&amp;[2014-15]" c="April">
                <p n="[Monthly Calendar].[Financial].[Quarter].&amp;[Q1]&amp;[2014-15]"/>
                <p n="[Monthly Calendar].[Financial].[Year].&amp;[2014-15]"/>
              </i>
              <i n="[Monthly Calendar].[Financial].[Month Name].&amp;[May]&amp;[2014-15]" c="May">
                <p n="[Monthly Calendar].[Financial].[Quarter].&amp;[Q1]&amp;[2014-15]"/>
                <p n="[Monthly Calendar].[Financial].[Year].&amp;[2014-15]"/>
              </i>
              <i n="[Monthly Calendar].[Financial].[Month Name].&amp;[June]&amp;[2014-15]" c="June">
                <p n="[Monthly Calendar].[Financial].[Quarter].&amp;[Q1]&amp;[2014-15]"/>
                <p n="[Monthly Calendar].[Financial].[Year].&amp;[2014-15]"/>
              </i>
              <i n="[Monthly Calendar].[Financial].[Month Name].&amp;[July]&amp;[2014-15]" c="July">
                <p n="[Monthly Calendar].[Financial].[Quarter].&amp;[Q2]&amp;[2014-15]"/>
                <p n="[Monthly Calendar].[Financial].[Year].&amp;[2014-15]"/>
              </i>
              <i n="[Monthly Calendar].[Financial].[Month Name].&amp;[August]&amp;[2014-15]" c="August">
                <p n="[Monthly Calendar].[Financial].[Quarter].&amp;[Q2]&amp;[2014-15]"/>
                <p n="[Monthly Calendar].[Financial].[Year].&amp;[2014-15]"/>
              </i>
              <i n="[Monthly Calendar].[Financial].[Month Name].&amp;[September]&amp;[2014-15]" c="September">
                <p n="[Monthly Calendar].[Financial].[Quarter].&amp;[Q2]&amp;[2014-15]"/>
                <p n="[Monthly Calendar].[Financial].[Year].&amp;[2014-15]"/>
              </i>
              <i n="[Monthly Calendar].[Financial].[Month Name].&amp;[October]&amp;[2014-15]" c="October">
                <p n="[Monthly Calendar].[Financial].[Quarter].&amp;[Q3]&amp;[2014-15]"/>
                <p n="[Monthly Calendar].[Financial].[Year].&amp;[2014-15]"/>
              </i>
              <i n="[Monthly Calendar].[Financial].[Month Name].&amp;[November]&amp;[2014-15]" c="November">
                <p n="[Monthly Calendar].[Financial].[Quarter].&amp;[Q3]&amp;[2014-15]"/>
                <p n="[Monthly Calendar].[Financial].[Year].&amp;[2014-15]"/>
              </i>
              <i n="[Monthly Calendar].[Financial].[Month Name].&amp;[December]&amp;[2014-15]" c="December">
                <p n="[Monthly Calendar].[Financial].[Quarter].&amp;[Q3]&amp;[2014-15]"/>
                <p n="[Monthly Calendar].[Financial].[Year].&amp;[2014-15]"/>
              </i>
              <i n="[Monthly Calendar].[Financial].[Month Name].&amp;[January]&amp;[2014-15]" c="January">
                <p n="[Monthly Calendar].[Financial].[Quarter].&amp;[Q4]&amp;[2014-15]"/>
                <p n="[Monthly Calendar].[Financial].[Year].&amp;[2014-15]"/>
              </i>
              <i n="[Monthly Calendar].[Financial].[Month Name].&amp;[February]&amp;[2014-15]" c="February">
                <p n="[Monthly Calendar].[Financial].[Quarter].&amp;[Q4]&amp;[2014-15]"/>
                <p n="[Monthly Calendar].[Financial].[Year].&amp;[2014-15]"/>
              </i>
              <i n="[Monthly Calendar].[Financial].[Month Name].&amp;[March]&amp;[2014-15]" c="March">
                <p n="[Monthly Calendar].[Financial].[Quarter].&amp;[Q4]&amp;[2014-15]"/>
                <p n="[Monthly Calendar].[Financial].[Year].&amp;[2014-15]"/>
              </i>
              <i n="[Monthly Calendar].[Financial].[Month Name].&amp;[April]&amp;[2015-16]" c="April">
                <p n="[Monthly Calendar].[Financial].[Quarter].&amp;[Q1]&amp;[2015-16]"/>
                <p n="[Monthly Calendar].[Financial].[Year].&amp;[2015-16]"/>
              </i>
              <i n="[Monthly Calendar].[Financial].[Month Name].&amp;[May]&amp;[2015-16]" c="May">
                <p n="[Monthly Calendar].[Financial].[Quarter].&amp;[Q1]&amp;[2015-16]"/>
                <p n="[Monthly Calendar].[Financial].[Year].&amp;[2015-16]"/>
              </i>
              <i n="[Monthly Calendar].[Financial].[Month Name].&amp;[June]&amp;[2015-16]" c="June">
                <p n="[Monthly Calendar].[Financial].[Quarter].&amp;[Q1]&amp;[2015-16]"/>
                <p n="[Monthly Calendar].[Financial].[Year].&amp;[2015-16]"/>
              </i>
              <i n="[Monthly Calendar].[Financial].[Month Name].&amp;[July]&amp;[2015-16]" c="July">
                <p n="[Monthly Calendar].[Financial].[Quarter].&amp;[Q2]&amp;[2015-16]"/>
                <p n="[Monthly Calendar].[Financial].[Year].&amp;[2015-16]"/>
              </i>
              <i n="[Monthly Calendar].[Financial].[Month Name].&amp;[August]&amp;[2015-16]" c="August">
                <p n="[Monthly Calendar].[Financial].[Quarter].&amp;[Q2]&amp;[2015-16]"/>
                <p n="[Monthly Calendar].[Financial].[Year].&amp;[2015-16]"/>
              </i>
              <i n="[Monthly Calendar].[Financial].[Month Name].&amp;[September]&amp;[2015-16]" c="September">
                <p n="[Monthly Calendar].[Financial].[Quarter].&amp;[Q2]&amp;[2015-16]"/>
                <p n="[Monthly Calendar].[Financial].[Year].&amp;[2015-16]"/>
              </i>
              <i n="[Monthly Calendar].[Financial].[Month Name].&amp;[October]&amp;[2015-16]" c="October">
                <p n="[Monthly Calendar].[Financial].[Quarter].&amp;[Q3]&amp;[2015-16]"/>
                <p n="[Monthly Calendar].[Financial].[Year].&amp;[2015-16]"/>
              </i>
              <i n="[Monthly Calendar].[Financial].[Month Name].&amp;[November]&amp;[2015-16]" c="November">
                <p n="[Monthly Calendar].[Financial].[Quarter].&amp;[Q3]&amp;[2015-16]"/>
                <p n="[Monthly Calendar].[Financial].[Year].&amp;[2015-16]"/>
              </i>
              <i n="[Monthly Calendar].[Financial].[Month Name].&amp;[December]&amp;[2015-16]" c="December">
                <p n="[Monthly Calendar].[Financial].[Quarter].&amp;[Q3]&amp;[2015-16]"/>
                <p n="[Monthly Calendar].[Financial].[Year].&amp;[2015-16]"/>
              </i>
              <i n="[Monthly Calendar].[Financial].[Month Name].&amp;[January]&amp;[2015-16]" c="January">
                <p n="[Monthly Calendar].[Financial].[Quarter].&amp;[Q4]&amp;[2015-16]"/>
                <p n="[Monthly Calendar].[Financial].[Year].&amp;[2015-16]"/>
              </i>
              <i n="[Monthly Calendar].[Financial].[Month Name].&amp;[February]&amp;[2015-16]" c="February">
                <p n="[Monthly Calendar].[Financial].[Quarter].&amp;[Q4]&amp;[2015-16]"/>
                <p n="[Monthly Calendar].[Financial].[Year].&amp;[2015-16]"/>
              </i>
              <i n="[Monthly Calendar].[Financial].[Month Name].&amp;[March]&amp;[2015-16]" c="March">
                <p n="[Monthly Calendar].[Financial].[Quarter].&amp;[Q4]&amp;[2015-16]"/>
                <p n="[Monthly Calendar].[Financial].[Year].&amp;[2015-16]"/>
              </i>
              <i n="[Monthly Calendar].[Financial].[Month Name].&amp;[April]&amp;[2016-17]" c="April">
                <p n="[Monthly Calendar].[Financial].[Quarter].&amp;[Q1]&amp;[2016-17]"/>
                <p n="[Monthly Calendar].[Financial].[Year].&amp;[2016-17]"/>
              </i>
              <i n="[Monthly Calendar].[Financial].[Month Name].&amp;[May]&amp;[2016-17]" c="May">
                <p n="[Monthly Calendar].[Financial].[Quarter].&amp;[Q1]&amp;[2016-17]"/>
                <p n="[Monthly Calendar].[Financial].[Year].&amp;[2016-17]"/>
              </i>
              <i n="[Monthly Calendar].[Financial].[Month Name].&amp;[June]&amp;[2016-17]" c="June">
                <p n="[Monthly Calendar].[Financial].[Quarter].&amp;[Q1]&amp;[2016-17]"/>
                <p n="[Monthly Calendar].[Financial].[Year].&amp;[2016-17]"/>
              </i>
              <i n="[Monthly Calendar].[Financial].[Month Name].&amp;[July]&amp;[2016-17]" c="July">
                <p n="[Monthly Calendar].[Financial].[Quarter].&amp;[Q2]&amp;[2016-17]"/>
                <p n="[Monthly Calendar].[Financial].[Year].&amp;[2016-17]"/>
              </i>
              <i n="[Monthly Calendar].[Financial].[Month Name].&amp;[August]&amp;[2016-17]" c="August">
                <p n="[Monthly Calendar].[Financial].[Quarter].&amp;[Q2]&amp;[2016-17]"/>
                <p n="[Monthly Calendar].[Financial].[Year].&amp;[2016-17]"/>
              </i>
              <i n="[Monthly Calendar].[Financial].[Month Name].&amp;[September]&amp;[2016-17]" c="September">
                <p n="[Monthly Calendar].[Financial].[Quarter].&amp;[Q2]&amp;[2016-17]"/>
                <p n="[Monthly Calendar].[Financial].[Year].&amp;[2016-17]"/>
              </i>
              <i n="[Monthly Calendar].[Financial].[Month Name].&amp;[October]&amp;[2016-17]" c="October">
                <p n="[Monthly Calendar].[Financial].[Quarter].&amp;[Q3]&amp;[2016-17]"/>
                <p n="[Monthly Calendar].[Financial].[Year].&amp;[2016-17]"/>
              </i>
              <i n="[Monthly Calendar].[Financial].[Month Name].&amp;[November]&amp;[2016-17]" c="November">
                <p n="[Monthly Calendar].[Financial].[Quarter].&amp;[Q3]&amp;[2016-17]"/>
                <p n="[Monthly Calendar].[Financial].[Year].&amp;[2016-17]"/>
              </i>
              <i n="[Monthly Calendar].[Financial].[Month Name].&amp;[December]&amp;[2016-17]" c="December">
                <p n="[Monthly Calendar].[Financial].[Quarter].&amp;[Q3]&amp;[2016-17]"/>
                <p n="[Monthly Calendar].[Financial].[Year].&amp;[2016-17]"/>
              </i>
              <i n="[Monthly Calendar].[Financial].[Month Name].&amp;[January]&amp;[2016-17]" c="January">
                <p n="[Monthly Calendar].[Financial].[Quarter].&amp;[Q4]&amp;[2016-17]"/>
                <p n="[Monthly Calendar].[Financial].[Year].&amp;[2016-17]"/>
              </i>
              <i n="[Monthly Calendar].[Financial].[Month Name].&amp;[February]&amp;[2016-17]" c="February">
                <p n="[Monthly Calendar].[Financial].[Quarter].&amp;[Q4]&amp;[2016-17]"/>
                <p n="[Monthly Calendar].[Financial].[Year].&amp;[2016-17]"/>
              </i>
              <i n="[Monthly Calendar].[Financial].[Month Name].&amp;[March]&amp;[2016-17]" c="March">
                <p n="[Monthly Calendar].[Financial].[Quarter].&amp;[Q4]&amp;[2016-17]"/>
                <p n="[Monthly Calendar].[Financial].[Year].&amp;[2016-17]"/>
              </i>
              <i n="[Monthly Calendar].[Financial].[Month Name].&amp;[April]&amp;[2017-18]" c="April">
                <p n="[Monthly Calendar].[Financial].[Quarter].&amp;[Q1]&amp;[2017-18]"/>
                <p n="[Monthly Calendar].[Financial].[Year].&amp;[2017-18]"/>
              </i>
              <i n="[Monthly Calendar].[Financial].[Month Name].&amp;[Not recorded/not applicable]&amp;[]" c="Not recorded/not applicable" nd="1">
                <p n="[Monthly Calendar].[Financial].[Quarter].&amp;[]&amp;[]"/>
                <p n="[Monthly Calendar].[Financial].[Year].&amp;[]"/>
              </i>
              <i n="[Monthly Calendar].[Financial].[Month Name].&amp;[January]&amp;[1999-00]" c="January" nd="1">
                <p n="[Monthly Calendar].[Financial].[Quarter].&amp;[Q4]&amp;[1999-00]"/>
                <p n="[Monthly Calendar].[Financial].[Year].&amp;[1999-00]"/>
              </i>
              <i n="[Monthly Calendar].[Financial].[Month Name].&amp;[February]&amp;[1999-00]" c="February" nd="1">
                <p n="[Monthly Calendar].[Financial].[Quarter].&amp;[Q4]&amp;[1999-00]"/>
                <p n="[Monthly Calendar].[Financial].[Year].&amp;[1999-00]"/>
              </i>
              <i n="[Monthly Calendar].[Financial].[Month Name].&amp;[March]&amp;[1999-00]" c="March" nd="1">
                <p n="[Monthly Calendar].[Financial].[Quarter].&amp;[Q4]&amp;[1999-00]"/>
                <p n="[Monthly Calendar].[Financial].[Year].&amp;[1999-00]"/>
              </i>
              <i n="[Monthly Calendar].[Financial].[Month Name].&amp;[April]&amp;[2000-01]" c="April" nd="1">
                <p n="[Monthly Calendar].[Financial].[Quarter].&amp;[Q1]&amp;[2000-01]"/>
                <p n="[Monthly Calendar].[Financial].[Year].&amp;[2000-01]"/>
              </i>
              <i n="[Monthly Calendar].[Financial].[Month Name].&amp;[May]&amp;[2000-01]" c="May" nd="1">
                <p n="[Monthly Calendar].[Financial].[Quarter].&amp;[Q1]&amp;[2000-01]"/>
                <p n="[Monthly Calendar].[Financial].[Year].&amp;[2000-01]"/>
              </i>
              <i n="[Monthly Calendar].[Financial].[Month Name].&amp;[June]&amp;[2000-01]" c="June" nd="1">
                <p n="[Monthly Calendar].[Financial].[Quarter].&amp;[Q1]&amp;[2000-01]"/>
                <p n="[Monthly Calendar].[Financial].[Year].&amp;[2000-01]"/>
              </i>
              <i n="[Monthly Calendar].[Financial].[Month Name].&amp;[July]&amp;[2000-01]" c="July" nd="1">
                <p n="[Monthly Calendar].[Financial].[Quarter].&amp;[Q2]&amp;[2000-01]"/>
                <p n="[Monthly Calendar].[Financial].[Year].&amp;[2000-01]"/>
              </i>
              <i n="[Monthly Calendar].[Financial].[Month Name].&amp;[August]&amp;[2000-01]" c="August" nd="1">
                <p n="[Monthly Calendar].[Financial].[Quarter].&amp;[Q2]&amp;[2000-01]"/>
                <p n="[Monthly Calendar].[Financial].[Year].&amp;[2000-01]"/>
              </i>
              <i n="[Monthly Calendar].[Financial].[Month Name].&amp;[September]&amp;[2000-01]" c="September" nd="1">
                <p n="[Monthly Calendar].[Financial].[Quarter].&amp;[Q2]&amp;[2000-01]"/>
                <p n="[Monthly Calendar].[Financial].[Year].&amp;[2000-01]"/>
              </i>
              <i n="[Monthly Calendar].[Financial].[Month Name].&amp;[October]&amp;[2000-01]" c="October" nd="1">
                <p n="[Monthly Calendar].[Financial].[Quarter].&amp;[Q3]&amp;[2000-01]"/>
                <p n="[Monthly Calendar].[Financial].[Year].&amp;[2000-01]"/>
              </i>
              <i n="[Monthly Calendar].[Financial].[Month Name].&amp;[November]&amp;[2000-01]" c="November" nd="1">
                <p n="[Monthly Calendar].[Financial].[Quarter].&amp;[Q3]&amp;[2000-01]"/>
                <p n="[Monthly Calendar].[Financial].[Year].&amp;[2000-01]"/>
              </i>
              <i n="[Monthly Calendar].[Financial].[Month Name].&amp;[December]&amp;[2000-01]" c="December" nd="1">
                <p n="[Monthly Calendar].[Financial].[Quarter].&amp;[Q3]&amp;[2000-01]"/>
                <p n="[Monthly Calendar].[Financial].[Year].&amp;[2000-01]"/>
              </i>
              <i n="[Monthly Calendar].[Financial].[Month Name].&amp;[January]&amp;[2000-01]" c="January" nd="1">
                <p n="[Monthly Calendar].[Financial].[Quarter].&amp;[Q4]&amp;[2000-01]"/>
                <p n="[Monthly Calendar].[Financial].[Year].&amp;[2000-01]"/>
              </i>
              <i n="[Monthly Calendar].[Financial].[Month Name].&amp;[February]&amp;[2000-01]" c="February" nd="1">
                <p n="[Monthly Calendar].[Financial].[Quarter].&amp;[Q4]&amp;[2000-01]"/>
                <p n="[Monthly Calendar].[Financial].[Year].&amp;[2000-01]"/>
              </i>
              <i n="[Monthly Calendar].[Financial].[Month Name].&amp;[March]&amp;[2000-01]" c="March" nd="1">
                <p n="[Monthly Calendar].[Financial].[Quarter].&amp;[Q4]&amp;[2000-01]"/>
                <p n="[Monthly Calendar].[Financial].[Year].&amp;[2000-01]"/>
              </i>
              <i n="[Monthly Calendar].[Financial].[Month Name].&amp;[April]&amp;[2001-02]" c="April" nd="1">
                <p n="[Monthly Calendar].[Financial].[Quarter].&amp;[Q1]&amp;[2001-02]"/>
                <p n="[Monthly Calendar].[Financial].[Year].&amp;[2001-02]"/>
              </i>
              <i n="[Monthly Calendar].[Financial].[Month Name].&amp;[May]&amp;[2001-02]" c="May" nd="1">
                <p n="[Monthly Calendar].[Financial].[Quarter].&amp;[Q1]&amp;[2001-02]"/>
                <p n="[Monthly Calendar].[Financial].[Year].&amp;[2001-02]"/>
              </i>
              <i n="[Monthly Calendar].[Financial].[Month Name].&amp;[June]&amp;[2001-02]" c="June" nd="1">
                <p n="[Monthly Calendar].[Financial].[Quarter].&amp;[Q1]&amp;[2001-02]"/>
                <p n="[Monthly Calendar].[Financial].[Year].&amp;[2001-02]"/>
              </i>
              <i n="[Monthly Calendar].[Financial].[Month Name].&amp;[July]&amp;[2001-02]" c="July" nd="1">
                <p n="[Monthly Calendar].[Financial].[Quarter].&amp;[Q2]&amp;[2001-02]"/>
                <p n="[Monthly Calendar].[Financial].[Year].&amp;[2001-02]"/>
              </i>
              <i n="[Monthly Calendar].[Financial].[Month Name].&amp;[August]&amp;[2001-02]" c="August" nd="1">
                <p n="[Monthly Calendar].[Financial].[Quarter].&amp;[Q2]&amp;[2001-02]"/>
                <p n="[Monthly Calendar].[Financial].[Year].&amp;[2001-02]"/>
              </i>
              <i n="[Monthly Calendar].[Financial].[Month Name].&amp;[September]&amp;[2001-02]" c="September" nd="1">
                <p n="[Monthly Calendar].[Financial].[Quarter].&amp;[Q2]&amp;[2001-02]"/>
                <p n="[Monthly Calendar].[Financial].[Year].&amp;[2001-02]"/>
              </i>
              <i n="[Monthly Calendar].[Financial].[Month Name].&amp;[October]&amp;[2001-02]" c="October" nd="1">
                <p n="[Monthly Calendar].[Financial].[Quarter].&amp;[Q3]&amp;[2001-02]"/>
                <p n="[Monthly Calendar].[Financial].[Year].&amp;[2001-02]"/>
              </i>
              <i n="[Monthly Calendar].[Financial].[Month Name].&amp;[November]&amp;[2001-02]" c="November" nd="1">
                <p n="[Monthly Calendar].[Financial].[Quarter].&amp;[Q3]&amp;[2001-02]"/>
                <p n="[Monthly Calendar].[Financial].[Year].&amp;[2001-02]"/>
              </i>
              <i n="[Monthly Calendar].[Financial].[Month Name].&amp;[December]&amp;[2001-02]" c="December" nd="1">
                <p n="[Monthly Calendar].[Financial].[Quarter].&amp;[Q3]&amp;[2001-02]"/>
                <p n="[Monthly Calendar].[Financial].[Year].&amp;[2001-02]"/>
              </i>
              <i n="[Monthly Calendar].[Financial].[Month Name].&amp;[January]&amp;[2001-02]" c="January" nd="1">
                <p n="[Monthly Calendar].[Financial].[Quarter].&amp;[Q4]&amp;[2001-02]"/>
                <p n="[Monthly Calendar].[Financial].[Year].&amp;[2001-02]"/>
              </i>
              <i n="[Monthly Calendar].[Financial].[Month Name].&amp;[February]&amp;[2001-02]" c="February" nd="1">
                <p n="[Monthly Calendar].[Financial].[Quarter].&amp;[Q4]&amp;[2001-02]"/>
                <p n="[Monthly Calendar].[Financial].[Year].&amp;[2001-02]"/>
              </i>
              <i n="[Monthly Calendar].[Financial].[Month Name].&amp;[March]&amp;[2001-02]" c="March" nd="1">
                <p n="[Monthly Calendar].[Financial].[Quarter].&amp;[Q4]&amp;[2001-02]"/>
                <p n="[Monthly Calendar].[Financial].[Year].&amp;[2001-02]"/>
              </i>
              <i n="[Monthly Calendar].[Financial].[Month Name].&amp;[April]&amp;[2002-03]" c="April" nd="1">
                <p n="[Monthly Calendar].[Financial].[Quarter].&amp;[Q1]&amp;[2002-03]"/>
                <p n="[Monthly Calendar].[Financial].[Year].&amp;[2002-03]"/>
              </i>
              <i n="[Monthly Calendar].[Financial].[Month Name].&amp;[May]&amp;[2002-03]" c="May" nd="1">
                <p n="[Monthly Calendar].[Financial].[Quarter].&amp;[Q1]&amp;[2002-03]"/>
                <p n="[Monthly Calendar].[Financial].[Year].&amp;[2002-03]"/>
              </i>
              <i n="[Monthly Calendar].[Financial].[Month Name].&amp;[June]&amp;[2002-03]" c="June" nd="1">
                <p n="[Monthly Calendar].[Financial].[Quarter].&amp;[Q1]&amp;[2002-03]"/>
                <p n="[Monthly Calendar].[Financial].[Year].&amp;[2002-03]"/>
              </i>
              <i n="[Monthly Calendar].[Financial].[Month Name].&amp;[July]&amp;[2002-03]" c="July" nd="1">
                <p n="[Monthly Calendar].[Financial].[Quarter].&amp;[Q2]&amp;[2002-03]"/>
                <p n="[Monthly Calendar].[Financial].[Year].&amp;[2002-03]"/>
              </i>
              <i n="[Monthly Calendar].[Financial].[Month Name].&amp;[August]&amp;[2002-03]" c="August" nd="1">
                <p n="[Monthly Calendar].[Financial].[Quarter].&amp;[Q2]&amp;[2002-03]"/>
                <p n="[Monthly Calendar].[Financial].[Year].&amp;[2002-03]"/>
              </i>
              <i n="[Monthly Calendar].[Financial].[Month Name].&amp;[September]&amp;[2002-03]" c="September" nd="1">
                <p n="[Monthly Calendar].[Financial].[Quarter].&amp;[Q2]&amp;[2002-03]"/>
                <p n="[Monthly Calendar].[Financial].[Year].&amp;[2002-03]"/>
              </i>
              <i n="[Monthly Calendar].[Financial].[Month Name].&amp;[October]&amp;[2002-03]" c="October" nd="1">
                <p n="[Monthly Calendar].[Financial].[Quarter].&amp;[Q3]&amp;[2002-03]"/>
                <p n="[Monthly Calendar].[Financial].[Year].&amp;[2002-03]"/>
              </i>
              <i n="[Monthly Calendar].[Financial].[Month Name].&amp;[November]&amp;[2002-03]" c="November" nd="1">
                <p n="[Monthly Calendar].[Financial].[Quarter].&amp;[Q3]&amp;[2002-03]"/>
                <p n="[Monthly Calendar].[Financial].[Year].&amp;[2002-03]"/>
              </i>
              <i n="[Monthly Calendar].[Financial].[Month Name].&amp;[December]&amp;[2002-03]" c="December" nd="1">
                <p n="[Monthly Calendar].[Financial].[Quarter].&amp;[Q3]&amp;[2002-03]"/>
                <p n="[Monthly Calendar].[Financial].[Year].&amp;[2002-03]"/>
              </i>
              <i n="[Monthly Calendar].[Financial].[Month Name].&amp;[January]&amp;[2002-03]" c="January" nd="1">
                <p n="[Monthly Calendar].[Financial].[Quarter].&amp;[Q4]&amp;[2002-03]"/>
                <p n="[Monthly Calendar].[Financial].[Year].&amp;[2002-03]"/>
              </i>
              <i n="[Monthly Calendar].[Financial].[Month Name].&amp;[February]&amp;[2002-03]" c="February" nd="1">
                <p n="[Monthly Calendar].[Financial].[Quarter].&amp;[Q4]&amp;[2002-03]"/>
                <p n="[Monthly Calendar].[Financial].[Year].&amp;[2002-03]"/>
              </i>
              <i n="[Monthly Calendar].[Financial].[Month Name].&amp;[March]&amp;[2002-03]" c="March" nd="1">
                <p n="[Monthly Calendar].[Financial].[Quarter].&amp;[Q4]&amp;[2002-03]"/>
                <p n="[Monthly Calendar].[Financial].[Year].&amp;[2002-03]"/>
              </i>
              <i n="[Monthly Calendar].[Financial].[Month Name].&amp;[April]&amp;[2003-04]" c="April" nd="1">
                <p n="[Monthly Calendar].[Financial].[Quarter].&amp;[Q1]&amp;[2003-04]"/>
                <p n="[Monthly Calendar].[Financial].[Year].&amp;[2003-04]"/>
              </i>
              <i n="[Monthly Calendar].[Financial].[Month Name].&amp;[May]&amp;[2003-04]" c="May" nd="1">
                <p n="[Monthly Calendar].[Financial].[Quarter].&amp;[Q1]&amp;[2003-04]"/>
                <p n="[Monthly Calendar].[Financial].[Year].&amp;[2003-04]"/>
              </i>
              <i n="[Monthly Calendar].[Financial].[Month Name].&amp;[June]&amp;[2003-04]" c="June" nd="1">
                <p n="[Monthly Calendar].[Financial].[Quarter].&amp;[Q1]&amp;[2003-04]"/>
                <p n="[Monthly Calendar].[Financial].[Year].&amp;[2003-04]"/>
              </i>
              <i n="[Monthly Calendar].[Financial].[Month Name].&amp;[July]&amp;[2003-04]" c="July" nd="1">
                <p n="[Monthly Calendar].[Financial].[Quarter].&amp;[Q2]&amp;[2003-04]"/>
                <p n="[Monthly Calendar].[Financial].[Year].&amp;[2003-04]"/>
              </i>
              <i n="[Monthly Calendar].[Financial].[Month Name].&amp;[August]&amp;[2003-04]" c="August" nd="1">
                <p n="[Monthly Calendar].[Financial].[Quarter].&amp;[Q2]&amp;[2003-04]"/>
                <p n="[Monthly Calendar].[Financial].[Year].&amp;[2003-04]"/>
              </i>
              <i n="[Monthly Calendar].[Financial].[Month Name].&amp;[September]&amp;[2003-04]" c="September" nd="1">
                <p n="[Monthly Calendar].[Financial].[Quarter].&amp;[Q2]&amp;[2003-04]"/>
                <p n="[Monthly Calendar].[Financial].[Year].&amp;[2003-04]"/>
              </i>
              <i n="[Monthly Calendar].[Financial].[Month Name].&amp;[October]&amp;[2003-04]" c="October" nd="1">
                <p n="[Monthly Calendar].[Financial].[Quarter].&amp;[Q3]&amp;[2003-04]"/>
                <p n="[Monthly Calendar].[Financial].[Year].&amp;[2003-04]"/>
              </i>
              <i n="[Monthly Calendar].[Financial].[Month Name].&amp;[November]&amp;[2003-04]" c="November" nd="1">
                <p n="[Monthly Calendar].[Financial].[Quarter].&amp;[Q3]&amp;[2003-04]"/>
                <p n="[Monthly Calendar].[Financial].[Year].&amp;[2003-04]"/>
              </i>
              <i n="[Monthly Calendar].[Financial].[Month Name].&amp;[December]&amp;[2003-04]" c="December" nd="1">
                <p n="[Monthly Calendar].[Financial].[Quarter].&amp;[Q3]&amp;[2003-04]"/>
                <p n="[Monthly Calendar].[Financial].[Year].&amp;[2003-04]"/>
              </i>
              <i n="[Monthly Calendar].[Financial].[Month Name].&amp;[January]&amp;[2003-04]" c="January" nd="1">
                <p n="[Monthly Calendar].[Financial].[Quarter].&amp;[Q4]&amp;[2003-04]"/>
                <p n="[Monthly Calendar].[Financial].[Year].&amp;[2003-04]"/>
              </i>
              <i n="[Monthly Calendar].[Financial].[Month Name].&amp;[February]&amp;[2003-04]" c="February" nd="1">
                <p n="[Monthly Calendar].[Financial].[Quarter].&amp;[Q4]&amp;[2003-04]"/>
                <p n="[Monthly Calendar].[Financial].[Year].&amp;[2003-04]"/>
              </i>
              <i n="[Monthly Calendar].[Financial].[Month Name].&amp;[March]&amp;[2003-04]" c="March" nd="1">
                <p n="[Monthly Calendar].[Financial].[Quarter].&amp;[Q4]&amp;[2003-04]"/>
                <p n="[Monthly Calendar].[Financial].[Year].&amp;[2003-04]"/>
              </i>
              <i n="[Monthly Calendar].[Financial].[Month Name].&amp;[April]&amp;[2004-05]" c="April" nd="1">
                <p n="[Monthly Calendar].[Financial].[Quarter].&amp;[Q1]&amp;[2004-05]"/>
                <p n="[Monthly Calendar].[Financial].[Year].&amp;[2004-05]"/>
              </i>
              <i n="[Monthly Calendar].[Financial].[Month Name].&amp;[May]&amp;[2004-05]" c="May" nd="1">
                <p n="[Monthly Calendar].[Financial].[Quarter].&amp;[Q1]&amp;[2004-05]"/>
                <p n="[Monthly Calendar].[Financial].[Year].&amp;[2004-05]"/>
              </i>
              <i n="[Monthly Calendar].[Financial].[Month Name].&amp;[June]&amp;[2004-05]" c="June" nd="1">
                <p n="[Monthly Calendar].[Financial].[Quarter].&amp;[Q1]&amp;[2004-05]"/>
                <p n="[Monthly Calendar].[Financial].[Year].&amp;[2004-05]"/>
              </i>
              <i n="[Monthly Calendar].[Financial].[Month Name].&amp;[July]&amp;[2004-05]" c="July" nd="1">
                <p n="[Monthly Calendar].[Financial].[Quarter].&amp;[Q2]&amp;[2004-05]"/>
                <p n="[Monthly Calendar].[Financial].[Year].&amp;[2004-05]"/>
              </i>
              <i n="[Monthly Calendar].[Financial].[Month Name].&amp;[August]&amp;[2004-05]" c="August" nd="1">
                <p n="[Monthly Calendar].[Financial].[Quarter].&amp;[Q2]&amp;[2004-05]"/>
                <p n="[Monthly Calendar].[Financial].[Year].&amp;[2004-05]"/>
              </i>
              <i n="[Monthly Calendar].[Financial].[Month Name].&amp;[September]&amp;[2004-05]" c="September" nd="1">
                <p n="[Monthly Calendar].[Financial].[Quarter].&amp;[Q2]&amp;[2004-05]"/>
                <p n="[Monthly Calendar].[Financial].[Year].&amp;[2004-05]"/>
              </i>
              <i n="[Monthly Calendar].[Financial].[Month Name].&amp;[October]&amp;[2004-05]" c="October" nd="1">
                <p n="[Monthly Calendar].[Financial].[Quarter].&amp;[Q3]&amp;[2004-05]"/>
                <p n="[Monthly Calendar].[Financial].[Year].&amp;[2004-05]"/>
              </i>
              <i n="[Monthly Calendar].[Financial].[Month Name].&amp;[November]&amp;[2004-05]" c="November" nd="1">
                <p n="[Monthly Calendar].[Financial].[Quarter].&amp;[Q3]&amp;[2004-05]"/>
                <p n="[Monthly Calendar].[Financial].[Year].&amp;[2004-05]"/>
              </i>
              <i n="[Monthly Calendar].[Financial].[Month Name].&amp;[December]&amp;[2004-05]" c="December" nd="1">
                <p n="[Monthly Calendar].[Financial].[Quarter].&amp;[Q3]&amp;[2004-05]"/>
                <p n="[Monthly Calendar].[Financial].[Year].&amp;[2004-05]"/>
              </i>
              <i n="[Monthly Calendar].[Financial].[Month Name].&amp;[January]&amp;[2004-05]" c="January" nd="1">
                <p n="[Monthly Calendar].[Financial].[Quarter].&amp;[Q4]&amp;[2004-05]"/>
                <p n="[Monthly Calendar].[Financial].[Year].&amp;[2004-05]"/>
              </i>
              <i n="[Monthly Calendar].[Financial].[Month Name].&amp;[February]&amp;[2004-05]" c="February" nd="1">
                <p n="[Monthly Calendar].[Financial].[Quarter].&amp;[Q4]&amp;[2004-05]"/>
                <p n="[Monthly Calendar].[Financial].[Year].&amp;[2004-05]"/>
              </i>
              <i n="[Monthly Calendar].[Financial].[Month Name].&amp;[March]&amp;[2004-05]" c="March" nd="1">
                <p n="[Monthly Calendar].[Financial].[Quarter].&amp;[Q4]&amp;[2004-05]"/>
                <p n="[Monthly Calendar].[Financial].[Year].&amp;[2004-05]"/>
              </i>
              <i n="[Monthly Calendar].[Financial].[Month Name].&amp;[April]&amp;[2005-06]" c="April" nd="1">
                <p n="[Monthly Calendar].[Financial].[Quarter].&amp;[Q1]&amp;[2005-06]"/>
                <p n="[Monthly Calendar].[Financial].[Year].&amp;[2005-06]"/>
              </i>
              <i n="[Monthly Calendar].[Financial].[Month Name].&amp;[May]&amp;[2005-06]" c="May" nd="1">
                <p n="[Monthly Calendar].[Financial].[Quarter].&amp;[Q1]&amp;[2005-06]"/>
                <p n="[Monthly Calendar].[Financial].[Year].&amp;[2005-06]"/>
              </i>
              <i n="[Monthly Calendar].[Financial].[Month Name].&amp;[June]&amp;[2005-06]" c="June" nd="1">
                <p n="[Monthly Calendar].[Financial].[Quarter].&amp;[Q1]&amp;[2005-06]"/>
                <p n="[Monthly Calendar].[Financial].[Year].&amp;[2005-06]"/>
              </i>
              <i n="[Monthly Calendar].[Financial].[Month Name].&amp;[July]&amp;[2005-06]" c="July" nd="1">
                <p n="[Monthly Calendar].[Financial].[Quarter].&amp;[Q2]&amp;[2005-06]"/>
                <p n="[Monthly Calendar].[Financial].[Year].&amp;[2005-06]"/>
              </i>
              <i n="[Monthly Calendar].[Financial].[Month Name].&amp;[August]&amp;[2005-06]" c="August" nd="1">
                <p n="[Monthly Calendar].[Financial].[Quarter].&amp;[Q2]&amp;[2005-06]"/>
                <p n="[Monthly Calendar].[Financial].[Year].&amp;[2005-06]"/>
              </i>
              <i n="[Monthly Calendar].[Financial].[Month Name].&amp;[September]&amp;[2005-06]" c="September" nd="1">
                <p n="[Monthly Calendar].[Financial].[Quarter].&amp;[Q2]&amp;[2005-06]"/>
                <p n="[Monthly Calendar].[Financial].[Year].&amp;[2005-06]"/>
              </i>
              <i n="[Monthly Calendar].[Financial].[Month Name].&amp;[October]&amp;[2005-06]" c="October" nd="1">
                <p n="[Monthly Calendar].[Financial].[Quarter].&amp;[Q3]&amp;[2005-06]"/>
                <p n="[Monthly Calendar].[Financial].[Year].&amp;[2005-06]"/>
              </i>
              <i n="[Monthly Calendar].[Financial].[Month Name].&amp;[November]&amp;[2005-06]" c="November" nd="1">
                <p n="[Monthly Calendar].[Financial].[Quarter].&amp;[Q3]&amp;[2005-06]"/>
                <p n="[Monthly Calendar].[Financial].[Year].&amp;[2005-06]"/>
              </i>
              <i n="[Monthly Calendar].[Financial].[Month Name].&amp;[December]&amp;[2005-06]" c="December" nd="1">
                <p n="[Monthly Calendar].[Financial].[Quarter].&amp;[Q3]&amp;[2005-06]"/>
                <p n="[Monthly Calendar].[Financial].[Year].&amp;[2005-06]"/>
              </i>
              <i n="[Monthly Calendar].[Financial].[Month Name].&amp;[January]&amp;[2005-06]" c="January" nd="1">
                <p n="[Monthly Calendar].[Financial].[Quarter].&amp;[Q4]&amp;[2005-06]"/>
                <p n="[Monthly Calendar].[Financial].[Year].&amp;[2005-06]"/>
              </i>
              <i n="[Monthly Calendar].[Financial].[Month Name].&amp;[February]&amp;[2005-06]" c="February" nd="1">
                <p n="[Monthly Calendar].[Financial].[Quarter].&amp;[Q4]&amp;[2005-06]"/>
                <p n="[Monthly Calendar].[Financial].[Year].&amp;[2005-06]"/>
              </i>
              <i n="[Monthly Calendar].[Financial].[Month Name].&amp;[March]&amp;[2005-06]" c="March" nd="1">
                <p n="[Monthly Calendar].[Financial].[Quarter].&amp;[Q4]&amp;[2005-06]"/>
                <p n="[Monthly Calendar].[Financial].[Year].&amp;[2005-06]"/>
              </i>
              <i n="[Monthly Calendar].[Financial].[Month Name].&amp;[April]&amp;[2006-07]" c="April" nd="1">
                <p n="[Monthly Calendar].[Financial].[Quarter].&amp;[Q1]&amp;[2006-07]"/>
                <p n="[Monthly Calendar].[Financial].[Year].&amp;[2006-07]"/>
              </i>
              <i n="[Monthly Calendar].[Financial].[Month Name].&amp;[May]&amp;[2006-07]" c="May" nd="1">
                <p n="[Monthly Calendar].[Financial].[Quarter].&amp;[Q1]&amp;[2006-07]"/>
                <p n="[Monthly Calendar].[Financial].[Year].&amp;[2006-07]"/>
              </i>
              <i n="[Monthly Calendar].[Financial].[Month Name].&amp;[June]&amp;[2006-07]" c="June" nd="1">
                <p n="[Monthly Calendar].[Financial].[Quarter].&amp;[Q1]&amp;[2006-07]"/>
                <p n="[Monthly Calendar].[Financial].[Year].&amp;[2006-07]"/>
              </i>
              <i n="[Monthly Calendar].[Financial].[Month Name].&amp;[July]&amp;[2006-07]" c="July" nd="1">
                <p n="[Monthly Calendar].[Financial].[Quarter].&amp;[Q2]&amp;[2006-07]"/>
                <p n="[Monthly Calendar].[Financial].[Year].&amp;[2006-07]"/>
              </i>
              <i n="[Monthly Calendar].[Financial].[Month Name].&amp;[August]&amp;[2006-07]" c="August" nd="1">
                <p n="[Monthly Calendar].[Financial].[Quarter].&amp;[Q2]&amp;[2006-07]"/>
                <p n="[Monthly Calendar].[Financial].[Year].&amp;[2006-07]"/>
              </i>
              <i n="[Monthly Calendar].[Financial].[Month Name].&amp;[September]&amp;[2006-07]" c="September" nd="1">
                <p n="[Monthly Calendar].[Financial].[Quarter].&amp;[Q2]&amp;[2006-07]"/>
                <p n="[Monthly Calendar].[Financial].[Year].&amp;[2006-07]"/>
              </i>
              <i n="[Monthly Calendar].[Financial].[Month Name].&amp;[October]&amp;[2006-07]" c="October" nd="1">
                <p n="[Monthly Calendar].[Financial].[Quarter].&amp;[Q3]&amp;[2006-07]"/>
                <p n="[Monthly Calendar].[Financial].[Year].&amp;[2006-07]"/>
              </i>
              <i n="[Monthly Calendar].[Financial].[Month Name].&amp;[November]&amp;[2006-07]" c="November" nd="1">
                <p n="[Monthly Calendar].[Financial].[Quarter].&amp;[Q3]&amp;[2006-07]"/>
                <p n="[Monthly Calendar].[Financial].[Year].&amp;[2006-07]"/>
              </i>
              <i n="[Monthly Calendar].[Financial].[Month Name].&amp;[December]&amp;[2006-07]" c="December" nd="1">
                <p n="[Monthly Calendar].[Financial].[Quarter].&amp;[Q3]&amp;[2006-07]"/>
                <p n="[Monthly Calendar].[Financial].[Year].&amp;[2006-07]"/>
              </i>
              <i n="[Monthly Calendar].[Financial].[Month Name].&amp;[January]&amp;[2006-07]" c="January" nd="1">
                <p n="[Monthly Calendar].[Financial].[Quarter].&amp;[Q4]&amp;[2006-07]"/>
                <p n="[Monthly Calendar].[Financial].[Year].&amp;[2006-07]"/>
              </i>
              <i n="[Monthly Calendar].[Financial].[Month Name].&amp;[February]&amp;[2006-07]" c="February" nd="1">
                <p n="[Monthly Calendar].[Financial].[Quarter].&amp;[Q4]&amp;[2006-07]"/>
                <p n="[Monthly Calendar].[Financial].[Year].&amp;[2006-07]"/>
              </i>
              <i n="[Monthly Calendar].[Financial].[Month Name].&amp;[March]&amp;[2006-07]" c="March" nd="1">
                <p n="[Monthly Calendar].[Financial].[Quarter].&amp;[Q4]&amp;[2006-07]"/>
                <p n="[Monthly Calendar].[Financial].[Year].&amp;[2006-07]"/>
              </i>
              <i n="[Monthly Calendar].[Financial].[Month Name].&amp;[April]&amp;[2007-08]" c="April" nd="1">
                <p n="[Monthly Calendar].[Financial].[Quarter].&amp;[Q1]&amp;[2007-08]"/>
                <p n="[Monthly Calendar].[Financial].[Year].&amp;[2007-08]"/>
              </i>
              <i n="[Monthly Calendar].[Financial].[Month Name].&amp;[May]&amp;[2007-08]" c="May" nd="1">
                <p n="[Monthly Calendar].[Financial].[Quarter].&amp;[Q1]&amp;[2007-08]"/>
                <p n="[Monthly Calendar].[Financial].[Year].&amp;[2007-08]"/>
              </i>
              <i n="[Monthly Calendar].[Financial].[Month Name].&amp;[June]&amp;[2007-08]" c="June" nd="1">
                <p n="[Monthly Calendar].[Financial].[Quarter].&amp;[Q1]&amp;[2007-08]"/>
                <p n="[Monthly Calendar].[Financial].[Year].&amp;[2007-08]"/>
              </i>
              <i n="[Monthly Calendar].[Financial].[Month Name].&amp;[July]&amp;[2007-08]" c="July" nd="1">
                <p n="[Monthly Calendar].[Financial].[Quarter].&amp;[Q2]&amp;[2007-08]"/>
                <p n="[Monthly Calendar].[Financial].[Year].&amp;[2007-08]"/>
              </i>
              <i n="[Monthly Calendar].[Financial].[Month Name].&amp;[August]&amp;[2007-08]" c="August" nd="1">
                <p n="[Monthly Calendar].[Financial].[Quarter].&amp;[Q2]&amp;[2007-08]"/>
                <p n="[Monthly Calendar].[Financial].[Year].&amp;[2007-08]"/>
              </i>
              <i n="[Monthly Calendar].[Financial].[Month Name].&amp;[September]&amp;[2007-08]" c="September" nd="1">
                <p n="[Monthly Calendar].[Financial].[Quarter].&amp;[Q2]&amp;[2007-08]"/>
                <p n="[Monthly Calendar].[Financial].[Year].&amp;[2007-08]"/>
              </i>
              <i n="[Monthly Calendar].[Financial].[Month Name].&amp;[October]&amp;[2007-08]" c="October" nd="1">
                <p n="[Monthly Calendar].[Financial].[Quarter].&amp;[Q3]&amp;[2007-08]"/>
                <p n="[Monthly Calendar].[Financial].[Year].&amp;[2007-08]"/>
              </i>
              <i n="[Monthly Calendar].[Financial].[Month Name].&amp;[November]&amp;[2007-08]" c="November" nd="1">
                <p n="[Monthly Calendar].[Financial].[Quarter].&amp;[Q3]&amp;[2007-08]"/>
                <p n="[Monthly Calendar].[Financial].[Year].&amp;[2007-08]"/>
              </i>
              <i n="[Monthly Calendar].[Financial].[Month Name].&amp;[December]&amp;[2007-08]" c="December" nd="1">
                <p n="[Monthly Calendar].[Financial].[Quarter].&amp;[Q3]&amp;[2007-08]"/>
                <p n="[Monthly Calendar].[Financial].[Year].&amp;[2007-08]"/>
              </i>
              <i n="[Monthly Calendar].[Financial].[Month Name].&amp;[January]&amp;[2007-08]" c="January" nd="1">
                <p n="[Monthly Calendar].[Financial].[Quarter].&amp;[Q4]&amp;[2007-08]"/>
                <p n="[Monthly Calendar].[Financial].[Year].&amp;[2007-08]"/>
              </i>
              <i n="[Monthly Calendar].[Financial].[Month Name].&amp;[February]&amp;[2007-08]" c="February" nd="1">
                <p n="[Monthly Calendar].[Financial].[Quarter].&amp;[Q4]&amp;[2007-08]"/>
                <p n="[Monthly Calendar].[Financial].[Year].&amp;[2007-08]"/>
              </i>
              <i n="[Monthly Calendar].[Financial].[Month Name].&amp;[March]&amp;[2007-08]" c="March" nd="1">
                <p n="[Monthly Calendar].[Financial].[Quarter].&amp;[Q4]&amp;[2007-08]"/>
                <p n="[Monthly Calendar].[Financial].[Year].&amp;[2007-08]"/>
              </i>
              <i n="[Monthly Calendar].[Financial].[Month Name].&amp;[April]&amp;[2008-09]" c="April" nd="1">
                <p n="[Monthly Calendar].[Financial].[Quarter].&amp;[Q1]&amp;[2008-09]"/>
                <p n="[Monthly Calendar].[Financial].[Year].&amp;[2008-09]"/>
              </i>
              <i n="[Monthly Calendar].[Financial].[Month Name].&amp;[May]&amp;[2008-09]" c="May" nd="1">
                <p n="[Monthly Calendar].[Financial].[Quarter].&amp;[Q1]&amp;[2008-09]"/>
                <p n="[Monthly Calendar].[Financial].[Year].&amp;[2008-09]"/>
              </i>
              <i n="[Monthly Calendar].[Financial].[Month Name].&amp;[June]&amp;[2008-09]" c="June" nd="1">
                <p n="[Monthly Calendar].[Financial].[Quarter].&amp;[Q1]&amp;[2008-09]"/>
                <p n="[Monthly Calendar].[Financial].[Year].&amp;[2008-09]"/>
              </i>
              <i n="[Monthly Calendar].[Financial].[Month Name].&amp;[July]&amp;[2008-09]" c="July" nd="1">
                <p n="[Monthly Calendar].[Financial].[Quarter].&amp;[Q2]&amp;[2008-09]"/>
                <p n="[Monthly Calendar].[Financial].[Year].&amp;[2008-09]"/>
              </i>
              <i n="[Monthly Calendar].[Financial].[Month Name].&amp;[August]&amp;[2008-09]" c="August" nd="1">
                <p n="[Monthly Calendar].[Financial].[Quarter].&amp;[Q2]&amp;[2008-09]"/>
                <p n="[Monthly Calendar].[Financial].[Year].&amp;[2008-09]"/>
              </i>
              <i n="[Monthly Calendar].[Financial].[Month Name].&amp;[September]&amp;[2008-09]" c="September" nd="1">
                <p n="[Monthly Calendar].[Financial].[Quarter].&amp;[Q2]&amp;[2008-09]"/>
                <p n="[Monthly Calendar].[Financial].[Year].&amp;[2008-09]"/>
              </i>
              <i n="[Monthly Calendar].[Financial].[Month Name].&amp;[October]&amp;[2008-09]" c="October" nd="1">
                <p n="[Monthly Calendar].[Financial].[Quarter].&amp;[Q3]&amp;[2008-09]"/>
                <p n="[Monthly Calendar].[Financial].[Year].&amp;[2008-09]"/>
              </i>
              <i n="[Monthly Calendar].[Financial].[Month Name].&amp;[November]&amp;[2008-09]" c="November" nd="1">
                <p n="[Monthly Calendar].[Financial].[Quarter].&amp;[Q3]&amp;[2008-09]"/>
                <p n="[Monthly Calendar].[Financial].[Year].&amp;[2008-09]"/>
              </i>
              <i n="[Monthly Calendar].[Financial].[Month Name].&amp;[December]&amp;[2008-09]" c="December" nd="1">
                <p n="[Monthly Calendar].[Financial].[Quarter].&amp;[Q3]&amp;[2008-09]"/>
                <p n="[Monthly Calendar].[Financial].[Year].&amp;[2008-09]"/>
              </i>
              <i n="[Monthly Calendar].[Financial].[Month Name].&amp;[January]&amp;[2008-09]" c="January" nd="1">
                <p n="[Monthly Calendar].[Financial].[Quarter].&amp;[Q4]&amp;[2008-09]"/>
                <p n="[Monthly Calendar].[Financial].[Year].&amp;[2008-09]"/>
              </i>
              <i n="[Monthly Calendar].[Financial].[Month Name].&amp;[February]&amp;[2008-09]" c="February" nd="1">
                <p n="[Monthly Calendar].[Financial].[Quarter].&amp;[Q4]&amp;[2008-09]"/>
                <p n="[Monthly Calendar].[Financial].[Year].&amp;[2008-09]"/>
              </i>
              <i n="[Monthly Calendar].[Financial].[Month Name].&amp;[March]&amp;[2008-09]" c="March" nd="1">
                <p n="[Monthly Calendar].[Financial].[Quarter].&amp;[Q4]&amp;[2008-09]"/>
                <p n="[Monthly Calendar].[Financial].[Year].&amp;[2008-09]"/>
              </i>
              <i n="[Monthly Calendar].[Financial].[Month Name].&amp;[April]&amp;[2009-10]" c="April" nd="1">
                <p n="[Monthly Calendar].[Financial].[Quarter].&amp;[Q1]&amp;[2009-10]"/>
                <p n="[Monthly Calendar].[Financial].[Year].&amp;[2009-10]"/>
              </i>
              <i n="[Monthly Calendar].[Financial].[Month Name].&amp;[May]&amp;[2009-10]" c="May" nd="1">
                <p n="[Monthly Calendar].[Financial].[Quarter].&amp;[Q1]&amp;[2009-10]"/>
                <p n="[Monthly Calendar].[Financial].[Year].&amp;[2009-10]"/>
              </i>
              <i n="[Monthly Calendar].[Financial].[Month Name].&amp;[June]&amp;[2009-10]" c="June" nd="1">
                <p n="[Monthly Calendar].[Financial].[Quarter].&amp;[Q1]&amp;[2009-10]"/>
                <p n="[Monthly Calendar].[Financial].[Year].&amp;[2009-10]"/>
              </i>
              <i n="[Monthly Calendar].[Financial].[Month Name].&amp;[July]&amp;[2009-10]" c="July" nd="1">
                <p n="[Monthly Calendar].[Financial].[Quarter].&amp;[Q2]&amp;[2009-10]"/>
                <p n="[Monthly Calendar].[Financial].[Year].&amp;[2009-10]"/>
              </i>
              <i n="[Monthly Calendar].[Financial].[Month Name].&amp;[August]&amp;[2009-10]" c="August" nd="1">
                <p n="[Monthly Calendar].[Financial].[Quarter].&amp;[Q2]&amp;[2009-10]"/>
                <p n="[Monthly Calendar].[Financial].[Year].&amp;[2009-10]"/>
              </i>
              <i n="[Monthly Calendar].[Financial].[Month Name].&amp;[September]&amp;[2009-10]" c="September" nd="1">
                <p n="[Monthly Calendar].[Financial].[Quarter].&amp;[Q2]&amp;[2009-10]"/>
                <p n="[Monthly Calendar].[Financial].[Year].&amp;[2009-10]"/>
              </i>
              <i n="[Monthly Calendar].[Financial].[Month Name].&amp;[October]&amp;[2009-10]" c="October" nd="1">
                <p n="[Monthly Calendar].[Financial].[Quarter].&amp;[Q3]&amp;[2009-10]"/>
                <p n="[Monthly Calendar].[Financial].[Year].&amp;[2009-10]"/>
              </i>
              <i n="[Monthly Calendar].[Financial].[Month Name].&amp;[November]&amp;[2009-10]" c="November" nd="1">
                <p n="[Monthly Calendar].[Financial].[Quarter].&amp;[Q3]&amp;[2009-10]"/>
                <p n="[Monthly Calendar].[Financial].[Year].&amp;[2009-10]"/>
              </i>
              <i n="[Monthly Calendar].[Financial].[Month Name].&amp;[December]&amp;[2009-10]" c="December" nd="1">
                <p n="[Monthly Calendar].[Financial].[Quarter].&amp;[Q3]&amp;[2009-10]"/>
                <p n="[Monthly Calendar].[Financial].[Year].&amp;[2009-10]"/>
              </i>
              <i n="[Monthly Calendar].[Financial].[Month Name].&amp;[January]&amp;[2009-10]" c="January" nd="1">
                <p n="[Monthly Calendar].[Financial].[Quarter].&amp;[Q4]&amp;[2009-10]"/>
                <p n="[Monthly Calendar].[Financial].[Year].&amp;[2009-10]"/>
              </i>
              <i n="[Monthly Calendar].[Financial].[Month Name].&amp;[February]&amp;[2009-10]" c="February" nd="1">
                <p n="[Monthly Calendar].[Financial].[Quarter].&amp;[Q4]&amp;[2009-10]"/>
                <p n="[Monthly Calendar].[Financial].[Year].&amp;[2009-10]"/>
              </i>
              <i n="[Monthly Calendar].[Financial].[Month Name].&amp;[March]&amp;[2009-10]" c="March" nd="1">
                <p n="[Monthly Calendar].[Financial].[Quarter].&amp;[Q4]&amp;[2009-10]"/>
                <p n="[Monthly Calendar].[Financial].[Year].&amp;[2009-10]"/>
              </i>
              <i n="[Monthly Calendar].[Financial].[Month Name].&amp;[April]&amp;[2010-11]" c="April" nd="1">
                <p n="[Monthly Calendar].[Financial].[Quarter].&amp;[Q1]&amp;[2010-11]"/>
                <p n="[Monthly Calendar].[Financial].[Year].&amp;[2010-11]"/>
              </i>
              <i n="[Monthly Calendar].[Financial].[Month Name].&amp;[May]&amp;[2010-11]" c="May" nd="1">
                <p n="[Monthly Calendar].[Financial].[Quarter].&amp;[Q1]&amp;[2010-11]"/>
                <p n="[Monthly Calendar].[Financial].[Year].&amp;[2010-11]"/>
              </i>
              <i n="[Monthly Calendar].[Financial].[Month Name].&amp;[June]&amp;[2010-11]" c="June" nd="1">
                <p n="[Monthly Calendar].[Financial].[Quarter].&amp;[Q1]&amp;[2010-11]"/>
                <p n="[Monthly Calendar].[Financial].[Year].&amp;[2010-11]"/>
              </i>
              <i n="[Monthly Calendar].[Financial].[Month Name].&amp;[July]&amp;[2010-11]" c="July" nd="1">
                <p n="[Monthly Calendar].[Financial].[Quarter].&amp;[Q2]&amp;[2010-11]"/>
                <p n="[Monthly Calendar].[Financial].[Year].&amp;[2010-11]"/>
              </i>
              <i n="[Monthly Calendar].[Financial].[Month Name].&amp;[August]&amp;[2010-11]" c="August" nd="1">
                <p n="[Monthly Calendar].[Financial].[Quarter].&amp;[Q2]&amp;[2010-11]"/>
                <p n="[Monthly Calendar].[Financial].[Year].&amp;[2010-11]"/>
              </i>
              <i n="[Monthly Calendar].[Financial].[Month Name].&amp;[September]&amp;[2010-11]" c="September" nd="1">
                <p n="[Monthly Calendar].[Financial].[Quarter].&amp;[Q2]&amp;[2010-11]"/>
                <p n="[Monthly Calendar].[Financial].[Year].&amp;[2010-11]"/>
              </i>
              <i n="[Monthly Calendar].[Financial].[Month Name].&amp;[October]&amp;[2010-11]" c="October" nd="1">
                <p n="[Monthly Calendar].[Financial].[Quarter].&amp;[Q3]&amp;[2010-11]"/>
                <p n="[Monthly Calendar].[Financial].[Year].&amp;[2010-11]"/>
              </i>
              <i n="[Monthly Calendar].[Financial].[Month Name].&amp;[November]&amp;[2010-11]" c="November" nd="1">
                <p n="[Monthly Calendar].[Financial].[Quarter].&amp;[Q3]&amp;[2010-11]"/>
                <p n="[Monthly Calendar].[Financial].[Year].&amp;[2010-11]"/>
              </i>
              <i n="[Monthly Calendar].[Financial].[Month Name].&amp;[December]&amp;[2010-11]" c="December" nd="1">
                <p n="[Monthly Calendar].[Financial].[Quarter].&amp;[Q3]&amp;[2010-11]"/>
                <p n="[Monthly Calendar].[Financial].[Year].&amp;[2010-11]"/>
              </i>
              <i n="[Monthly Calendar].[Financial].[Month Name].&amp;[January]&amp;[2010-11]" c="January" nd="1">
                <p n="[Monthly Calendar].[Financial].[Quarter].&amp;[Q4]&amp;[2010-11]"/>
                <p n="[Monthly Calendar].[Financial].[Year].&amp;[2010-11]"/>
              </i>
              <i n="[Monthly Calendar].[Financial].[Month Name].&amp;[February]&amp;[2010-11]" c="February" nd="1">
                <p n="[Monthly Calendar].[Financial].[Quarter].&amp;[Q4]&amp;[2010-11]"/>
                <p n="[Monthly Calendar].[Financial].[Year].&amp;[2010-11]"/>
              </i>
              <i n="[Monthly Calendar].[Financial].[Month Name].&amp;[March]&amp;[2010-11]" c="March" nd="1">
                <p n="[Monthly Calendar].[Financial].[Quarter].&amp;[Q4]&amp;[2010-11]"/>
                <p n="[Monthly Calendar].[Financial].[Year].&amp;[2010-11]"/>
              </i>
              <i n="[Monthly Calendar].[Financial].[Month Name].&amp;[April]&amp;[2011-12]" c="April" nd="1">
                <p n="[Monthly Calendar].[Financial].[Quarter].&amp;[Q1]&amp;[2011-12]"/>
                <p n="[Monthly Calendar].[Financial].[Year].&amp;[2011-12]"/>
              </i>
              <i n="[Monthly Calendar].[Financial].[Month Name].&amp;[May]&amp;[2011-12]" c="May" nd="1">
                <p n="[Monthly Calendar].[Financial].[Quarter].&amp;[Q1]&amp;[2011-12]"/>
                <p n="[Monthly Calendar].[Financial].[Year].&amp;[2011-12]"/>
              </i>
              <i n="[Monthly Calendar].[Financial].[Month Name].&amp;[June]&amp;[2011-12]" c="June" nd="1">
                <p n="[Monthly Calendar].[Financial].[Quarter].&amp;[Q1]&amp;[2011-12]"/>
                <p n="[Monthly Calendar].[Financial].[Year].&amp;[2011-12]"/>
              </i>
              <i n="[Monthly Calendar].[Financial].[Month Name].&amp;[July]&amp;[2011-12]" c="July" nd="1">
                <p n="[Monthly Calendar].[Financial].[Quarter].&amp;[Q2]&amp;[2011-12]"/>
                <p n="[Monthly Calendar].[Financial].[Year].&amp;[2011-12]"/>
              </i>
              <i n="[Monthly Calendar].[Financial].[Month Name].&amp;[August]&amp;[2011-12]" c="August" nd="1">
                <p n="[Monthly Calendar].[Financial].[Quarter].&amp;[Q2]&amp;[2011-12]"/>
                <p n="[Monthly Calendar].[Financial].[Year].&amp;[2011-12]"/>
              </i>
              <i n="[Monthly Calendar].[Financial].[Month Name].&amp;[September]&amp;[2011-12]" c="September" nd="1">
                <p n="[Monthly Calendar].[Financial].[Quarter].&amp;[Q2]&amp;[2011-12]"/>
                <p n="[Monthly Calendar].[Financial].[Year].&amp;[2011-12]"/>
              </i>
              <i n="[Monthly Calendar].[Financial].[Month Name].&amp;[October]&amp;[2011-12]" c="October" nd="1">
                <p n="[Monthly Calendar].[Financial].[Quarter].&amp;[Q3]&amp;[2011-12]"/>
                <p n="[Monthly Calendar].[Financial].[Year].&amp;[2011-12]"/>
              </i>
              <i n="[Monthly Calendar].[Financial].[Month Name].&amp;[November]&amp;[2011-12]" c="November" nd="1">
                <p n="[Monthly Calendar].[Financial].[Quarter].&amp;[Q3]&amp;[2011-12]"/>
                <p n="[Monthly Calendar].[Financial].[Year].&amp;[2011-12]"/>
              </i>
              <i n="[Monthly Calendar].[Financial].[Month Name].&amp;[December]&amp;[2011-12]" c="December" nd="1">
                <p n="[Monthly Calendar].[Financial].[Quarter].&amp;[Q3]&amp;[2011-12]"/>
                <p n="[Monthly Calendar].[Financial].[Year].&amp;[2011-12]"/>
              </i>
              <i n="[Monthly Calendar].[Financial].[Month Name].&amp;[January]&amp;[2011-12]" c="January" nd="1">
                <p n="[Monthly Calendar].[Financial].[Quarter].&amp;[Q4]&amp;[2011-12]"/>
                <p n="[Monthly Calendar].[Financial].[Year].&amp;[2011-12]"/>
              </i>
              <i n="[Monthly Calendar].[Financial].[Month Name].&amp;[February]&amp;[2011-12]" c="February" nd="1">
                <p n="[Monthly Calendar].[Financial].[Quarter].&amp;[Q4]&amp;[2011-12]"/>
                <p n="[Monthly Calendar].[Financial].[Year].&amp;[2011-12]"/>
              </i>
              <i n="[Monthly Calendar].[Financial].[Month Name].&amp;[March]&amp;[2011-12]" c="March" nd="1">
                <p n="[Monthly Calendar].[Financial].[Quarter].&amp;[Q4]&amp;[2011-12]"/>
                <p n="[Monthly Calendar].[Financial].[Year].&amp;[2011-12]"/>
              </i>
              <i n="[Monthly Calendar].[Financial].[Month Name].&amp;[April]&amp;[2012-13]" c="April" nd="1">
                <p n="[Monthly Calendar].[Financial].[Quarter].&amp;[Q1]&amp;[2012-13]"/>
                <p n="[Monthly Calendar].[Financial].[Year].&amp;[2012-13]"/>
              </i>
              <i n="[Monthly Calendar].[Financial].[Month Name].&amp;[May]&amp;[2012-13]" c="May" nd="1">
                <p n="[Monthly Calendar].[Financial].[Quarter].&amp;[Q1]&amp;[2012-13]"/>
                <p n="[Monthly Calendar].[Financial].[Year].&amp;[2012-13]"/>
              </i>
              <i n="[Monthly Calendar].[Financial].[Month Name].&amp;[June]&amp;[2012-13]" c="June" nd="1">
                <p n="[Monthly Calendar].[Financial].[Quarter].&amp;[Q1]&amp;[2012-13]"/>
                <p n="[Monthly Calendar].[Financial].[Year].&amp;[2012-13]"/>
              </i>
              <i n="[Monthly Calendar].[Financial].[Month Name].&amp;[July]&amp;[2012-13]" c="July" nd="1">
                <p n="[Monthly Calendar].[Financial].[Quarter].&amp;[Q2]&amp;[2012-13]"/>
                <p n="[Monthly Calendar].[Financial].[Year].&amp;[2012-13]"/>
              </i>
              <i n="[Monthly Calendar].[Financial].[Month Name].&amp;[August]&amp;[2012-13]" c="August" nd="1">
                <p n="[Monthly Calendar].[Financial].[Quarter].&amp;[Q2]&amp;[2012-13]"/>
                <p n="[Monthly Calendar].[Financial].[Year].&amp;[2012-13]"/>
              </i>
              <i n="[Monthly Calendar].[Financial].[Month Name].&amp;[September]&amp;[2012-13]" c="September" nd="1">
                <p n="[Monthly Calendar].[Financial].[Quarter].&amp;[Q2]&amp;[2012-13]"/>
                <p n="[Monthly Calendar].[Financial].[Year].&amp;[2012-13]"/>
              </i>
              <i n="[Monthly Calendar].[Financial].[Month Name].&amp;[October]&amp;[2012-13]" c="October" nd="1">
                <p n="[Monthly Calendar].[Financial].[Quarter].&amp;[Q3]&amp;[2012-13]"/>
                <p n="[Monthly Calendar].[Financial].[Year].&amp;[2012-13]"/>
              </i>
              <i n="[Monthly Calendar].[Financial].[Month Name].&amp;[November]&amp;[2012-13]" c="November" nd="1">
                <p n="[Monthly Calendar].[Financial].[Quarter].&amp;[Q3]&amp;[2012-13]"/>
                <p n="[Monthly Calendar].[Financial].[Year].&amp;[2012-13]"/>
              </i>
              <i n="[Monthly Calendar].[Financial].[Month Name].&amp;[December]&amp;[2012-13]" c="December" nd="1">
                <p n="[Monthly Calendar].[Financial].[Quarter].&amp;[Q3]&amp;[2012-13]"/>
                <p n="[Monthly Calendar].[Financial].[Year].&amp;[2012-13]"/>
              </i>
              <i n="[Monthly Calendar].[Financial].[Month Name].&amp;[January]&amp;[2012-13]" c="January" nd="1">
                <p n="[Monthly Calendar].[Financial].[Quarter].&amp;[Q4]&amp;[2012-13]"/>
                <p n="[Monthly Calendar].[Financial].[Year].&amp;[2012-13]"/>
              </i>
              <i n="[Monthly Calendar].[Financial].[Month Name].&amp;[February]&amp;[2012-13]" c="February" nd="1">
                <p n="[Monthly Calendar].[Financial].[Quarter].&amp;[Q4]&amp;[2012-13]"/>
                <p n="[Monthly Calendar].[Financial].[Year].&amp;[2012-13]"/>
              </i>
              <i n="[Monthly Calendar].[Financial].[Month Name].&amp;[March]&amp;[2012-13]" c="March" nd="1">
                <p n="[Monthly Calendar].[Financial].[Quarter].&amp;[Q4]&amp;[2012-13]"/>
                <p n="[Monthly Calendar].[Financial].[Year].&amp;[2012-13]"/>
              </i>
              <i n="[Monthly Calendar].[Financial].[Month Name].&amp;[April]&amp;[2013-14]" c="April" nd="1">
                <p n="[Monthly Calendar].[Financial].[Quarter].&amp;[Q1]&amp;[2013-14]"/>
                <p n="[Monthly Calendar].[Financial].[Year].&amp;[2013-14]"/>
              </i>
              <i n="[Monthly Calendar].[Financial].[Month Name].&amp;[May]&amp;[2013-14]" c="May" nd="1">
                <p n="[Monthly Calendar].[Financial].[Quarter].&amp;[Q1]&amp;[2013-14]"/>
                <p n="[Monthly Calendar].[Financial].[Year].&amp;[2013-14]"/>
              </i>
              <i n="[Monthly Calendar].[Financial].[Month Name].&amp;[June]&amp;[2013-14]" c="June" nd="1">
                <p n="[Monthly Calendar].[Financial].[Quarter].&amp;[Q1]&amp;[2013-14]"/>
                <p n="[Monthly Calendar].[Financial].[Year].&amp;[2013-14]"/>
              </i>
              <i n="[Monthly Calendar].[Financial].[Month Name].&amp;[July]&amp;[2013-14]" c="July" nd="1">
                <p n="[Monthly Calendar].[Financial].[Quarter].&amp;[Q2]&amp;[2013-14]"/>
                <p n="[Monthly Calendar].[Financial].[Year].&amp;[2013-14]"/>
              </i>
              <i n="[Monthly Calendar].[Financial].[Month Name].&amp;[August]&amp;[2013-14]" c="August" nd="1">
                <p n="[Monthly Calendar].[Financial].[Quarter].&amp;[Q2]&amp;[2013-14]"/>
                <p n="[Monthly Calendar].[Financial].[Year].&amp;[2013-14]"/>
              </i>
              <i n="[Monthly Calendar].[Financial].[Month Name].&amp;[September]&amp;[2013-14]" c="September" nd="1">
                <p n="[Monthly Calendar].[Financial].[Quarter].&amp;[Q2]&amp;[2013-14]"/>
                <p n="[Monthly Calendar].[Financial].[Year].&amp;[2013-14]"/>
              </i>
              <i n="[Monthly Calendar].[Financial].[Month Name].&amp;[May]&amp;[2017-18]" c="May" nd="1">
                <p n="[Monthly Calendar].[Financial].[Quarter].&amp;[Q1]&amp;[2017-18]"/>
                <p n="[Monthly Calendar].[Financial].[Year].&amp;[2017-18]"/>
              </i>
              <i n="[Monthly Calendar].[Financial].[Month Name].&amp;[June]&amp;[2017-18]" c="June" nd="1">
                <p n="[Monthly Calendar].[Financial].[Quarter].&amp;[Q1]&amp;[2017-18]"/>
                <p n="[Monthly Calendar].[Financial].[Year].&amp;[2017-18]"/>
              </i>
              <i n="[Monthly Calendar].[Financial].[Month Name].&amp;[July]&amp;[2017-18]" c="July" nd="1">
                <p n="[Monthly Calendar].[Financial].[Quarter].&amp;[Q2]&amp;[2017-18]"/>
                <p n="[Monthly Calendar].[Financial].[Year].&amp;[2017-18]"/>
              </i>
              <i n="[Monthly Calendar].[Financial].[Month Name].&amp;[August]&amp;[2017-18]" c="August" nd="1">
                <p n="[Monthly Calendar].[Financial].[Quarter].&amp;[Q2]&amp;[2017-18]"/>
                <p n="[Monthly Calendar].[Financial].[Year].&amp;[2017-18]"/>
              </i>
              <i n="[Monthly Calendar].[Financial].[Month Name].&amp;[September]&amp;[2017-18]" c="September" nd="1">
                <p n="[Monthly Calendar].[Financial].[Quarter].&amp;[Q2]&amp;[2017-18]"/>
                <p n="[Monthly Calendar].[Financial].[Year].&amp;[2017-18]"/>
              </i>
              <i n="[Monthly Calendar].[Financial].[Month Name].&amp;[October]&amp;[2017-18]" c="October" nd="1">
                <p n="[Monthly Calendar].[Financial].[Quarter].&amp;[Q3]&amp;[2017-18]"/>
                <p n="[Monthly Calendar].[Financial].[Year].&amp;[2017-18]"/>
              </i>
              <i n="[Monthly Calendar].[Financial].[Month Name].&amp;[November]&amp;[2017-18]" c="November" nd="1">
                <p n="[Monthly Calendar].[Financial].[Quarter].&amp;[Q3]&amp;[2017-18]"/>
                <p n="[Monthly Calendar].[Financial].[Year].&amp;[2017-18]"/>
              </i>
              <i n="[Monthly Calendar].[Financial].[Month Name].&amp;[December]&amp;[2017-18]" c="December" nd="1">
                <p n="[Monthly Calendar].[Financial].[Quarter].&amp;[Q3]&amp;[2017-18]"/>
                <p n="[Monthly Calendar].[Financial].[Year].&amp;[2017-18]"/>
              </i>
              <i n="[Monthly Calendar].[Financial].[Month Name].&amp;[January]&amp;[2017-18]" c="January" nd="1">
                <p n="[Monthly Calendar].[Financial].[Quarter].&amp;[Q4]&amp;[2017-18]"/>
                <p n="[Monthly Calendar].[Financial].[Year].&amp;[2017-18]"/>
              </i>
              <i n="[Monthly Calendar].[Financial].[Month Name].&amp;[February]&amp;[2017-18]" c="February" nd="1">
                <p n="[Monthly Calendar].[Financial].[Quarter].&amp;[Q4]&amp;[2017-18]"/>
                <p n="[Monthly Calendar].[Financial].[Year].&amp;[2017-18]"/>
              </i>
              <i n="[Monthly Calendar].[Financial].[Month Name].&amp;[March]&amp;[2017-18]" c="March" nd="1">
                <p n="[Monthly Calendar].[Financial].[Quarter].&amp;[Q4]&amp;[2017-18]"/>
                <p n="[Monthly Calendar].[Financial].[Year].&amp;[2017-18]"/>
              </i>
              <i n="[Monthly Calendar].[Financial].[Month Name].&amp;[April]&amp;[2018-19]" c="April" nd="1">
                <p n="[Monthly Calendar].[Financial].[Quarter].&amp;[Q1]&amp;[2018-19]"/>
                <p n="[Monthly Calendar].[Financial].[Year].&amp;[2018-19]"/>
              </i>
              <i n="[Monthly Calendar].[Financial].[Month Name].&amp;[May]&amp;[2018-19]" c="May" nd="1">
                <p n="[Monthly Calendar].[Financial].[Quarter].&amp;[Q1]&amp;[2018-19]"/>
                <p n="[Monthly Calendar].[Financial].[Year].&amp;[2018-19]"/>
              </i>
              <i n="[Monthly Calendar].[Financial].[Month Name].&amp;[June]&amp;[2018-19]" c="June" nd="1">
                <p n="[Monthly Calendar].[Financial].[Quarter].&amp;[Q1]&amp;[2018-19]"/>
                <p n="[Monthly Calendar].[Financial].[Year].&amp;[2018-19]"/>
              </i>
              <i n="[Monthly Calendar].[Financial].[Month Name].&amp;[July]&amp;[2018-19]" c="July" nd="1">
                <p n="[Monthly Calendar].[Financial].[Quarter].&amp;[Q2]&amp;[2018-19]"/>
                <p n="[Monthly Calendar].[Financial].[Year].&amp;[2018-19]"/>
              </i>
              <i n="[Monthly Calendar].[Financial].[Month Name].&amp;[August]&amp;[2018-19]" c="August" nd="1">
                <p n="[Monthly Calendar].[Financial].[Quarter].&amp;[Q2]&amp;[2018-19]"/>
                <p n="[Monthly Calendar].[Financial].[Year].&amp;[2018-19]"/>
              </i>
              <i n="[Monthly Calendar].[Financial].[Month Name].&amp;[September]&amp;[2018-19]" c="September" nd="1">
                <p n="[Monthly Calendar].[Financial].[Quarter].&amp;[Q2]&amp;[2018-19]"/>
                <p n="[Monthly Calendar].[Financial].[Year].&amp;[2018-19]"/>
              </i>
              <i n="[Monthly Calendar].[Financial].[Month Name].&amp;[October]&amp;[2018-19]" c="October" nd="1">
                <p n="[Monthly Calendar].[Financial].[Quarter].&amp;[Q3]&amp;[2018-19]"/>
                <p n="[Monthly Calendar].[Financial].[Year].&amp;[2018-19]"/>
              </i>
              <i n="[Monthly Calendar].[Financial].[Month Name].&amp;[November]&amp;[2018-19]" c="November" nd="1">
                <p n="[Monthly Calendar].[Financial].[Quarter].&amp;[Q3]&amp;[2018-19]"/>
                <p n="[Monthly Calendar].[Financial].[Year].&amp;[2018-19]"/>
              </i>
              <i n="[Monthly Calendar].[Financial].[Month Name].&amp;[December]&amp;[2018-19]" c="December" nd="1">
                <p n="[Monthly Calendar].[Financial].[Quarter].&amp;[Q3]&amp;[2018-19]"/>
                <p n="[Monthly Calendar].[Financial].[Year].&amp;[2018-19]"/>
              </i>
              <i n="[Monthly Calendar].[Financial].[Month Name].&amp;[January]&amp;[2018-19]" c="January" nd="1">
                <p n="[Monthly Calendar].[Financial].[Quarter].&amp;[Q4]&amp;[2018-19]"/>
                <p n="[Monthly Calendar].[Financial].[Year].&amp;[2018-19]"/>
              </i>
              <i n="[Monthly Calendar].[Financial].[Month Name].&amp;[February]&amp;[2018-19]" c="February" nd="1">
                <p n="[Monthly Calendar].[Financial].[Quarter].&amp;[Q4]&amp;[2018-19]"/>
                <p n="[Monthly Calendar].[Financial].[Year].&amp;[2018-19]"/>
              </i>
              <i n="[Monthly Calendar].[Financial].[Month Name].&amp;[March]&amp;[2018-19]" c="March" nd="1">
                <p n="[Monthly Calendar].[Financial].[Quarter].&amp;[Q4]&amp;[2018-19]"/>
                <p n="[Monthly Calendar].[Financial].[Year].&amp;[2018-19]"/>
              </i>
              <i n="[Monthly Calendar].[Financial].[Month Name].&amp;[April]&amp;[2019-20]" c="April" nd="1">
                <p n="[Monthly Calendar].[Financial].[Quarter].&amp;[Q1]&amp;[2019-20]"/>
                <p n="[Monthly Calendar].[Financial].[Year].&amp;[2019-20]"/>
              </i>
              <i n="[Monthly Calendar].[Financial].[Month Name].&amp;[May]&amp;[2019-20]" c="May" nd="1">
                <p n="[Monthly Calendar].[Financial].[Quarter].&amp;[Q1]&amp;[2019-20]"/>
                <p n="[Monthly Calendar].[Financial].[Year].&amp;[2019-20]"/>
              </i>
              <i n="[Monthly Calendar].[Financial].[Month Name].&amp;[June]&amp;[2019-20]" c="June" nd="1">
                <p n="[Monthly Calendar].[Financial].[Quarter].&amp;[Q1]&amp;[2019-20]"/>
                <p n="[Monthly Calendar].[Financial].[Year].&amp;[2019-20]"/>
              </i>
              <i n="[Monthly Calendar].[Financial].[Month Name].&amp;[July]&amp;[2019-20]" c="July" nd="1">
                <p n="[Monthly Calendar].[Financial].[Quarter].&amp;[Q2]&amp;[2019-20]"/>
                <p n="[Monthly Calendar].[Financial].[Year].&amp;[2019-20]"/>
              </i>
              <i n="[Monthly Calendar].[Financial].[Month Name].&amp;[August]&amp;[2019-20]" c="August" nd="1">
                <p n="[Monthly Calendar].[Financial].[Quarter].&amp;[Q2]&amp;[2019-20]"/>
                <p n="[Monthly Calendar].[Financial].[Year].&amp;[2019-20]"/>
              </i>
              <i n="[Monthly Calendar].[Financial].[Month Name].&amp;[September]&amp;[2019-20]" c="September" nd="1">
                <p n="[Monthly Calendar].[Financial].[Quarter].&amp;[Q2]&amp;[2019-20]"/>
                <p n="[Monthly Calendar].[Financial].[Year].&amp;[2019-20]"/>
              </i>
              <i n="[Monthly Calendar].[Financial].[Month Name].&amp;[October]&amp;[2019-20]" c="October" nd="1">
                <p n="[Monthly Calendar].[Financial].[Quarter].&amp;[Q3]&amp;[2019-20]"/>
                <p n="[Monthly Calendar].[Financial].[Year].&amp;[2019-20]"/>
              </i>
              <i n="[Monthly Calendar].[Financial].[Month Name].&amp;[November]&amp;[2019-20]" c="November" nd="1">
                <p n="[Monthly Calendar].[Financial].[Quarter].&amp;[Q3]&amp;[2019-20]"/>
                <p n="[Monthly Calendar].[Financial].[Year].&amp;[2019-20]"/>
              </i>
              <i n="[Monthly Calendar].[Financial].[Month Name].&amp;[December]&amp;[2019-20]" c="December" nd="1">
                <p n="[Monthly Calendar].[Financial].[Quarter].&amp;[Q3]&amp;[2019-20]"/>
                <p n="[Monthly Calendar].[Financial].[Year].&amp;[2019-20]"/>
              </i>
              <i n="[Monthly Calendar].[Financial].[Month Name].&amp;[January]&amp;[2019-20]" c="January" nd="1">
                <p n="[Monthly Calendar].[Financial].[Quarter].&amp;[Q4]&amp;[2019-20]"/>
                <p n="[Monthly Calendar].[Financial].[Year].&amp;[2019-20]"/>
              </i>
              <i n="[Monthly Calendar].[Financial].[Month Name].&amp;[February]&amp;[2019-20]" c="February" nd="1">
                <p n="[Monthly Calendar].[Financial].[Quarter].&amp;[Q4]&amp;[2019-20]"/>
                <p n="[Monthly Calendar].[Financial].[Year].&amp;[2019-20]"/>
              </i>
              <i n="[Monthly Calendar].[Financial].[Month Name].&amp;[March]&amp;[2019-20]" c="March" nd="1">
                <p n="[Monthly Calendar].[Financial].[Quarter].&amp;[Q4]&amp;[2019-20]"/>
                <p n="[Monthly Calendar].[Financial].[Year].&amp;[2019-20]"/>
              </i>
              <i n="[Monthly Calendar].[Financial].[Month Name].&amp;[April]&amp;[2020-21]" c="April" nd="1">
                <p n="[Monthly Calendar].[Financial].[Quarter].&amp;[Q1]&amp;[2020-21]"/>
                <p n="[Monthly Calendar].[Financial].[Year].&amp;[2020-21]"/>
              </i>
              <i n="[Monthly Calendar].[Financial].[Month Name].&amp;[May]&amp;[2020-21]" c="May" nd="1">
                <p n="[Monthly Calendar].[Financial].[Quarter].&amp;[Q1]&amp;[2020-21]"/>
                <p n="[Monthly Calendar].[Financial].[Year].&amp;[2020-21]"/>
              </i>
              <i n="[Monthly Calendar].[Financial].[Month Name].&amp;[June]&amp;[2020-21]" c="June" nd="1">
                <p n="[Monthly Calendar].[Financial].[Quarter].&amp;[Q1]&amp;[2020-21]"/>
                <p n="[Monthly Calendar].[Financial].[Year].&amp;[2020-21]"/>
              </i>
              <i n="[Monthly Calendar].[Financial].[Month Name].&amp;[July]&amp;[2020-21]" c="July" nd="1">
                <p n="[Monthly Calendar].[Financial].[Quarter].&amp;[Q2]&amp;[2020-21]"/>
                <p n="[Monthly Calendar].[Financial].[Year].&amp;[2020-21]"/>
              </i>
              <i n="[Monthly Calendar].[Financial].[Month Name].&amp;[August]&amp;[2020-21]" c="August" nd="1">
                <p n="[Monthly Calendar].[Financial].[Quarter].&amp;[Q2]&amp;[2020-21]"/>
                <p n="[Monthly Calendar].[Financial].[Year].&amp;[2020-21]"/>
              </i>
              <i n="[Monthly Calendar].[Financial].[Month Name].&amp;[September]&amp;[2020-21]" c="September" nd="1">
                <p n="[Monthly Calendar].[Financial].[Quarter].&amp;[Q2]&amp;[2020-21]"/>
                <p n="[Monthly Calendar].[Financial].[Year].&amp;[2020-21]"/>
              </i>
              <i n="[Monthly Calendar].[Financial].[Month Name].&amp;[October]&amp;[2020-21]" c="October" nd="1">
                <p n="[Monthly Calendar].[Financial].[Quarter].&amp;[Q3]&amp;[2020-21]"/>
                <p n="[Monthly Calendar].[Financial].[Year].&amp;[2020-21]"/>
              </i>
              <i n="[Monthly Calendar].[Financial].[Month Name].&amp;[November]&amp;[2020-21]" c="November" nd="1">
                <p n="[Monthly Calendar].[Financial].[Quarter].&amp;[Q3]&amp;[2020-21]"/>
                <p n="[Monthly Calendar].[Financial].[Year].&amp;[2020-21]"/>
              </i>
              <i n="[Monthly Calendar].[Financial].[Month Name].&amp;[December]&amp;[2020-21]" c="December" nd="1">
                <p n="[Monthly Calendar].[Financial].[Quarter].&amp;[Q3]&amp;[2020-21]"/>
                <p n="[Monthly Calendar].[Financial].[Year].&amp;[2020-21]"/>
              </i>
              <i n="[Monthly Calendar].[Financial].[Month Name].&amp;[January]&amp;[2020-21]" c="January" nd="1">
                <p n="[Monthly Calendar].[Financial].[Quarter].&amp;[Q4]&amp;[2020-21]"/>
                <p n="[Monthly Calendar].[Financial].[Year].&amp;[2020-21]"/>
              </i>
              <i n="[Monthly Calendar].[Financial].[Month Name].&amp;[February]&amp;[2020-21]" c="February" nd="1">
                <p n="[Monthly Calendar].[Financial].[Quarter].&amp;[Q4]&amp;[2020-21]"/>
                <p n="[Monthly Calendar].[Financial].[Year].&amp;[2020-21]"/>
              </i>
              <i n="[Monthly Calendar].[Financial].[Month Name].&amp;[March]&amp;[2020-21]" c="March" nd="1">
                <p n="[Monthly Calendar].[Financial].[Quarter].&amp;[Q4]&amp;[2020-21]"/>
                <p n="[Monthly Calendar].[Financial].[Year].&amp;[2020-21]"/>
              </i>
            </range>
          </ranges>
        </level>
      </levels>
      <selections count="1">
        <selection n="[Monthly Calendar].[Financial].[Year].&amp;[2016-17]"/>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er" sourceName="[National Funder].[Funder]">
  <pivotTables>
    <pivotTable tabId="6" name="PivotTable2"/>
    <pivotTable tabId="1" name="PivotTable1"/>
    <pivotTable tabId="2" name="PivotTable5"/>
    <pivotTable tabId="3" name="PivotTable6"/>
    <pivotTable tabId="11" name="PivotTable17"/>
    <pivotTable tabId="12" name="PivotTable2"/>
    <pivotTable tabId="12" name="PivotTable3"/>
    <pivotTable tabId="13" name="PivotTable1"/>
    <pivotTable tabId="14" name="PivotTable2"/>
    <pivotTable tabId="14" name="PivotTable3"/>
    <pivotTable tabId="16" name="PivotTable1"/>
    <pivotTable tabId="16" name="PivotTable2"/>
    <pivotTable tabId="21" name="summarybx"/>
    <pivotTable tabId="21" name="SummaryFunder"/>
    <pivotTable tabId="21" name="summaryperiod"/>
  </pivotTables>
  <data>
    <olap pivotCacheId="55">
      <levels count="2">
        <level uniqueName="[National Funder].[Funder].[(All)]" sourceCaption="(All)" count="0"/>
        <level uniqueName="[National Funder].[Funder].[Funder]" sourceCaption="Funder" count="71">
          <ranges>
            <range startItem="0">
              <i n="[National Funder].[Funder].&amp;[CORE]" c="CORE"/>
              <i n="[National Funder].[Funder].&amp;[Energy Best Deal Extra]" c="Energy Best Deal Extra"/>
              <i n="[National Funder].[Funder].&amp;[Local]" c="Local"/>
              <i n="[National Funder].[Funder].&amp;[MAS DAP - North East]" c="MAS DAP - North East"/>
              <i n="[National Funder].[Funder].&amp;[MAS DAP - Yorks &amp; Humber]" c="MAS DAP - Yorks &amp; Humber"/>
              <i n="[National Funder].[Funder].&amp;[Not recorded/not applicable]" c="Not recorded/not applicable"/>
              <i n="[National Funder].[Funder].&amp;[Pension Wise]" c="Pension Wise"/>
              <i n="[National Funder].[Funder].&amp;[BIG Fund - Advice Services Fund]" c="BIG Fund - Advice Services Fund" nd="1"/>
              <i n="[National Funder].[Funder].&amp;[Big Lottery]" c="Big Lottery" nd="1"/>
              <i n="[National Funder].[Funder].&amp;[Big Lottery - Advice Plus]" c="Big Lottery - Advice Plus" nd="1"/>
              <i n="[National Funder].[Funder].&amp;[Big Lottery - Advice Services Transition Fund]" c="Big Lottery - Advice Services Transition Fund" nd="1"/>
              <i n="[National Funder].[Funder].&amp;[Big Lottery - Awards for All]" c="Big Lottery - Awards for All" nd="1"/>
              <i n="[National Funder].[Funder].&amp;[Big Lottery - Reaching Communities]" c="Big Lottery - Reaching Communities" nd="1"/>
              <i n="[National Funder].[Funder].&amp;[Big Lottery - Transition Fund]" c="Big Lottery - Transition Fund" nd="1"/>
              <i n="[National Funder].[Funder].&amp;[BIS-WC &amp; EM Project]" c="BIS-WC &amp; EM Project" nd="1"/>
              <i n="[National Funder].[Funder].&amp;[Boston - LCC - Income Max]" c="Boston - LCC - Income Max" nd="1"/>
              <i n="[National Funder].[Funder].&amp;[CCG]" c="CCG" nd="1"/>
              <i n="[National Funder].[Funder].&amp;[EBDx - Energy Efficiency Wales]" c="EBDx - Energy Efficiency Wales" nd="1"/>
              <i n="[National Funder].[Funder].&amp;[EBDx - Prepayment Meter Project (EBDxPPM)]" c="EBDx - Prepayment Meter Project (EBDxPPM)" nd="1"/>
              <i n="[National Funder].[Funder].&amp;[F2F - BDAC]" c="F2F - BDAC" nd="1"/>
              <i n="[National Funder].[Funder].&amp;[F2F - Capitalise]" c="F2F - Capitalise" nd="1"/>
              <i n="[National Funder].[Funder].&amp;[F2F - CFS]" c="F2F - CFS" nd="1"/>
              <i n="[National Funder].[Funder].&amp;[F2F - Disability]" c="F2F - Disability" nd="1"/>
              <i n="[National Funder].[Funder].&amp;[F2F - East]" c="F2F - East" nd="1"/>
              <i n="[National Funder].[Funder].&amp;[F2F - EMMA]" c="F2F - EMMA" nd="1"/>
              <i n="[National Funder].[Funder].&amp;[F2F - GMMAP]" c="F2F - GMMAP" nd="1"/>
              <i n="[National Funder].[Funder].&amp;[F2F - migrated from CASE]" c="F2F - migrated from CASE" nd="1"/>
              <i n="[National Funder].[Funder].&amp;[F2F - North East]" c="F2F - North East" nd="1"/>
              <i n="[National Funder].[Funder].&amp;[F2F - North West]" c="F2F - North West" nd="1"/>
              <i n="[National Funder].[Funder].&amp;[F2F - Prison and Probation]" c="F2F - Prison and Probation" nd="1"/>
              <i n="[National Funder].[Funder].&amp;[F2F - Rural]" c="F2F - Rural" nd="1"/>
              <i n="[National Funder].[Funder].&amp;[F2F - South East]" c="F2F - South East" nd="1"/>
              <i n="[National Funder].[Funder].&amp;[F2F - South West]" c="F2F - South West" nd="1"/>
              <i n="[National Funder].[Funder].&amp;[F2F - Wales]" c="F2F - Wales" nd="1"/>
              <i n="[National Funder].[Funder].&amp;[F2F - West Midlands]" c="F2F - West Midlands" nd="1"/>
              <i n="[National Funder].[Funder].&amp;[F2F - York &amp; Humber]" c="F2F - York &amp; Humber" nd="1"/>
              <i n="[National Funder].[Funder].&amp;[FIF - East Prison &amp; Probation]" c="FIF - East Prison &amp; Probation" nd="1"/>
              <i n="[National Funder].[Funder].&amp;[FIF - West Midlands Prison &amp; Probation]" c="FIF - West Midlands Prison &amp; Probation" nd="1"/>
              <i n="[National Funder].[Funder].&amp;[Flood - Storm]" c="Flood - Storm" nd="1"/>
              <i n="[National Funder].[Funder].&amp;[Healthwatch]" c="Healthwatch" nd="1"/>
              <i n="[National Funder].[Funder].&amp;[IDA (Integrated Debt Advice)]" c="IDA (Integrated Debt Advice)" nd="1"/>
              <i n="[National Funder].[Funder].&amp;[Legal Aid Agency]" c="Legal Aid Agency" nd="1"/>
              <i n="[National Funder].[Funder].&amp;[Lloyds TSB Foundation]" c="Lloyds TSB Foundation" nd="1"/>
              <i n="[National Funder].[Funder].&amp;[LSC]" c="LSC" nd="1"/>
              <i n="[National Funder].[Funder].&amp;[Macmillan]" c="Macmillan" nd="1"/>
              <i n="[National Funder].[Funder].&amp;[Martin Lewis Donation IMA]" c="Martin Lewis Donation IMA" nd="1"/>
              <i n="[National Funder].[Funder].&amp;[MAS DAP - Capitalise]" c="MAS DAP - Capitalise" nd="1"/>
              <i n="[National Funder].[Funder].&amp;[MAS DAP - East]" c="MAS DAP - East" nd="1"/>
              <i n="[National Funder].[Funder].&amp;[MAS DAP - EMMA]" c="MAS DAP - EMMA" nd="1"/>
              <i n="[National Funder].[Funder].&amp;[MAS DAP - Extra Funding]" c="MAS DAP - Extra Funding" nd="1"/>
              <i n="[National Funder].[Funder].&amp;[MAS DAP - GMMAP]" c="MAS DAP - GMMAP" nd="1"/>
              <i n="[National Funder].[Funder].&amp;[MAS DAP - North West]" c="MAS DAP - North West" nd="1"/>
              <i n="[National Funder].[Funder].&amp;[MAS DAP - Prison &amp; Probation]" c="MAS DAP - Prison &amp; Probation" nd="1"/>
              <i n="[National Funder].[Funder].&amp;[MAS DAP - South East]" c="MAS DAP - South East" nd="1"/>
              <i n="[National Funder].[Funder].&amp;[MAS DAP - South West]" c="MAS DAP - South West" nd="1"/>
              <i n="[National Funder].[Funder].&amp;[MAS DAP - Talking Money]" c="MAS DAP - Talking Money" nd="1"/>
              <i n="[National Funder].[Funder].&amp;[MAS DAP - Wales]" c="MAS DAP - Wales" nd="1"/>
              <i n="[National Funder].[Funder].&amp;[MAS DAP - West Midlands]" c="MAS DAP - West Midlands" nd="1"/>
              <i n="[National Funder].[Funder].&amp;[Moneyplan]" c="Moneyplan" nd="1"/>
              <i n="[National Funder].[Funder].&amp;[North East Doncaster - Energy Best Deal]" c="North East Doncaster - Energy Best Deal" nd="1"/>
              <i n="[National Funder].[Funder].&amp;[PCT]" c="PCT" nd="1"/>
              <i n="[National Funder].[Funder].&amp;[Powys - PCA LHB]" c="Powys - PCA LHB" nd="1"/>
              <i n="[National Funder].[Funder].&amp;[Royal British Legion]" c="Royal British Legion" nd="1"/>
              <i n="[National Funder].[Funder].&amp;[The Work Programme]" c="The Work Programme" nd="1"/>
              <i n="[National Funder].[Funder].&amp;[WG - ASF]" c="WG - ASF" nd="1"/>
              <i n="[National Funder].[Funder].&amp;[WG - BABH]" c="WG - BABH" nd="1"/>
              <i n="[National Funder].[Funder].&amp;[WG - Communities First]" c="WG - Communities First" nd="1"/>
              <i n="[National Funder].[Funder].&amp;[WG - CT/HB]" c="WG - CT/HB" nd="1"/>
              <i n="[National Funder].[Funder].&amp;[WG - Frontline Advice]" c="WG - Frontline Advice" nd="1"/>
              <i n="[National Funder].[Funder].&amp;[WG - WAGBEN]" c="WG - WAGBEN" nd="1"/>
              <i n="[National Funder].[Funder].&amp;[Work Programme - Seetec]" c="Work Programme - Seetec" nd="1"/>
            </range>
          </ranges>
        </level>
      </levels>
      <selections count="1">
        <selection n="[National Funder].[Funde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AB" sourceName="[Local Organisation].[CAB]">
  <pivotTables>
    <pivotTable tabId="1" name="PivotTable1"/>
    <pivotTable tabId="2" name="PivotTable5"/>
    <pivotTable tabId="3" name="PivotTable6"/>
    <pivotTable tabId="13" name="PivotTable1"/>
    <pivotTable tabId="6" name="PivotTable2"/>
    <pivotTable tabId="11" name="PivotTable17"/>
    <pivotTable tabId="14" name="PivotTable2"/>
    <pivotTable tabId="14" name="PivotTable3"/>
    <pivotTable tabId="16" name="PivotTable1"/>
    <pivotTable tabId="16" name="PivotTable2"/>
    <pivotTable tabId="12" name="PivotTable2"/>
    <pivotTable tabId="12" name="PivotTable3"/>
    <pivotTable tabId="21" name="summarybx"/>
    <pivotTable tabId="21" name="SummaryFunder"/>
    <pivotTable tabId="21" name="summaryperiod"/>
  </pivotTables>
  <data>
    <olap pivotCacheId="55">
      <levels count="5">
        <level uniqueName="[Local Organisation].[CAB].[(All)]" sourceCaption="(All)" count="0"/>
        <level uniqueName="[Local Organisation].[CAB].[Government Region]" sourceCaption="Government Region" count="11">
          <ranges>
            <range startItem="0">
              <i n="[Local Organisation].[CAB].[Government Region].&amp;[East Midlands]" c="East Midlands"/>
              <i n="[Local Organisation].[CAB].[Government Region].&amp;[Eastern]" c="Eastern"/>
              <i n="[Local Organisation].[CAB].[Government Region].&amp;[London]" c="London"/>
              <i n="[Local Organisation].[CAB].[Government Region].&amp;[North East]" c="North East"/>
              <i n="[Local Organisation].[CAB].[Government Region].&amp;[North West]" c="North West"/>
              <i n="[Local Organisation].[CAB].[Government Region].&amp;[Not recorded/not applicable]" c="Not recorded/not applicable"/>
              <i n="[Local Organisation].[CAB].[Government Region].&amp;[South East]" c="South East"/>
              <i n="[Local Organisation].[CAB].[Government Region].&amp;[South West]" c="South West"/>
              <i n="[Local Organisation].[CAB].[Government Region].&amp;[Wales]" c="Wales"/>
              <i n="[Local Organisation].[CAB].[Government Region].&amp;[West Midlands]" c="West Midlands"/>
              <i n="[Local Organisation].[CAB].[Government Region].&amp;[Yorkshire &amp; the Humber]" c="Yorkshire &amp; the Humber"/>
            </range>
          </ranges>
        </level>
        <level uniqueName="[Local Organisation].[CAB].[Member]" sourceCaption="Member" count="329">
          <ranges>
            <range startItem="0">
              <i n="[Local Organisation].[CAB].[Member].&amp;[Ashfield (member)]&amp;[East Midlands]" c="Ashfield (member)">
                <p n="[Local Organisation].[CAB].[Government Region].&amp;[East Midlands]"/>
              </i>
              <i n="[Local Organisation].[CAB].[Member].&amp;[Bassetlaw (member)]&amp;[East Midlands]" c="Bassetlaw (member)">
                <p n="[Local Organisation].[CAB].[Government Region].&amp;[East Midlands]"/>
              </i>
              <i n="[Local Organisation].[CAB].[Member].&amp;[Charnwood (member)]&amp;[East Midlands]" c="Charnwood (member)">
                <p n="[Local Organisation].[CAB].[Government Region].&amp;[East Midlands]"/>
              </i>
              <i n="[Local Organisation].[CAB].[Member].&amp;[Chesterfield (member)]&amp;[East Midlands]" c="Chesterfield (member)">
                <p n="[Local Organisation].[CAB].[Government Region].&amp;[East Midlands]"/>
              </i>
              <i n="[Local Organisation].[CAB].[Member].&amp;[Citizens Advice Broxtowe (member)]&amp;[East Midlands]" c="Citizens Advice Broxtowe (member)">
                <p n="[Local Organisation].[CAB].[Government Region].&amp;[East Midlands]"/>
              </i>
              <i n="[Local Organisation].[CAB].[Member].&amp;[Citizens Advice Mid Lincolnshire (member)]&amp;[East Midlands]" c="Citizens Advice Mid Lincolnshire (member)">
                <p n="[Local Organisation].[CAB].[Government Region].&amp;[East Midlands]"/>
              </i>
              <i n="[Local Organisation].[CAB].[Member].&amp;[Citizens Advice South Lincolnshire (member)]&amp;[East Midlands]" c="Citizens Advice South Lincolnshire (member)">
                <p n="[Local Organisation].[CAB].[Government Region].&amp;[East Midlands]"/>
              </i>
              <i n="[Local Organisation].[CAB].[Member].&amp;[Corby and Kettering (member)]&amp;[East Midlands]" c="Corby and Kettering (member)">
                <p n="[Local Organisation].[CAB].[Government Region].&amp;[East Midlands]"/>
              </i>
              <i n="[Local Organisation].[CAB].[Member].&amp;[Daventry and District (member)]&amp;[East Midlands]" c="Daventry and District (member)">
                <p n="[Local Organisation].[CAB].[Government Region].&amp;[East Midlands]"/>
              </i>
              <i n="[Local Organisation].[CAB].[Member].&amp;[Derby CALC (member)]&amp;[East Midlands]" c="Derby CALC (member)">
                <p n="[Local Organisation].[CAB].[Government Region].&amp;[East Midlands]"/>
              </i>
              <i n="[Local Organisation].[CAB].[Member].&amp;[Derbyshire Districts (member)]&amp;[East Midlands]" c="Derbyshire Districts (member)">
                <p n="[Local Organisation].[CAB].[Government Region].&amp;[East Midlands]"/>
              </i>
              <i n="[Local Organisation].[CAB].[Member].&amp;[East Lindsey (member)]&amp;[East Midlands]" c="East Lindsey (member)">
                <p n="[Local Organisation].[CAB].[Government Region].&amp;[East Midlands]"/>
              </i>
              <i n="[Local Organisation].[CAB].[Member].&amp;[Leicestershire (member)]&amp;[East Midlands]" c="Leicestershire (member)">
                <p n="[Local Organisation].[CAB].[Government Region].&amp;[East Midlands]"/>
              </i>
              <i n="[Local Organisation].[CAB].[Member].&amp;[Lincoln &amp; District (member)]&amp;[East Midlands]" c="Lincoln &amp; District (member)">
                <p n="[Local Organisation].[CAB].[Government Region].&amp;[East Midlands]"/>
              </i>
              <i n="[Local Organisation].[CAB].[Member].&amp;[Mansfield (member)]&amp;[East Midlands]" c="Mansfield (member)">
                <p n="[Local Organisation].[CAB].[Government Region].&amp;[East Midlands]"/>
              </i>
              <i n="[Local Organisation].[CAB].[Member].&amp;[North East Derbyshire (member)]&amp;[East Midlands]" c="North East Derbyshire (member)">
                <p n="[Local Organisation].[CAB].[Government Region].&amp;[East Midlands]"/>
              </i>
              <i n="[Local Organisation].[CAB].[Member].&amp;[Nottingham &amp; District CAB (member)]&amp;[East Midlands]" c="Nottingham &amp; District CAB (member)">
                <p n="[Local Organisation].[CAB].[Government Region].&amp;[East Midlands]"/>
              </i>
              <i n="[Local Organisation].[CAB].[Member].&amp;[Rutland (member)]&amp;[East Midlands]" c="Rutland (member)">
                <p n="[Local Organisation].[CAB].[Government Region].&amp;[East Midlands]"/>
              </i>
              <i n="[Local Organisation].[CAB].[Member].&amp;[Sherwood and Newark (member)]&amp;[East Midlands]" c="Sherwood and Newark (member)">
                <p n="[Local Organisation].[CAB].[Government Region].&amp;[East Midlands]"/>
              </i>
              <i n="[Local Organisation].[CAB].[Member].&amp;[South Derbyshire (member)]&amp;[East Midlands]" c="South Derbyshire (member)">
                <p n="[Local Organisation].[CAB].[Government Region].&amp;[East Midlands]"/>
              </i>
              <i n="[Local Organisation].[CAB].[Member].&amp;[West Lindsey (member)]&amp;[East Midlands]" c="West Lindsey (member)">
                <p n="[Local Organisation].[CAB].[Government Region].&amp;[East Midlands]"/>
              </i>
              <i n="[Local Organisation].[CAB].[Member].&amp;[Basildon District (member)]&amp;[Eastern]" c="Basildon District (member)">
                <p n="[Local Organisation].[CAB].[Government Region].&amp;[Eastern]"/>
              </i>
              <i n="[Local Organisation].[CAB].[Member].&amp;[Bedford &amp; District (member)]&amp;[Eastern]" c="Bedford &amp; District (member)">
                <p n="[Local Organisation].[CAB].[Government Region].&amp;[Eastern]"/>
              </i>
              <i n="[Local Organisation].[CAB].[Member].&amp;[BraintreeHalsteadWitham (member)]&amp;[Eastern]" c="BraintreeHalsteadWitham (member)">
                <p n="[Local Organisation].[CAB].[Government Region].&amp;[Eastern]"/>
              </i>
              <i n="[Local Organisation].[CAB].[Member].&amp;[Brentwood (member)]&amp;[Eastern]" c="Brentwood (member)">
                <p n="[Local Organisation].[CAB].[Government Region].&amp;[Eastern]"/>
              </i>
              <i n="[Local Organisation].[CAB].[Member].&amp;[Broxbourne (Cheshunt) (member)]&amp;[Eastern]" c="Broxbourne (Cheshunt) (member)">
                <p n="[Local Organisation].[CAB].[Government Region].&amp;[Eastern]"/>
              </i>
              <i n="[Local Organisation].[CAB].[Member].&amp;[Cambridge (member)]&amp;[Eastern]" c="Cambridge (member)">
                <p n="[Local Organisation].[CAB].[Government Region].&amp;[Eastern]"/>
              </i>
              <i n="[Local Organisation].[CAB].[Member].&amp;[Castle Point (member)]&amp;[Eastern]" c="Castle Point (member)">
                <p n="[Local Organisation].[CAB].[Government Region].&amp;[Eastern]"/>
              </i>
              <i n="[Local Organisation].[CAB].[Member].&amp;[Central &amp; East Northamptonshire (member)]&amp;[Eastern]" c="Central &amp; East Northamptonshire (member)">
                <p n="[Local Organisation].[CAB].[Government Region].&amp;[Eastern]"/>
              </i>
              <i n="[Local Organisation].[CAB].[Member].&amp;[Chelmsford (member)]&amp;[Eastern]" c="Chelmsford (member)">
                <p n="[Local Organisation].[CAB].[Government Region].&amp;[Eastern]"/>
              </i>
              <i n="[Local Organisation].[CAB].[Member].&amp;[Colchester (member)]&amp;[Eastern]" c="Colchester (member)">
                <p n="[Local Organisation].[CAB].[Government Region].&amp;[Eastern]"/>
              </i>
              <i n="[Local Organisation].[CAB].[Member].&amp;[Dacorum District (member)]&amp;[Eastern]" c="Dacorum District (member)">
                <p n="[Local Organisation].[CAB].[Government Region].&amp;[Eastern]"/>
              </i>
              <i n="[Local Organisation].[CAB].[Member].&amp;[Diss, Thetford &amp; District (member)]&amp;[Eastern]" c="Diss, Thetford &amp; District (member)">
                <p n="[Local Organisation].[CAB].[Government Region].&amp;[Eastern]"/>
              </i>
              <i n="[Local Organisation].[CAB].[Member].&amp;[Dunstable and District (member)]&amp;[Eastern]" c="Dunstable and District (member)">
                <p n="[Local Organisation].[CAB].[Government Region].&amp;[Eastern]"/>
              </i>
              <i n="[Local Organisation].[CAB].[Member].&amp;[East Hertfordshire (member)]&amp;[Eastern]" c="East Hertfordshire (member)">
                <p n="[Local Organisation].[CAB].[Government Region].&amp;[Eastern]"/>
              </i>
              <i n="[Local Organisation].[CAB].[Member].&amp;[Epping Forest District (member)]&amp;[Eastern]" c="Epping Forest District (member)">
                <p n="[Local Organisation].[CAB].[Government Region].&amp;[Eastern]"/>
              </i>
              <i n="[Local Organisation].[CAB].[Member].&amp;[Felixstowe Citizens Advice Bureau (member)]&amp;[Eastern]" c="Felixstowe Citizens Advice Bureau (member)">
                <p n="[Local Organisation].[CAB].[Government Region].&amp;[Eastern]"/>
              </i>
              <i n="[Local Organisation].[CAB].[Member].&amp;[Harlow (member)]&amp;[Eastern]" c="Harlow (member)">
                <p n="[Local Organisation].[CAB].[Government Region].&amp;[Eastern]"/>
              </i>
              <i n="[Local Organisation].[CAB].[Member].&amp;[Hertsmere (member)]&amp;[Eastern]" c="Hertsmere (member)">
                <p n="[Local Organisation].[CAB].[Government Region].&amp;[Eastern]"/>
              </i>
              <i n="[Local Organisation].[CAB].[Member].&amp;[Ipswich &amp; District (member)]&amp;[Eastern]" c="Ipswich &amp; District (member)">
                <p n="[Local Organisation].[CAB].[Government Region].&amp;[Eastern]"/>
              </i>
              <i n="[Local Organisation].[CAB].[Member].&amp;[Leighton Linslade (member)]&amp;[Eastern]" c="Leighton Linslade (member)">
                <p n="[Local Organisation].[CAB].[Government Region].&amp;[Eastern]"/>
              </i>
              <i n="[Local Organisation].[CAB].[Member].&amp;[Leiston Saxmundham District (member)]&amp;[Eastern]" c="Leiston Saxmundham District (member)">
                <p n="[Local Organisation].[CAB].[Government Region].&amp;[Eastern]"/>
              </i>
              <i n="[Local Organisation].[CAB].[Member].&amp;[Luton (member)]&amp;[Eastern]" c="Luton (member)">
                <p n="[Local Organisation].[CAB].[Government Region].&amp;[Eastern]"/>
              </i>
              <i n="[Local Organisation].[CAB].[Member].&amp;[Maldon (member)]&amp;[Eastern]" c="Maldon (member)">
                <p n="[Local Organisation].[CAB].[Government Region].&amp;[Eastern]"/>
              </i>
              <i n="[Local Organisation].[CAB].[Member].&amp;[Mid Norfolk (member)]&amp;[Eastern]" c="Mid Norfolk (member)">
                <p n="[Local Organisation].[CAB].[Government Region].&amp;[Eastern]"/>
              </i>
              <i n="[Local Organisation].[CAB].[Member].&amp;[Mid Suffolk (member)]&amp;[Eastern]" c="Mid Suffolk (member)">
                <p n="[Local Organisation].[CAB].[Government Region].&amp;[Eastern]"/>
              </i>
              <i n="[Local Organisation].[CAB].[Member].&amp;[Mid-Bedfordshire (member)]&amp;[Eastern]" c="Mid-Bedfordshire (member)">
                <p n="[Local Organisation].[CAB].[Government Region].&amp;[Eastern]"/>
              </i>
              <i n="[Local Organisation].[CAB].[Member].&amp;[Newmarket (member)]&amp;[Eastern]" c="Newmarket (member)">
                <p n="[Local Organisation].[CAB].[Government Region].&amp;[Eastern]"/>
              </i>
              <i n="[Local Organisation].[CAB].[Member].&amp;[Norfolk (member)]&amp;[Eastern]" c="Norfolk (member)">
                <p n="[Local Organisation].[CAB].[Government Region].&amp;[Eastern]"/>
              </i>
              <i n="[Local Organisation].[CAB].[Member].&amp;[North East Suffolk (member)]&amp;[Eastern]" c="North East Suffolk (member)">
                <p n="[Local Organisation].[CAB].[Government Region].&amp;[Eastern]"/>
              </i>
              <i n="[Local Organisation].[CAB].[Member].&amp;[North Hertfordshire District (member)]&amp;[Eastern]" c="North Hertfordshire District (member)">
                <p n="[Local Organisation].[CAB].[Government Region].&amp;[Eastern]"/>
              </i>
              <i n="[Local Organisation].[CAB].[Member].&amp;[Peterborough (member)]&amp;[Eastern]" c="Peterborough (member)">
                <p n="[Local Organisation].[CAB].[Government Region].&amp;[Eastern]"/>
              </i>
              <i n="[Local Organisation].[CAB].[Member].&amp;[Rochford &amp; Rayleigh (member)]&amp;[Eastern]" c="Rochford &amp; Rayleigh (member)">
                <p n="[Local Organisation].[CAB].[Government Region].&amp;[Eastern]"/>
              </i>
              <i n="[Local Organisation].[CAB].[Member].&amp;[Rural Cambs (member)]&amp;[Eastern]" c="Rural Cambs (member)">
                <p n="[Local Organisation].[CAB].[Government Region].&amp;[Eastern]"/>
              </i>
              <i n="[Local Organisation].[CAB].[Member].&amp;[Southend (member)]&amp;[Eastern]" c="Southend (member)">
                <p n="[Local Organisation].[CAB].[Government Region].&amp;[Eastern]"/>
              </i>
              <i n="[Local Organisation].[CAB].[Member].&amp;[St Albans (member)]&amp;[Eastern]" c="St Albans (member)">
                <p n="[Local Organisation].[CAB].[Government Region].&amp;[Eastern]"/>
              </i>
              <i n="[Local Organisation].[CAB].[Member].&amp;[Stevenage (member)]&amp;[Eastern]" c="Stevenage (member)">
                <p n="[Local Organisation].[CAB].[Government Region].&amp;[Eastern]"/>
              </i>
              <i n="[Local Organisation].[CAB].[Member].&amp;[Sudbury (member)]&amp;[Eastern]" c="Sudbury (member)">
                <p n="[Local Organisation].[CAB].[Government Region].&amp;[Eastern]"/>
              </i>
              <i n="[Local Organisation].[CAB].[Member].&amp;[Suffolk West (member)]&amp;[Eastern]" c="Suffolk West (member)">
                <p n="[Local Organisation].[CAB].[Government Region].&amp;[Eastern]"/>
              </i>
              <i n="[Local Organisation].[CAB].[Member].&amp;[Tendring Citizens Advice Bureau (member)]&amp;[Eastern]" c="Tendring Citizens Advice Bureau (member)">
                <p n="[Local Organisation].[CAB].[Government Region].&amp;[Eastern]"/>
              </i>
              <i n="[Local Organisation].[CAB].[Member].&amp;[Three Rivers (member)]&amp;[Eastern]" c="Three Rivers (member)">
                <p n="[Local Organisation].[CAB].[Government Region].&amp;[Eastern]"/>
              </i>
              <i n="[Local Organisation].[CAB].[Member].&amp;[Thurrock (member)]&amp;[Eastern]" c="Thurrock (member)">
                <p n="[Local Organisation].[CAB].[Government Region].&amp;[Eastern]"/>
              </i>
              <i n="[Local Organisation].[CAB].[Member].&amp;[Uttlesford (member)]&amp;[Eastern]" c="Uttlesford (member)">
                <p n="[Local Organisation].[CAB].[Government Region].&amp;[Eastern]"/>
              </i>
              <i n="[Local Organisation].[CAB].[Member].&amp;[Watford (member)]&amp;[Eastern]" c="Watford (member)">
                <p n="[Local Organisation].[CAB].[Government Region].&amp;[Eastern]"/>
              </i>
              <i n="[Local Organisation].[CAB].[Member].&amp;[Welwyn Hatfield (member)]&amp;[Eastern]" c="Welwyn Hatfield (member)">
                <p n="[Local Organisation].[CAB].[Government Region].&amp;[Eastern]"/>
              </i>
              <i n="[Local Organisation].[CAB].[Member].&amp;[Yare Valley &amp; District (member)]&amp;[Eastern]" c="Yare Valley &amp; District (member)">
                <p n="[Local Organisation].[CAB].[Government Region].&amp;[Eastern]"/>
              </i>
              <i n="[Local Organisation].[CAB].[Member].&amp;[Barking &amp; Dagenham (member)]&amp;[London]" c="Barking &amp; Dagenham (member)">
                <p n="[Local Organisation].[CAB].[Government Region].&amp;[London]"/>
              </i>
              <i n="[Local Organisation].[CAB].[Member].&amp;[Barnet (member)]&amp;[London]" c="Barnet (member)">
                <p n="[Local Organisation].[CAB].[Government Region].&amp;[London]"/>
              </i>
              <i n="[Local Organisation].[CAB].[Member].&amp;[Bexley Borough (member)]&amp;[London]" c="Bexley Borough (member)">
                <p n="[Local Organisation].[CAB].[Government Region].&amp;[London]"/>
              </i>
              <i n="[Local Organisation].[CAB].[Member].&amp;[Brent (member)]&amp;[London]" c="Brent (member)">
                <p n="[Local Organisation].[CAB].[Government Region].&amp;[London]"/>
              </i>
              <i n="[Local Organisation].[CAB].[Member].&amp;[Bromley (member)]&amp;[London]" c="Bromley (member)">
                <p n="[Local Organisation].[CAB].[Government Region].&amp;[London]"/>
              </i>
              <i n="[Local Organisation].[CAB].[Member].&amp;[Camden (member)]&amp;[London]" c="Camden (member)">
                <p n="[Local Organisation].[CAB].[Government Region].&amp;[London]"/>
              </i>
              <i n="[Local Organisation].[CAB].[Member].&amp;[Croydon CAB Ltd (member)]&amp;[London]" c="Croydon CAB Ltd (member)">
                <p n="[Local Organisation].[CAB].[Government Region].&amp;[London]"/>
              </i>
              <i n="[Local Organisation].[CAB].[Member].&amp;[East End (member)]&amp;[London]" c="East End (member)">
                <p n="[Local Organisation].[CAB].[Government Region].&amp;[London]"/>
              </i>
              <i n="[Local Organisation].[CAB].[Member].&amp;[Enfield (member)]&amp;[London]" c="Enfield (member)">
                <p n="[Local Organisation].[CAB].[Government Region].&amp;[London]"/>
              </i>
              <i n="[Local Organisation].[CAB].[Member].&amp;[Greenwich District (member)]&amp;[London]" c="Greenwich District (member)">
                <p n="[Local Organisation].[CAB].[Government Region].&amp;[London]"/>
              </i>
              <i n="[Local Organisation].[CAB].[Member].&amp;[Hammersmith &amp; Fulham (member)]&amp;[London]" c="Hammersmith &amp; Fulham (member)">
                <p n="[Local Organisation].[CAB].[Government Region].&amp;[London]"/>
              </i>
              <i n="[Local Organisation].[CAB].[Member].&amp;[Haringey District (member)]&amp;[London]" c="Haringey District (member)">
                <p n="[Local Organisation].[CAB].[Government Region].&amp;[London]"/>
              </i>
              <i n="[Local Organisation].[CAB].[Member].&amp;[Harrow (member)]&amp;[London]" c="Harrow (member)">
                <p n="[Local Organisation].[CAB].[Government Region].&amp;[London]"/>
              </i>
              <i n="[Local Organisation].[CAB].[Member].&amp;[Havering (member)]&amp;[London]" c="Havering (member)">
                <p n="[Local Organisation].[CAB].[Government Region].&amp;[London]"/>
              </i>
              <i n="[Local Organisation].[CAB].[Member].&amp;[Hillingdon (member)]&amp;[London]" c="Hillingdon (member)">
                <p n="[Local Organisation].[CAB].[Government Region].&amp;[London]"/>
              </i>
              <i n="[Local Organisation].[CAB].[Member].&amp;[Hounslow District (member)]&amp;[London]" c="Hounslow District (member)">
                <p n="[Local Organisation].[CAB].[Government Region].&amp;[London]"/>
              </i>
              <i n="[Local Organisation].[CAB].[Member].&amp;[Kensington &amp; Chelsea (member)]&amp;[London]" c="Kensington &amp; Chelsea (member)">
                <p n="[Local Organisation].[CAB].[Government Region].&amp;[London]"/>
              </i>
              <i n="[Local Organisation].[CAB].[Member].&amp;[Kingston Borough (member)]&amp;[London]" c="Kingston Borough (member)">
                <p n="[Local Organisation].[CAB].[Government Region].&amp;[London]"/>
              </i>
              <i n="[Local Organisation].[CAB].[Member].&amp;[Lewisham (member)]&amp;[London]" c="Lewisham (member)">
                <p n="[Local Organisation].[CAB].[Government Region].&amp;[London]"/>
              </i>
              <i n="[Local Organisation].[CAB].[Member].&amp;[Merton &amp; Lambeth CAB Ltd (member)]&amp;[London]" c="Merton &amp; Lambeth CAB Ltd (member)">
                <p n="[Local Organisation].[CAB].[Government Region].&amp;[London]"/>
              </i>
              <i n="[Local Organisation].[CAB].[Member].&amp;[Redbridge (member)]&amp;[London]" c="Redbridge (member)">
                <p n="[Local Organisation].[CAB].[Government Region].&amp;[London]"/>
              </i>
              <i n="[Local Organisation].[CAB].[Member].&amp;[Richmond Borough (member)]&amp;[London]" c="Richmond Borough (member)">
                <p n="[Local Organisation].[CAB].[Government Region].&amp;[London]"/>
              </i>
              <i n="[Local Organisation].[CAB].[Member].&amp;[Royal Courts of Justice (member)]&amp;[London]" c="Royal Courts of Justice (member)">
                <p n="[Local Organisation].[CAB].[Government Region].&amp;[London]"/>
              </i>
              <i n="[Local Organisation].[CAB].[Member].&amp;[Southwark (member)]&amp;[London]" c="Southwark (member)">
                <p n="[Local Organisation].[CAB].[Government Region].&amp;[London]"/>
              </i>
              <i n="[Local Organisation].[CAB].[Member].&amp;[Sutton Borough (member)]&amp;[London]" c="Sutton Borough (member)">
                <p n="[Local Organisation].[CAB].[Government Region].&amp;[London]"/>
              </i>
              <i n="[Local Organisation].[CAB].[Member].&amp;[Waltham Forest (member)]&amp;[London]" c="Waltham Forest (member)">
                <p n="[Local Organisation].[CAB].[Government Region].&amp;[London]"/>
              </i>
              <i n="[Local Organisation].[CAB].[Member].&amp;[Wandsworth (member)]&amp;[London]" c="Wandsworth (member)">
                <p n="[Local Organisation].[CAB].[Government Region].&amp;[London]"/>
              </i>
              <i n="[Local Organisation].[CAB].[Member].&amp;[Westminster CAB (member)]&amp;[London]" c="Westminster CAB (member)">
                <p n="[Local Organisation].[CAB].[Government Region].&amp;[London]"/>
              </i>
              <i n="[Local Organisation].[CAB].[Member].&amp;[County Durham (member)]&amp;[North East]" c="County Durham (member)">
                <p n="[Local Organisation].[CAB].[Government Region].&amp;[North East]"/>
              </i>
              <i n="[Local Organisation].[CAB].[Member].&amp;[Darlington (member)]&amp;[North East]" c="Darlington (member)">
                <p n="[Local Organisation].[CAB].[Government Region].&amp;[North East]"/>
              </i>
              <i n="[Local Organisation].[CAB].[Member].&amp;[Dawn (member)]&amp;[North East]" c="Dawn (member)">
                <p n="[Local Organisation].[CAB].[Government Region].&amp;[North East]"/>
              </i>
              <i n="[Local Organisation].[CAB].[Member].&amp;[Gateshead (member)]&amp;[North East]" c="Gateshead (member)">
                <p n="[Local Organisation].[CAB].[Government Region].&amp;[North East]"/>
              </i>
              <i n="[Local Organisation].[CAB].[Member].&amp;[Hartlepool (member)]&amp;[North East]" c="Hartlepool (member)">
                <p n="[Local Organisation].[CAB].[Government Region].&amp;[North East]"/>
              </i>
              <i n="[Local Organisation].[CAB].[Member].&amp;[Middlesbrough (member)]&amp;[North East]" c="Middlesbrough (member)">
                <p n="[Local Organisation].[CAB].[Government Region].&amp;[North East]"/>
              </i>
              <i n="[Local Organisation].[CAB].[Member].&amp;[Newcastle upon Tyne (member)]&amp;[North East]" c="Newcastle upon Tyne (member)">
                <p n="[Local Organisation].[CAB].[Government Region].&amp;[North East]"/>
              </i>
              <i n="[Local Organisation].[CAB].[Member].&amp;[North Tyneside (member)]&amp;[North East]" c="North Tyneside (member)">
                <p n="[Local Organisation].[CAB].[Government Region].&amp;[North East]"/>
              </i>
              <i n="[Local Organisation].[CAB].[Member].&amp;[Northumbrian (member)]&amp;[North East]" c="Northumbrian (member)">
                <p n="[Local Organisation].[CAB].[Government Region].&amp;[North East]"/>
              </i>
              <i n="[Local Organisation].[CAB].[Member].&amp;[Redcar and Cleveland (member)]&amp;[North East]" c="Redcar and Cleveland (member)">
                <p n="[Local Organisation].[CAB].[Government Region].&amp;[North East]"/>
              </i>
              <i n="[Local Organisation].[CAB].[Member].&amp;[South Tyneside (member)]&amp;[North East]" c="South Tyneside (member)">
                <p n="[Local Organisation].[CAB].[Government Region].&amp;[North East]"/>
              </i>
              <i n="[Local Organisation].[CAB].[Member].&amp;[Stockton &amp; District AIS (member)]&amp;[North East]" c="Stockton &amp; District AIS (member)">
                <p n="[Local Organisation].[CAB].[Government Region].&amp;[North East]"/>
              </i>
              <i n="[Local Organisation].[CAB].[Member].&amp;[Sunderland (member)]&amp;[North East]" c="Sunderland (member)">
                <p n="[Local Organisation].[CAB].[Government Region].&amp;[North East]"/>
              </i>
              <i n="[Local Organisation].[CAB].[Member].&amp;[Allerdale (member)]&amp;[North West]" c="Allerdale (member)">
                <p n="[Local Organisation].[CAB].[Government Region].&amp;[North West]"/>
              </i>
              <i n="[Local Organisation].[CAB].[Member].&amp;[Barrow-In-Furness (member)]&amp;[North West]" c="Barrow-In-Furness (member)">
                <p n="[Local Organisation].[CAB].[Government Region].&amp;[North West]"/>
              </i>
              <i n="[Local Organisation].[CAB].[Member].&amp;[Blackburn with Darwen (member)]&amp;[North West]" c="Blackburn with Darwen (member)">
                <p n="[Local Organisation].[CAB].[Government Region].&amp;[North West]"/>
              </i>
              <i n="[Local Organisation].[CAB].[Member].&amp;[Blackpool Citizens Advice Bureau (member)]&amp;[North West]" c="Blackpool Citizens Advice Bureau (member)">
                <p n="[Local Organisation].[CAB].[Government Region].&amp;[North West]"/>
              </i>
              <i n="[Local Organisation].[CAB].[Member].&amp;[Bolton &amp; District (member)]&amp;[North West]" c="Bolton &amp; District (member)">
                <p n="[Local Organisation].[CAB].[Government Region].&amp;[North West]"/>
              </i>
              <i n="[Local Organisation].[CAB].[Member].&amp;[Burnley &amp; Pendle District (member)]&amp;[North West]" c="Burnley &amp; Pendle District (member)">
                <p n="[Local Organisation].[CAB].[Government Region].&amp;[North West]"/>
              </i>
              <i n="[Local Organisation].[CAB].[Member].&amp;[Bury District (member)]&amp;[North West]" c="Bury District (member)">
                <p n="[Local Organisation].[CAB].[Government Region].&amp;[North West]"/>
              </i>
              <i n="[Local Organisation].[CAB].[Member].&amp;[Carlisle &amp; Eden Districts (member)]&amp;[North West]" c="Carlisle &amp; Eden Districts (member)">
                <p n="[Local Organisation].[CAB].[Government Region].&amp;[North West]"/>
              </i>
              <i n="[Local Organisation].[CAB].[Member].&amp;[Cheshire East (member)]&amp;[North West]" c="Cheshire East (member)">
                <p n="[Local Organisation].[CAB].[Government Region].&amp;[North West]"/>
              </i>
              <i n="[Local Organisation].[CAB].[Member].&amp;[Cheshire East CAB North (member)]&amp;[North West]" c="Cheshire East CAB North (member)">
                <p n="[Local Organisation].[CAB].[Government Region].&amp;[North West]"/>
              </i>
              <i n="[Local Organisation].[CAB].[Member].&amp;[Cheshire West CAB Ltd (member)]&amp;[North West]" c="Cheshire West CAB Ltd (member)">
                <p n="[Local Organisation].[CAB].[Government Region].&amp;[North West]"/>
              </i>
              <i n="[Local Organisation].[CAB].[Member].&amp;[Citizens Advice Sefton (member)]&amp;[North West]" c="Citizens Advice Sefton (member)">
                <p n="[Local Organisation].[CAB].[Government Region].&amp;[North West]"/>
              </i>
              <i n="[Local Organisation].[CAB].[Member].&amp;[Copeland (member)]&amp;[North West]" c="Copeland (member)">
                <p n="[Local Organisation].[CAB].[Government Region].&amp;[North West]"/>
              </i>
              <i n="[Local Organisation].[CAB].[Member].&amp;[Cumbria Rural (member)]&amp;[North West]" c="Cumbria Rural (member)">
                <p n="[Local Organisation].[CAB].[Government Region].&amp;[North West]"/>
              </i>
              <i n="[Local Organisation].[CAB].[Member].&amp;[Fylde (member)]&amp;[North West]" c="Fylde (member)">
                <p n="[Local Organisation].[CAB].[Government Region].&amp;[North West]"/>
              </i>
              <i n="[Local Organisation].[CAB].[Member].&amp;[Halton District (member)]&amp;[North West]" c="Halton District (member)">
                <p n="[Local Organisation].[CAB].[Government Region].&amp;[North West]"/>
              </i>
              <i n="[Local Organisation].[CAB].[Member].&amp;[Hyndburn Citizens Advice Bureau (member)]&amp;[North West]" c="Hyndburn Citizens Advice Bureau (member)">
                <p n="[Local Organisation].[CAB].[Government Region].&amp;[North West]"/>
              </i>
              <i n="[Local Organisation].[CAB].[Member].&amp;[Knowsley (member)]&amp;[North West]" c="Knowsley (member)">
                <p n="[Local Organisation].[CAB].[Government Region].&amp;[North West]"/>
              </i>
              <i n="[Local Organisation].[CAB].[Member].&amp;[Lancashire West (Member)]&amp;[North West]" c="Lancashire West (Member)">
                <p n="[Local Organisation].[CAB].[Government Region].&amp;[North West]"/>
              </i>
              <i n="[Local Organisation].[CAB].[Member].&amp;[Liverpool Central (member)]&amp;[North West]" c="Liverpool Central (member)">
                <p n="[Local Organisation].[CAB].[Government Region].&amp;[North West]"/>
              </i>
              <i n="[Local Organisation].[CAB].[Member].&amp;[LSAS (member)]&amp;[North West]" c="LSAS (member)">
                <p n="[Local Organisation].[CAB].[Government Region].&amp;[North West]"/>
              </i>
              <i n="[Local Organisation].[CAB].[Member].&amp;[Manchester District (member)]&amp;[North West]" c="Manchester District (member)">
                <p n="[Local Organisation].[CAB].[Government Region].&amp;[North West]"/>
              </i>
              <i n="[Local Organisation].[CAB].[Member].&amp;[North Lancashire CAB (member)]&amp;[North West]" c="North Lancashire CAB (member)">
                <p n="[Local Organisation].[CAB].[Government Region].&amp;[North West]"/>
              </i>
              <i n="[Local Organisation].[CAB].[Member].&amp;[North Liverpool (member)]&amp;[North West]" c="North Liverpool (member)">
                <p n="[Local Organisation].[CAB].[Government Region].&amp;[North West]"/>
              </i>
              <i n="[Local Organisation].[CAB].[Member].&amp;[Pennine West (member)]&amp;[North West]" c="Pennine West (member)">
                <p n="[Local Organisation].[CAB].[Government Region].&amp;[North West]"/>
              </i>
              <i n="[Local Organisation].[CAB].[Member].&amp;[Preston (member)]&amp;[North West]" c="Preston (member)">
                <p n="[Local Organisation].[CAB].[Government Region].&amp;[North West]"/>
              </i>
              <i n="[Local Organisation].[CAB].[Member].&amp;[Ribble Valley (member)]&amp;[North West]" c="Ribble Valley (member)">
                <p n="[Local Organisation].[CAB].[Government Region].&amp;[North West]"/>
              </i>
              <i n="[Local Organisation].[CAB].[Member].&amp;[Rossendale Citizens Advice Bureau (member)]&amp;[North West]" c="Rossendale Citizens Advice Bureau (member)">
                <p n="[Local Organisation].[CAB].[Government Region].&amp;[North West]"/>
              </i>
              <i n="[Local Organisation].[CAB].[Member].&amp;[Salford District (member)]&amp;[North West]" c="Salford District (member)">
                <p n="[Local Organisation].[CAB].[Government Region].&amp;[North West]"/>
              </i>
              <i n="[Local Organisation].[CAB].[Member].&amp;[South Liverpool (member)]&amp;[North West]" c="South Liverpool (member)">
                <p n="[Local Organisation].[CAB].[Government Region].&amp;[North West]"/>
              </i>
              <i n="[Local Organisation].[CAB].[Member].&amp;[Speke Advice Service CAB Ltd (member)]&amp;[North West]" c="Speke Advice Service CAB Ltd (member)">
                <p n="[Local Organisation].[CAB].[Government Region].&amp;[North West]"/>
              </i>
              <i n="[Local Organisation].[CAB].[Member].&amp;[St Helens (member)]&amp;[North West]" c="St Helens (member)">
                <p n="[Local Organisation].[CAB].[Government Region].&amp;[North West]"/>
              </i>
              <i n="[Local Organisation].[CAB].[Member].&amp;[Stockport District (member)]&amp;[North West]" c="Stockport District (member)">
                <p n="[Local Organisation].[CAB].[Government Region].&amp;[North West]"/>
              </i>
              <i n="[Local Organisation].[CAB].[Member].&amp;[Tameside District (member)]&amp;[North West]" c="Tameside District (member)">
                <p n="[Local Organisation].[CAB].[Government Region].&amp;[North West]"/>
              </i>
              <i n="[Local Organisation].[CAB].[Member].&amp;[Trafford Citizens Advice Bureau (member)]&amp;[North West]" c="Trafford Citizens Advice Bureau (member)">
                <p n="[Local Organisation].[CAB].[Government Region].&amp;[North West]"/>
              </i>
              <i n="[Local Organisation].[CAB].[Member].&amp;[Warrington District (member)]&amp;[North West]" c="Warrington District (member)">
                <p n="[Local Organisation].[CAB].[Government Region].&amp;[North West]"/>
              </i>
              <i n="[Local Organisation].[CAB].[Member].&amp;[Wavertree (member)]&amp;[North West]" c="Wavertree (member)">
                <p n="[Local Organisation].[CAB].[Government Region].&amp;[North West]"/>
              </i>
              <i n="[Local Organisation].[CAB].[Member].&amp;[Wigan Borough CAB (member)]&amp;[North West]" c="Wigan Borough CAB (member)">
                <p n="[Local Organisation].[CAB].[Government Region].&amp;[North West]"/>
              </i>
              <i n="[Local Organisation].[CAB].[Member].&amp;[Wirral (member)]&amp;[North West]" c="Wirral (member)">
                <p n="[Local Organisation].[CAB].[Government Region].&amp;[North West]"/>
              </i>
              <i n="[Local Organisation].[CAB].[Member].&amp;[Adviceline Specialist Provider Gateshead]&amp;[Not recorded/not applicable]" c="Adviceline Specialist Provider Gateshead">
                <p n="[Local Organisation].[CAB].[Government Region].&amp;[Not recorded/not applicable]"/>
              </i>
              <i n="[Local Organisation].[CAB].[Member].&amp;[Citizens Advice Member]&amp;[Not recorded/not applicable]" c="Citizens Advice Member">
                <p n="[Local Organisation].[CAB].[Government Region].&amp;[Not recorded/not applicable]"/>
              </i>
              <i n="[Local Organisation].[CAB].[Member].&amp;[Citizens Advice PCCs]&amp;[Not recorded/not applicable]" c="Citizens Advice PCCs">
                <p n="[Local Organisation].[CAB].[Government Region].&amp;[Not recorded/not applicable]"/>
              </i>
              <i n="[Local Organisation].[CAB].[Member].&amp;[MASDAP Contact Centres]&amp;[Not recorded/not applicable]" c="MASDAP Contact Centres">
                <p n="[Local Organisation].[CAB].[Government Region].&amp;[Not recorded/not applicable]"/>
              </i>
              <i n="[Local Organisation].[CAB].[Member].&amp;[Not recorded/not applicable]&amp;[Not recorded/not applicable]" c="Not recorded/not applicable">
                <p n="[Local Organisation].[CAB].[Government Region].&amp;[Not recorded/not applicable]"/>
              </i>
              <i n="[Local Organisation].[CAB].[Member].&amp;[Proof of Concept Caerphilly/Merton]&amp;[Not recorded/not applicable]" c="Proof of Concept Caerphilly/Merton">
                <p n="[Local Organisation].[CAB].[Government Region].&amp;[Not recorded/not applicable]"/>
              </i>
              <i n="[Local Organisation].[CAB].[Member].&amp;[Arun &amp; Chichester (member)]&amp;[South East]" c="Arun &amp; Chichester (member)">
                <p n="[Local Organisation].[CAB].[Government Region].&amp;[South East]"/>
              </i>
              <i n="[Local Organisation].[CAB].[Member].&amp;[Ash (member)]&amp;[South East]" c="Ash (member)">
                <p n="[Local Organisation].[CAB].[Government Region].&amp;[South East]"/>
              </i>
              <i n="[Local Organisation].[CAB].[Member].&amp;[Ashford Borough (member)]&amp;[South East]" c="Ashford Borough (member)">
                <p n="[Local Organisation].[CAB].[Government Region].&amp;[South East]"/>
              </i>
              <i n="[Local Organisation].[CAB].[Member].&amp;[Aylesbury &amp; District (member)]&amp;[South East]" c="Aylesbury &amp; District (member)">
                <p n="[Local Organisation].[CAB].[Government Region].&amp;[South East]"/>
              </i>
              <i n="[Local Organisation].[CAB].[Member].&amp;[Basingstoke (member)]&amp;[South East]" c="Basingstoke (member)">
                <p n="[Local Organisation].[CAB].[Government Region].&amp;[South East]"/>
              </i>
              <i n="[Local Organisation].[CAB].[Member].&amp;[Bracknell &amp; District (member)]&amp;[South East]" c="Bracknell &amp; District (member)">
                <p n="[Local Organisation].[CAB].[Government Region].&amp;[South East]"/>
              </i>
              <i n="[Local Organisation].[CAB].[Member].&amp;[Brighton and Hove (member)]&amp;[South East]" c="Brighton and Hove (member)">
                <p n="[Local Organisation].[CAB].[Government Region].&amp;[South East]"/>
              </i>
              <i n="[Local Organisation].[CAB].[Member].&amp;[Buckingham Winslow &amp; District (member)]&amp;[South East]" c="Buckingham Winslow &amp; District (member)">
                <p n="[Local Organisation].[CAB].[Government Region].&amp;[South East]"/>
              </i>
              <i n="[Local Organisation].[CAB].[Member].&amp;[CAB in Swale (member)]&amp;[South East]" c="CAB in Swale (member)">
                <p n="[Local Organisation].[CAB].[Government Region].&amp;[South East]"/>
              </i>
              <i n="[Local Organisation].[CAB].[Member].&amp;[Camberley (member)]&amp;[South East]" c="Camberley (member)">
                <p n="[Local Organisation].[CAB].[Government Region].&amp;[South East]"/>
              </i>
              <i n="[Local Organisation].[CAB].[Member].&amp;[Canterbury District (member)]&amp;[South East]" c="Canterbury District (member)">
                <p n="[Local Organisation].[CAB].[Government Region].&amp;[South East]"/>
              </i>
              <i n="[Local Organisation].[CAB].[Member].&amp;[Caterham &amp; Warlingham (member)]&amp;[South East]" c="Caterham &amp; Warlingham (member)">
                <p n="[Local Organisation].[CAB].[Government Region].&amp;[South East]"/>
              </i>
              <i n="[Local Organisation].[CAB].[Member].&amp;[Central and South Sussex CAB (member)]&amp;[South East]" c="Central and South Sussex CAB (member)">
                <p n="[Local Organisation].[CAB].[Government Region].&amp;[South East]"/>
              </i>
              <i n="[Local Organisation].[CAB].[Member].&amp;[Chiltern (member)]&amp;[South East]" c="Chiltern (member)">
                <p n="[Local Organisation].[CAB].[Government Region].&amp;[South East]"/>
              </i>
              <i n="[Local Organisation].[CAB].[Member].&amp;[Citizens Advice Slough (member)]&amp;[South East]" c="Citizens Advice Slough (member)">
                <p n="[Local Organisation].[CAB].[Government Region].&amp;[South East]"/>
              </i>
              <i n="[Local Organisation].[CAB].[Member].&amp;[Citizens Advice Waverley (member)]&amp;[South East]" c="Citizens Advice Waverley (member)">
                <p n="[Local Organisation].[CAB].[Government Region].&amp;[South East]"/>
              </i>
              <i n="[Local Organisation].[CAB].[Member].&amp;[Dartford (member)]&amp;[South East]" c="Dartford (member)">
                <p n="[Local Organisation].[CAB].[Government Region].&amp;[South East]"/>
              </i>
              <i n="[Local Organisation].[CAB].[Member].&amp;[Dover, Deal &amp; District CAB (member)]&amp;[South East]" c="Dover, Deal &amp; District CAB (member)">
                <p n="[Local Organisation].[CAB].[Government Region].&amp;[South East]"/>
              </i>
              <i n="[Local Organisation].[CAB].[Member].&amp;[East Hampshire (member)]&amp;[South East]" c="East Hampshire (member)">
                <p n="[Local Organisation].[CAB].[Government Region].&amp;[South East]"/>
              </i>
              <i n="[Local Organisation].[CAB].[Member].&amp;[Eastbourne (member)]&amp;[South East]" c="Eastbourne (member)">
                <p n="[Local Organisation].[CAB].[Government Region].&amp;[South East]"/>
              </i>
              <i n="[Local Organisation].[CAB].[Member].&amp;[Eastleigh (member)]&amp;[South East]" c="Eastleigh (member)">
                <p n="[Local Organisation].[CAB].[Government Region].&amp;[South East]"/>
              </i>
              <i n="[Local Organisation].[CAB].[Member].&amp;[Edenbridge &amp; Westerham (member)]&amp;[South East]" c="Edenbridge &amp; Westerham (member)">
                <p n="[Local Organisation].[CAB].[Government Region].&amp;[South East]"/>
              </i>
              <i n="[Local Organisation].[CAB].[Member].&amp;[Epsom &amp; Ewell (member)]&amp;[South East]" c="Epsom &amp; Ewell (member)">
                <p n="[Local Organisation].[CAB].[Government Region].&amp;[South East]"/>
              </i>
              <i n="[Local Organisation].[CAB].[Member].&amp;[Esher &amp; District (member)]&amp;[South East]" c="Esher &amp; District (member)">
                <p n="[Local Organisation].[CAB].[Government Region].&amp;[South East]"/>
              </i>
              <i n="[Local Organisation].[CAB].[Member].&amp;[Fareham (member)]&amp;[South East]" c="Fareham (member)">
                <p n="[Local Organisation].[CAB].[Government Region].&amp;[South East]"/>
              </i>
              <i n="[Local Organisation].[CAB].[Member].&amp;[Folkestone (Shepway) (member)]&amp;[South East]" c="Folkestone (Shepway) (member)">
                <p n="[Local Organisation].[CAB].[Government Region].&amp;[South East]"/>
              </i>
              <i n="[Local Organisation].[CAB].[Member].&amp;[Gosport (member)]&amp;[South East]" c="Gosport (member)">
                <p n="[Local Organisation].[CAB].[Government Region].&amp;[South East]"/>
              </i>
              <i n="[Local Organisation].[CAB].[Member].&amp;[Guildford Citizens Advice Bureau (member)]&amp;[South East]" c="Guildford Citizens Advice Bureau (member)">
                <p n="[Local Organisation].[CAB].[Government Region].&amp;[South East]"/>
              </i>
              <i n="[Local Organisation].[CAB].[Member].&amp;[Hampshire Macmillan (member)]&amp;[South East]" c="Hampshire Macmillan (member)">
                <p n="[Local Organisation].[CAB].[Government Region].&amp;[South East]"/>
              </i>
              <i n="[Local Organisation].[CAB].[Member].&amp;[Hart District (member)]&amp;[South East]" c="Hart District (member)">
                <p n="[Local Organisation].[CAB].[Government Region].&amp;[South East]"/>
              </i>
              <i n="[Local Organisation].[CAB].[Member].&amp;[Hastings &amp; Rother (1066) (member)]&amp;[South East]" c="Hastings &amp; Rother (1066) (member)">
                <p n="[Local Organisation].[CAB].[Government Region].&amp;[South East]"/>
              </i>
              <i n="[Local Organisation].[CAB].[Member].&amp;[Havant &amp; District (member)]&amp;[South East]" c="Havant &amp; District (member)">
                <p n="[Local Organisation].[CAB].[Government Region].&amp;[South East]"/>
              </i>
              <i n="[Local Organisation].[CAB].[Member].&amp;[High Wycombe &amp; District (member)]&amp;[South East]" c="High Wycombe &amp; District (member)">
                <p n="[Local Organisation].[CAB].[Government Region].&amp;[South East]"/>
              </i>
              <i n="[Local Organisation].[CAB].[Member].&amp;[Isle of Wight CAB (member)]&amp;[South East]" c="Isle of Wight CAB (member)">
                <p n="[Local Organisation].[CAB].[Government Region].&amp;[South East]"/>
              </i>
              <i n="[Local Organisation].[CAB].[Member].&amp;[Leatherhead and Dorking (member)]&amp;[South East]" c="Leatherhead and Dorking (member)">
                <p n="[Local Organisation].[CAB].[Government Region].&amp;[South East]"/>
              </i>
              <i n="[Local Organisation].[CAB].[Member].&amp;[Lewes District (member)]&amp;[South East]" c="Lewes District (member)">
                <p n="[Local Organisation].[CAB].[Government Region].&amp;[South East]"/>
              </i>
              <i n="[Local Organisation].[CAB].[Member].&amp;[Maidenhead (member)]&amp;[South East]" c="Maidenhead (member)">
                <p n="[Local Organisation].[CAB].[Government Region].&amp;[South East]"/>
              </i>
              <i n="[Local Organisation].[CAB].[Member].&amp;[Maidstone (member)]&amp;[South East]" c="Maidstone (member)">
                <p n="[Local Organisation].[CAB].[Government Region].&amp;[South East]"/>
              </i>
              <i n="[Local Organisation].[CAB].[Member].&amp;[Medway (member)]&amp;[South East]" c="Medway (member)">
                <p n="[Local Organisation].[CAB].[Government Region].&amp;[South East]"/>
              </i>
              <i n="[Local Organisation].[CAB].[Member].&amp;[Milton Keynes (member)]&amp;[South East]" c="Milton Keynes (member)">
                <p n="[Local Organisation].[CAB].[Government Region].&amp;[South East]"/>
              </i>
              <i n="[Local Organisation].[CAB].[Member].&amp;[New Forest (member)]&amp;[South East]" c="New Forest (member)">
                <p n="[Local Organisation].[CAB].[Government Region].&amp;[South East]"/>
              </i>
              <i n="[Local Organisation].[CAB].[Member].&amp;[North &amp; West Kent (member)]&amp;[South East]" c="North &amp; West Kent (member)">
                <p n="[Local Organisation].[CAB].[Government Region].&amp;[South East]"/>
              </i>
              <i n="[Local Organisation].[CAB].[Member].&amp;[North Oxon &amp; South Northants (member)]&amp;[South East]" c="North Oxon &amp; South Northants (member)">
                <p n="[Local Organisation].[CAB].[Government Region].&amp;[South East]"/>
              </i>
              <i n="[Local Organisation].[CAB].[Member].&amp;[Oxford (member)]&amp;[South East]" c="Oxford (member)">
                <p n="[Local Organisation].[CAB].[Government Region].&amp;[South East]"/>
              </i>
              <i n="[Local Organisation].[CAB].[Member].&amp;[Oxfordshire South &amp; Vale (member)]&amp;[South East]" c="Oxfordshire South &amp; Vale (member)">
                <p n="[Local Organisation].[CAB].[Government Region].&amp;[South East]"/>
              </i>
              <i n="[Local Organisation].[CAB].[Member].&amp;[Oxted Citizens Advice Bureau (member)]&amp;[South East]" c="Oxted Citizens Advice Bureau (member)">
                <p n="[Local Organisation].[CAB].[Government Region].&amp;[South East]"/>
              </i>
              <i n="[Local Organisation].[CAB].[Member].&amp;[Portsmouth (member)]&amp;[South East]" c="Portsmouth (member)">
                <p n="[Local Organisation].[CAB].[Government Region].&amp;[South East]"/>
              </i>
              <i n="[Local Organisation].[CAB].[Member].&amp;[Reading Citizens Advice Bureau (member)]&amp;[South East]" c="Reading Citizens Advice Bureau (member)">
                <p n="[Local Organisation].[CAB].[Government Region].&amp;[South East]"/>
              </i>
              <i n="[Local Organisation].[CAB].[Member].&amp;[Reigate &amp; Banstead District (member)]&amp;[South East]" c="Reigate &amp; Banstead District (member)">
                <p n="[Local Organisation].[CAB].[Government Region].&amp;[South East]"/>
              </i>
              <i n="[Local Organisation].[CAB].[Member].&amp;[Rother District (member)]&amp;[South East]" c="Rother District (member)">
                <p n="[Local Organisation].[CAB].[Government Region].&amp;[South East]"/>
              </i>
              <i n="[Local Organisation].[CAB].[Member].&amp;[Runnymede and Spelthorne (member)]&amp;[South East]" c="Runnymede and Spelthorne (member)">
                <p n="[Local Organisation].[CAB].[Government Region].&amp;[South East]"/>
              </i>
              <i n="[Local Organisation].[CAB].[Member].&amp;[Rushmoor (member)]&amp;[South East]" c="Rushmoor (member)">
                <p n="[Local Organisation].[CAB].[Government Region].&amp;[South East]"/>
              </i>
              <i n="[Local Organisation].[CAB].[Member].&amp;[Southampton (member)]&amp;[South East]" c="Southampton (member)">
                <p n="[Local Organisation].[CAB].[Government Region].&amp;[South East]"/>
              </i>
              <i n="[Local Organisation].[CAB].[Member].&amp;[Surrey Welfare Rights Unit (member)]&amp;[South East]" c="Surrey Welfare Rights Unit (member)">
                <p n="[Local Organisation].[CAB].[Government Region].&amp;[South East]"/>
              </i>
              <i n="[Local Organisation].[CAB].[Member].&amp;[Tadley (member)]&amp;[South East]" c="Tadley (member)">
                <p n="[Local Organisation].[CAB].[Government Region].&amp;[South East]"/>
              </i>
              <i n="[Local Organisation].[CAB].[Member].&amp;[Test Valley (member)]&amp;[South East]" c="Test Valley (member)">
                <p n="[Local Organisation].[CAB].[Government Region].&amp;[South East]"/>
              </i>
              <i n="[Local Organisation].[CAB].[Member].&amp;[Thanet District (member)]&amp;[South East]" c="Thanet District (member)">
                <p n="[Local Organisation].[CAB].[Government Region].&amp;[South East]"/>
              </i>
              <i n="[Local Organisation].[CAB].[Member].&amp;[Tunbridge Wells and District (member)]&amp;[South East]" c="Tunbridge Wells and District (member)">
                <p n="[Local Organisation].[CAB].[Government Region].&amp;[South East]"/>
              </i>
              <i n="[Local Organisation].[CAB].[Member].&amp;[Walton Weybridge &amp; Hersham (member)]&amp;[South East]" c="Walton Weybridge &amp; Hersham (member)">
                <p n="[Local Organisation].[CAB].[Government Region].&amp;[South East]"/>
              </i>
              <i n="[Local Organisation].[CAB].[Member].&amp;[Wealden (member)]&amp;[South East]" c="Wealden (member)">
                <p n="[Local Organisation].[CAB].[Government Region].&amp;[South East]"/>
              </i>
              <i n="[Local Organisation].[CAB].[Member].&amp;[West Berkshire (member)]&amp;[South East]" c="West Berkshire (member)">
                <p n="[Local Organisation].[CAB].[Government Region].&amp;[South East]"/>
              </i>
              <i n="[Local Organisation].[CAB].[Member].&amp;[West Oxfordshire (member)]&amp;[South East]" c="West Oxfordshire (member)">
                <p n="[Local Organisation].[CAB].[Government Region].&amp;[South East]"/>
              </i>
              <i n="[Local Organisation].[CAB].[Member].&amp;[Winchester District (member)]&amp;[South East]" c="Winchester District (member)">
                <p n="[Local Organisation].[CAB].[Government Region].&amp;[South East]"/>
              </i>
              <i n="[Local Organisation].[CAB].[Member].&amp;[Woking Citizens Advice Bureau (member)]&amp;[South East]" c="Woking Citizens Advice Bureau (member)">
                <p n="[Local Organisation].[CAB].[Government Region].&amp;[South East]"/>
              </i>
              <i n="[Local Organisation].[CAB].[Member].&amp;[Wokingham &amp; District CAB (member)]&amp;[South East]" c="Wokingham &amp; District CAB (member)">
                <p n="[Local Organisation].[CAB].[Government Region].&amp;[South East]"/>
              </i>
              <i n="[Local Organisation].[CAB].[Member].&amp;[Bath and North East Somerset CAB (member)]&amp;[South West]" c="Bath and North East Somerset CAB (member)">
                <p n="[Local Organisation].[CAB].[Government Region].&amp;[South West]"/>
              </i>
              <i n="[Local Organisation].[CAB].[Member].&amp;[Bournemouth (member)]&amp;[South West]" c="Bournemouth (member)">
                <p n="[Local Organisation].[CAB].[Government Region].&amp;[South West]"/>
              </i>
              <i n="[Local Organisation].[CAB].[Member].&amp;[Bridport &amp; District (member)]&amp;[South West]" c="Bridport &amp; District (member)">
                <p n="[Local Organisation].[CAB].[Government Region].&amp;[South West]"/>
              </i>
              <i n="[Local Organisation].[CAB].[Member].&amp;[Bristol (member)]&amp;[South West]" c="Bristol (member)">
                <p n="[Local Organisation].[CAB].[Government Region].&amp;[South West]"/>
              </i>
              <i n="[Local Organisation].[CAB].[Member].&amp;[CAB Cornwall (member)]&amp;[South West]" c="CAB Cornwall (member)">
                <p n="[Local Organisation].[CAB].[Government Region].&amp;[South West]"/>
              </i>
              <i n="[Local Organisation].[CAB].[Member].&amp;[Christchurch (member)]&amp;[South West]" c="Christchurch (member)">
                <p n="[Local Organisation].[CAB].[Government Region].&amp;[South West]"/>
              </i>
              <i n="[Local Organisation].[CAB].[Member].&amp;[Citizens Advice Teignbridge (member)]&amp;[South West]" c="Citizens Advice Teignbridge (member)">
                <p n="[Local Organisation].[CAB].[Government Region].&amp;[South West]"/>
              </i>
              <i n="[Local Organisation].[CAB].[Member].&amp;[Dorchester, Sherborne &amp; District (Member)]&amp;[South West]" c="Dorchester, Sherborne &amp; District (Member)">
                <p n="[Local Organisation].[CAB].[Government Region].&amp;[South West]"/>
              </i>
              <i n="[Local Organisation].[CAB].[Member].&amp;[East Devon (member)]&amp;[South West]" c="East Devon (member)">
                <p n="[Local Organisation].[CAB].[Government Region].&amp;[South West]"/>
              </i>
              <i n="[Local Organisation].[CAB].[Member].&amp;[East Dorset (member)]&amp;[South West]" c="East Dorset (member)">
                <p n="[Local Organisation].[CAB].[Government Region].&amp;[South West]"/>
              </i>
              <i n="[Local Organisation].[CAB].[Member].&amp;[Exeter Citizens Advice Bureau (member)]&amp;[South West]" c="Exeter Citizens Advice Bureau (member)">
                <p n="[Local Organisation].[CAB].[Government Region].&amp;[South West]"/>
              </i>
              <i n="[Local Organisation].[CAB].[Member].&amp;[Forest of Dean (member)]&amp;[South West]" c="Forest of Dean (member)">
                <p n="[Local Organisation].[CAB].[Government Region].&amp;[South West]"/>
              </i>
              <i n="[Local Organisation].[CAB].[Member].&amp;[Gloucester &amp; District (member)]&amp;[South West]" c="Gloucester &amp; District (member)">
                <p n="[Local Organisation].[CAB].[Government Region].&amp;[South West]"/>
              </i>
              <i n="[Local Organisation].[CAB].[Member].&amp;[Mendip (member)]&amp;[South West]" c="Mendip (member)">
                <p n="[Local Organisation].[CAB].[Government Region].&amp;[South West]"/>
              </i>
              <i n="[Local Organisation].[CAB].[Member].&amp;[North Dorset (member)]&amp;[South West]" c="North Dorset (member)">
                <p n="[Local Organisation].[CAB].[Government Region].&amp;[South West]"/>
              </i>
              <i n="[Local Organisation].[CAB].[Member].&amp;[North Somerset CAB (member)]&amp;[South West]" c="North Somerset CAB (member)">
                <p n="[Local Organisation].[CAB].[Government Region].&amp;[South West]"/>
              </i>
              <i n="[Local Organisation].[CAB].[Member].&amp;[Plymouth Citizens Advice Bureau (member)]&amp;[South West]" c="Plymouth Citizens Advice Bureau (member)">
                <p n="[Local Organisation].[CAB].[Government Region].&amp;[South West]"/>
              </i>
              <i n="[Local Organisation].[CAB].[Member].&amp;[Poole (member)]&amp;[South West]" c="Poole (member)">
                <p n="[Local Organisation].[CAB].[Government Region].&amp;[South West]"/>
              </i>
              <i n="[Local Organisation].[CAB].[Member].&amp;[Purbeck (member)]&amp;[South West]" c="Purbeck (member)">
                <p n="[Local Organisation].[CAB].[Government Region].&amp;[South West]"/>
              </i>
              <i n="[Local Organisation].[CAB].[Member].&amp;[Sedgemoor (member)]&amp;[South West]" c="Sedgemoor (member)">
                <p n="[Local Organisation].[CAB].[Government Region].&amp;[South West]"/>
              </i>
              <i n="[Local Organisation].[CAB].[Member].&amp;[South Gloucestershire CAB (member)]&amp;[South West]" c="South Gloucestershire CAB (member)">
                <p n="[Local Organisation].[CAB].[Government Region].&amp;[South West]"/>
              </i>
              <i n="[Local Organisation].[CAB].[Member].&amp;[South Hams (member)]&amp;[South West]" c="South Hams (member)">
                <p n="[Local Organisation].[CAB].[Government Region].&amp;[South West]"/>
              </i>
              <i n="[Local Organisation].[CAB].[Member].&amp;[South Somerset (member)]&amp;[South West]" c="South Somerset (member)">
                <p n="[Local Organisation].[CAB].[Government Region].&amp;[South West]"/>
              </i>
              <i n="[Local Organisation].[CAB].[Member].&amp;[Stroud &amp; District (member)]&amp;[South West]" c="Stroud &amp; District (member)">
                <p n="[Local Organisation].[CAB].[Government Region].&amp;[South West]"/>
              </i>
              <i n="[Local Organisation].[CAB].[Member].&amp;[Swindon (member)]&amp;[South West]" c="Swindon (member)">
                <p n="[Local Organisation].[CAB].[Government Region].&amp;[South West]"/>
              </i>
              <i n="[Local Organisation].[CAB].[Member].&amp;[Taunton (member)]&amp;[South West]" c="Taunton (member)">
                <p n="[Local Organisation].[CAB].[Government Region].&amp;[South West]"/>
              </i>
              <i n="[Local Organisation].[CAB].[Member].&amp;[Torbay (member)]&amp;[South West]" c="Torbay (member)">
                <p n="[Local Organisation].[CAB].[Government Region].&amp;[South West]"/>
              </i>
              <i n="[Local Organisation].[CAB].[Member].&amp;[Torridge North, Mid &amp; West Devon (member)]&amp;[South West]" c="Torridge North, Mid &amp; West Devon (member)">
                <p n="[Local Organisation].[CAB].[Government Region].&amp;[South West]"/>
              </i>
              <i n="[Local Organisation].[CAB].[Member].&amp;[Weymouth &amp; Portland (member)]&amp;[South West]" c="Weymouth &amp; Portland (member)">
                <p n="[Local Organisation].[CAB].[Government Region].&amp;[South West]"/>
              </i>
              <i n="[Local Organisation].[CAB].[Member].&amp;[Wiltshire (member)]&amp;[South West]" c="Wiltshire (member)">
                <p n="[Local Organisation].[CAB].[Government Region].&amp;[South West]"/>
              </i>
              <i n="[Local Organisation].[CAB].[Member].&amp;[Bridgend County Borough (member)]&amp;[Wales]" c="Bridgend County Borough (member)">
                <p n="[Local Organisation].[CAB].[Government Region].&amp;[Wales]"/>
              </i>
              <i n="[Local Organisation].[CAB].[Member].&amp;[CAB Cylch Conwy District (member)]&amp;[Wales]" c="CAB Cylch Conwy District (member)">
                <p n="[Local Organisation].[CAB].[Government Region].&amp;[Wales]"/>
              </i>
              <i n="[Local Organisation].[CAB].[Member].&amp;[Caerphilly County (member)]&amp;[Wales]" c="Caerphilly County (member)">
                <p n="[Local Organisation].[CAB].[Government Region].&amp;[Wales]"/>
              </i>
              <i n="[Local Organisation].[CAB].[Member].&amp;[Canolfan Cynghori Ynys Mon (member)]&amp;[Wales]" c="Canolfan Cynghori Ynys Mon (member)">
                <p n="[Local Organisation].[CAB].[Government Region].&amp;[Wales]"/>
              </i>
              <i n="[Local Organisation].[CAB].[Member].&amp;[Cardiff and Vale (member)]&amp;[Wales]" c="Cardiff and Vale (member)">
                <p n="[Local Organisation].[CAB].[Government Region].&amp;[Wales]"/>
              </i>
              <i n="[Local Organisation].[CAB].[Member].&amp;[Carmarthenshire (member)]&amp;[Wales]" c="Carmarthenshire (member)">
                <p n="[Local Organisation].[CAB].[Government Region].&amp;[Wales]"/>
              </i>
              <i n="[Local Organisation].[CAB].[Member].&amp;[Cyngor Ar Bopeth Ceredigion (member)]&amp;[Wales]" c="Cyngor Ar Bopeth Ceredigion (member)">
                <p n="[Local Organisation].[CAB].[Government Region].&amp;[Wales]"/>
              </i>
              <i n="[Local Organisation].[CAB].[Member].&amp;[Denbighshire (member)]&amp;[Wales]" c="Denbighshire (member)">
                <p n="[Local Organisation].[CAB].[Government Region].&amp;[Wales]"/>
              </i>
              <i n="[Local Organisation].[CAB].[Member].&amp;[Flintshire (member)]&amp;[Wales]" c="Flintshire (member)">
                <p n="[Local Organisation].[CAB].[Government Region].&amp;[Wales]"/>
              </i>
              <i n="[Local Organisation].[CAB].[Member].&amp;[Gwynedd &amp; De Ynys Mon (member)]&amp;[Wales]" c="Gwynedd &amp; De Ynys Mon (member)">
                <p n="[Local Organisation].[CAB].[Government Region].&amp;[Wales]"/>
              </i>
              <i n="[Local Organisation].[CAB].[Member].&amp;[Merthyr Tydfil (member)]&amp;[Wales]" c="Merthyr Tydfil (member)">
                <p n="[Local Organisation].[CAB].[Government Region].&amp;[Wales]"/>
              </i>
              <i n="[Local Organisation].[CAB].[Member].&amp;[Monmouthshire County (member)]&amp;[Wales]" c="Monmouthshire County (member)">
                <p n="[Local Organisation].[CAB].[Government Region].&amp;[Wales]"/>
              </i>
              <i n="[Local Organisation].[CAB].[Member].&amp;[Newport (member)]&amp;[Wales]" c="Newport (member)">
                <p n="[Local Organisation].[CAB].[Government Region].&amp;[Wales]"/>
              </i>
              <i n="[Local Organisation].[CAB].[Member].&amp;[Pembrokeshire (member)]&amp;[Wales]" c="Pembrokeshire (member)">
                <p n="[Local Organisation].[CAB].[Government Region].&amp;[Wales]"/>
              </i>
              <i n="[Local Organisation].[CAB].[Member].&amp;[Powys (member)]&amp;[Wales]" c="Powys (member)">
                <p n="[Local Organisation].[CAB].[Government Region].&amp;[Wales]"/>
              </i>
              <i n="[Local Organisation].[CAB].[Member].&amp;[Rhondda Cynon Taff (member)]&amp;[Wales]" c="Rhondda Cynon Taff (member)">
                <p n="[Local Organisation].[CAB].[Government Region].&amp;[Wales]"/>
              </i>
              <i n="[Local Organisation].[CAB].[Member].&amp;[Rhondda Taff (member)]&amp;[Wales]" c="Rhondda Taff (member)">
                <p n="[Local Organisation].[CAB].[Government Region].&amp;[Wales]"/>
              </i>
              <i n="[Local Organisation].[CAB].[Member].&amp;[Swansea Neath Port Talbot (member)]&amp;[Wales]" c="Swansea Neath Port Talbot (member)">
                <p n="[Local Organisation].[CAB].[Government Region].&amp;[Wales]"/>
              </i>
              <i n="[Local Organisation].[CAB].[Member].&amp;[Torfaen (member)]&amp;[Wales]" c="Torfaen (member)">
                <p n="[Local Organisation].[CAB].[Government Region].&amp;[Wales]"/>
              </i>
              <i n="[Local Organisation].[CAB].[Member].&amp;[Wrexham &amp; District (member)]&amp;[Wales]" c="Wrexham &amp; District (member)">
                <p n="[Local Organisation].[CAB].[Government Region].&amp;[Wales]"/>
              </i>
              <i n="[Local Organisation].[CAB].[Member].&amp;[Bedworth, Rugby and Nuneaton (member)]&amp;[West Midlands]" c="Bedworth, Rugby and Nuneaton (member)">
                <p n="[Local Organisation].[CAB].[Government Region].&amp;[West Midlands]"/>
              </i>
              <i n="[Local Organisation].[CAB].[Member].&amp;[Birmingham (member)]&amp;[West Midlands]" c="Birmingham (member)">
                <p n="[Local Organisation].[CAB].[Government Region].&amp;[West Midlands]"/>
              </i>
              <i n="[Local Organisation].[CAB].[Member].&amp;[Bromsgrove &amp; District (member)]&amp;[West Midlands]" c="Bromsgrove &amp; District (member)">
                <p n="[Local Organisation].[CAB].[Government Region].&amp;[West Midlands]"/>
              </i>
              <i n="[Local Organisation].[CAB].[Member].&amp;[Cheadle (member)]&amp;[West Midlands]" c="Cheadle (member)">
                <p n="[Local Organisation].[CAB].[Government Region].&amp;[West Midlands]"/>
              </i>
              <i n="[Local Organisation].[CAB].[Member].&amp;[Coventry (member)]&amp;[West Midlands]" c="Coventry (member)">
                <p n="[Local Organisation].[CAB].[Government Region].&amp;[West Midlands]"/>
              </i>
              <i n="[Local Organisation].[CAB].[Member].&amp;[Dudley District (member)]&amp;[West Midlands]" c="Dudley District (member)">
                <p n="[Local Organisation].[CAB].[Government Region].&amp;[West Midlands]"/>
              </i>
              <i n="[Local Organisation].[CAB].[Member].&amp;[East Staffordshire (member)]&amp;[West Midlands]" c="East Staffordshire (member)">
                <p n="[Local Organisation].[CAB].[Government Region].&amp;[West Midlands]"/>
              </i>
              <i n="[Local Organisation].[CAB].[Member].&amp;[Herefordshire (member)]&amp;[West Midlands]" c="Herefordshire (member)">
                <p n="[Local Organisation].[CAB].[Government Region].&amp;[West Midlands]"/>
              </i>
              <i n="[Local Organisation].[CAB].[Member].&amp;[Leek Citizens Advice Bureau (member)]&amp;[West Midlands]" c="Leek Citizens Advice Bureau (member)">
                <p n="[Local Organisation].[CAB].[Government Region].&amp;[West Midlands]"/>
              </i>
              <i n="[Local Organisation].[CAB].[Member].&amp;[North Warwickshire (member)]&amp;[West Midlands]" c="North Warwickshire (member)">
                <p n="[Local Organisation].[CAB].[Government Region].&amp;[West Midlands]"/>
              </i>
              <i n="[Local Organisation].[CAB].[Member].&amp;[Redditch (member)]&amp;[West Midlands]" c="Redditch (member)">
                <p n="[Local Organisation].[CAB].[Government Region].&amp;[West Midlands]"/>
              </i>
              <i n="[Local Organisation].[CAB].[Member].&amp;[Sandwell (member)]&amp;[West Midlands]" c="Sandwell (member)">
                <p n="[Local Organisation].[CAB].[Government Region].&amp;[West Midlands]"/>
              </i>
              <i n="[Local Organisation].[CAB].[Member].&amp;[Shropshire (member)]&amp;[West Midlands]" c="Shropshire (member)">
                <p n="[Local Organisation].[CAB].[Government Region].&amp;[West Midlands]"/>
              </i>
              <i n="[Local Organisation].[CAB].[Member].&amp;[Solihull Borough (member)]&amp;[West Midlands]" c="Solihull Borough (member)">
                <p n="[Local Organisation].[CAB].[Government Region].&amp;[West Midlands]"/>
              </i>
              <i n="[Local Organisation].[CAB].[Member].&amp;[South East Staffordshire (member)]&amp;[West Midlands]" c="South East Staffordshire (member)">
                <p n="[Local Organisation].[CAB].[Government Region].&amp;[West Midlands]"/>
              </i>
              <i n="[Local Organisation].[CAB].[Member].&amp;[South Staffordshire (member)]&amp;[West Midlands]" c="South Staffordshire (member)">
                <p n="[Local Organisation].[CAB].[Government Region].&amp;[West Midlands]"/>
              </i>
              <i n="[Local Organisation].[CAB].[Member].&amp;[South Worcestershire (member)]&amp;[West Midlands]" c="South Worcestershire (member)">
                <p n="[Local Organisation].[CAB].[Government Region].&amp;[West Midlands]"/>
              </i>
              <i n="[Local Organisation].[CAB].[Member].&amp;[Staffordshire North &amp; Stoke on Trent (member)]&amp;[West Midlands]" c="Staffordshire North &amp; Stoke on Trent (member)">
                <p n="[Local Organisation].[CAB].[Government Region].&amp;[West Midlands]"/>
              </i>
              <i n="[Local Organisation].[CAB].[Member].&amp;[Staffordshire SW (member)]&amp;[West Midlands]" c="Staffordshire SW (member)">
                <p n="[Local Organisation].[CAB].[Government Region].&amp;[West Midlands]"/>
              </i>
              <i n="[Local Organisation].[CAB].[Member].&amp;[Stratford upon Avon &amp; District (member)]&amp;[West Midlands]" c="Stratford upon Avon &amp; District (member)">
                <p n="[Local Organisation].[CAB].[Government Region].&amp;[West Midlands]"/>
              </i>
              <i n="[Local Organisation].[CAB].[Member].&amp;[Telford &amp; The Wrekin (member)]&amp;[West Midlands]" c="Telford &amp; The Wrekin (member)">
                <p n="[Local Organisation].[CAB].[Government Region].&amp;[West Midlands]"/>
              </i>
              <i n="[Local Organisation].[CAB].[Member].&amp;[Walsall (member)]&amp;[West Midlands]" c="Walsall (member)">
                <p n="[Local Organisation].[CAB].[Government Region].&amp;[West Midlands]"/>
              </i>
              <i n="[Local Organisation].[CAB].[Member].&amp;[Warwick District (member)]&amp;[West Midlands]" c="Warwick District (member)">
                <p n="[Local Organisation].[CAB].[Government Region].&amp;[West Midlands]"/>
              </i>
              <i n="[Local Organisation].[CAB].[Member].&amp;[Wolverhampton District (member)]&amp;[West Midlands]" c="Wolverhampton District (member)">
                <p n="[Local Organisation].[CAB].[Government Region].&amp;[West Midlands]"/>
              </i>
              <i n="[Local Organisation].[CAB].[Member].&amp;[Worcester (member)]&amp;[West Midlands]" c="Worcester (member)">
                <p n="[Local Organisation].[CAB].[Government Region].&amp;[West Midlands]"/>
              </i>
              <i n="[Local Organisation].[CAB].[Member].&amp;[Wyre Forest (member)]&amp;[West Midlands]" c="Wyre Forest (member)">
                <p n="[Local Organisation].[CAB].[Government Region].&amp;[West Midlands]"/>
              </i>
              <i n="[Local Organisation].[CAB].[Member].&amp;[Barnsley (member)]&amp;[Yorkshire &amp; the Humber]" c="Barnsley (member)">
                <p n="[Local Organisation].[CAB].[Government Region].&amp;[Yorkshire &amp; the Humber]"/>
              </i>
              <i n="[Local Organisation].[CAB].[Member].&amp;[Bradford and Airedale (member)]&amp;[Yorkshire &amp; the Humber]" c="Bradford and Airedale (member)">
                <p n="[Local Organisation].[CAB].[Government Region].&amp;[Yorkshire &amp; the Humber]"/>
              </i>
              <i n="[Local Organisation].[CAB].[Member].&amp;[Calderdale District (member)]&amp;[Yorkshire &amp; the Humber]" c="Calderdale District (member)">
                <p n="[Local Organisation].[CAB].[Government Region].&amp;[Yorkshire &amp; the Humber]"/>
              </i>
              <i n="[Local Organisation].[CAB].[Member].&amp;[Chapeltown (member)]&amp;[Yorkshire &amp; the Humber]" c="Chapeltown (member)">
                <p n="[Local Organisation].[CAB].[Government Region].&amp;[Yorkshire &amp; the Humber]"/>
              </i>
              <i n="[Local Organisation].[CAB].[Member].&amp;[Craven and Harrogate Districts (member)]&amp;[Yorkshire &amp; the Humber]" c="Craven and Harrogate Districts (member)">
                <p n="[Local Organisation].[CAB].[Government Region].&amp;[Yorkshire &amp; the Humber]"/>
              </i>
              <i n="[Local Organisation].[CAB].[Member].&amp;[Grimsby, Cleethorpes &amp; District (member)]&amp;[Yorkshire &amp; the Humber]" c="Grimsby, Cleethorpes &amp; District (member)">
                <p n="[Local Organisation].[CAB].[Government Region].&amp;[Yorkshire &amp; the Humber]"/>
              </i>
              <i n="[Local Organisation].[CAB].[Member].&amp;[Hambleton &amp; Richmondshire (member)]&amp;[Yorkshire &amp; the Humber]" c="Hambleton &amp; Richmondshire (member)">
                <p n="[Local Organisation].[CAB].[Government Region].&amp;[Yorkshire &amp; the Humber]"/>
              </i>
              <i n="[Local Organisation].[CAB].[Member].&amp;[Hull and East Riding (member)]&amp;[Yorkshire &amp; the Humber]" c="Hull and East Riding (member)">
                <p n="[Local Organisation].[CAB].[Government Region].&amp;[Yorkshire &amp; the Humber]"/>
              </i>
              <i n="[Local Organisation].[CAB].[Member].&amp;[Kirklees (member)]&amp;[Yorkshire &amp; the Humber]" c="Kirklees (member)">
                <p n="[Local Organisation].[CAB].[Government Region].&amp;[Yorkshire &amp; the Humber]"/>
              </i>
              <i n="[Local Organisation].[CAB].[Member].&amp;[Leeds (member)]&amp;[Yorkshire &amp; the Humber]" c="Leeds (member)">
                <p n="[Local Organisation].[CAB].[Government Region].&amp;[Yorkshire &amp; the Humber]"/>
              </i>
              <i n="[Local Organisation].[CAB].[Member].&amp;[Mexborough &amp; District (member)]&amp;[Yorkshire &amp; the Humber]" c="Mexborough &amp; District (member)">
                <p n="[Local Organisation].[CAB].[Government Region].&amp;[Yorkshire &amp; the Humber]"/>
              </i>
              <i n="[Local Organisation].[CAB].[Member].&amp;[North East Doncaster (member)]&amp;[Yorkshire &amp; the Humber]" c="North East Doncaster (member)">
                <p n="[Local Organisation].[CAB].[Government Region].&amp;[Yorkshire &amp; the Humber]"/>
              </i>
              <i n="[Local Organisation].[CAB].[Member].&amp;[Rotherham &amp; District (member)]&amp;[Yorkshire &amp; the Humber]" c="Rotherham &amp; District (member)">
                <p n="[Local Organisation].[CAB].[Government Region].&amp;[Yorkshire &amp; the Humber]"/>
              </i>
              <i n="[Local Organisation].[CAB].[Member].&amp;[Ryedale (member)]&amp;[Yorkshire &amp; the Humber]" c="Ryedale (member)">
                <p n="[Local Organisation].[CAB].[Government Region].&amp;[Yorkshire &amp; the Humber]"/>
              </i>
              <i n="[Local Organisation].[CAB].[Member].&amp;[Scarborough &amp; District (member)]&amp;[Yorkshire &amp; the Humber]" c="Scarborough &amp; District (member)">
                <p n="[Local Organisation].[CAB].[Government Region].&amp;[Yorkshire &amp; the Humber]"/>
              </i>
              <i n="[Local Organisation].[CAB].[Member].&amp;[Scunthorpe &amp; District (member)]&amp;[Yorkshire &amp; the Humber]" c="Scunthorpe &amp; District (member)">
                <p n="[Local Organisation].[CAB].[Government Region].&amp;[Yorkshire &amp; the Humber]"/>
              </i>
              <i n="[Local Organisation].[CAB].[Member].&amp;[Sheffield Citizens Advice (member)]&amp;[Yorkshire &amp; the Humber]" c="Sheffield Citizens Advice (member)">
                <p n="[Local Organisation].[CAB].[Government Region].&amp;[Yorkshire &amp; the Humber]"/>
              </i>
              <i n="[Local Organisation].[CAB].[Member].&amp;[Wakefield (member)]&amp;[Yorkshire &amp; the Humber]" c="Wakefield (member)">
                <p n="[Local Organisation].[CAB].[Government Region].&amp;[Yorkshire &amp; the Humber]"/>
              </i>
              <i n="[Local Organisation].[CAB].[Member].&amp;[York (member)]&amp;[Yorkshire &amp; the Humber]" c="York (member)">
                <p n="[Local Organisation].[CAB].[Government Region].&amp;[Yorkshire &amp; the Humber]"/>
              </i>
              <i n="[Local Organisation].[CAB].[Member].&amp;[Advice Derbyshire (member)]&amp;[East Midlands]" c="Advice Derbyshire (member)" nd="1">
                <p n="[Local Organisation].[CAB].[Government Region].&amp;[East Midlands]"/>
              </i>
              <i n="[Local Organisation].[CAB].[Member].&amp;[Alnwick &amp; District (member)]&amp;[North East]" c="Alnwick &amp; District (member)" nd="1">
                <p n="[Local Organisation].[CAB].[Government Region].&amp;[North East]"/>
              </i>
              <i n="[Local Organisation].[CAB].[Member].&amp;[Berwick (member)]&amp;[North East]" c="Berwick (member)" nd="1">
                <p n="[Local Organisation].[CAB].[Government Region].&amp;[North East]"/>
              </i>
              <i n="[Local Organisation].[CAB].[Member].&amp;[Blyth Valley (member)]&amp;[North East]" c="Blyth Valley (member)" nd="1">
                <p n="[Local Organisation].[CAB].[Government Region].&amp;[North East]"/>
              </i>
              <i n="[Local Organisation].[CAB].[Member].&amp;[Sedgefield &amp; District (member)]&amp;[North East]" c="Sedgefield &amp; District (member)" nd="1">
                <p n="[Local Organisation].[CAB].[Government Region].&amp;[North East]"/>
              </i>
              <i n="[Local Organisation].[CAB].[Member].&amp;[Teesdale (member)]&amp;[North East]" c="Teesdale (member)" nd="1">
                <p n="[Local Organisation].[CAB].[Government Region].&amp;[North East]"/>
              </i>
              <i n="[Local Organisation].[CAB].[Member].&amp;[Wansbeck (member)]&amp;[North East]" c="Wansbeck (member)" nd="1">
                <p n="[Local Organisation].[CAB].[Government Region].&amp;[North East]"/>
              </i>
              <i n="[Local Organisation].[CAB].[Member].&amp;[West Northumberland (member)]&amp;[North East]" c="West Northumberland (member)" nd="1">
                <p n="[Local Organisation].[CAB].[Government Region].&amp;[North East]"/>
              </i>
              <i n="[Local Organisation].[CAB].[Member].&amp;[Salford MHS (member)]&amp;[North West]" c="Salford MHS (member)" nd="1">
                <p n="[Local Organisation].[CAB].[Government Region].&amp;[North West]"/>
              </i>
              <i n="[Local Organisation].[CAB].[Member].&amp;[Agilisys]&amp;[Not recorded/not applicable]" c="Agilisys" nd="1">
                <p n="[Local Organisation].[CAB].[Government Region].&amp;[Not recorded/not applicable]"/>
              </i>
              <i n="[Local Organisation].[CAB].[Member].&amp;[LRTest Member]&amp;[Not recorded/not applicable]" c="LRTest Member" nd="1">
                <p n="[Local Organisation].[CAB].[Government Region].&amp;[Not recorded/not applicable]"/>
              </i>
              <i n="[Local Organisation].[CAB].[Member].&amp;[Gravesham (member)]&amp;[South East]" c="Gravesham (member)" nd="1">
                <p n="[Local Organisation].[CAB].[Government Region].&amp;[South East]"/>
              </i>
              <i n="[Local Organisation].[CAB].[Member].&amp;[Sevenoaks &amp; Swanley (member)]&amp;[South East]" c="Sevenoaks &amp; Swanley (member)" nd="1">
                <p n="[Local Organisation].[CAB].[Government Region].&amp;[South East]"/>
              </i>
              <i n="[Local Organisation].[CAB].[Member].&amp;[Devon Welfare Rights Unit (member)]&amp;[South West]" c="Devon Welfare Rights Unit (member)" nd="1">
                <p n="[Local Organisation].[CAB].[Government Region].&amp;[South West]"/>
              </i>
              <i n="[Local Organisation].[CAB].[Member].&amp;[Cynon Valley (member)]&amp;[Wales]" c="Cynon Valley (member)" nd="1">
                <p n="[Local Organisation].[CAB].[Government Region].&amp;[Wales]"/>
              </i>
              <i n="[Local Organisation].[CAB].[Member].&amp;[Doncaster (member)]&amp;[Yorkshire &amp; the Humber]" c="Doncaster (member)" nd="1">
                <p n="[Local Organisation].[CAB].[Government Region].&amp;[Yorkshire &amp; the Humber]"/>
              </i>
              <i n="[Local Organisation].[CAB].[Member].&amp;[Ripon &amp; District (member)]&amp;[Yorkshire &amp; the Humber]" c="Ripon &amp; District (member)" nd="1">
                <p n="[Local Organisation].[CAB].[Government Region].&amp;[Yorkshire &amp; the Humber]"/>
              </i>
            </range>
          </ranges>
        </level>
        <level uniqueName="[Local Organisation].[CAB].[Bureau]" sourceCaption="Bureau" count="728">
          <ranges>
            <range startItem="0">
              <i n="[Local Organisation].[CAB].[Bureau].&amp;[Ashfield Citizens Advice Bureau]&amp;[Ashfield (member)]&amp;[East Midlands]" c="Ashfield Citizens Advice Bureau">
                <p n="[Local Organisation].[CAB].[Member].&amp;[Ashfield (member)]&amp;[East Midlands]"/>
                <p n="[Local Organisation].[CAB].[Government Region].&amp;[East Midlands]"/>
              </i>
              <i n="[Local Organisation].[CAB].[Bureau].&amp;[Bassetlaw Citizens Advice Bureau]&amp;[Bassetlaw (member)]&amp;[East Midlands]" c="Bassetlaw Citizens Advice Bureau">
                <p n="[Local Organisation].[CAB].[Member].&amp;[Bassetlaw (member)]&amp;[East Midlands]"/>
                <p n="[Local Organisation].[CAB].[Government Region].&amp;[East Midlands]"/>
              </i>
              <i n="[Local Organisation].[CAB].[Bureau].&amp;[Charnwood CAB (Loughborough)]&amp;[Charnwood (member)]&amp;[East Midlands]" c="Charnwood CAB (Loughborough)">
                <p n="[Local Organisation].[CAB].[Member].&amp;[Charnwood (member)]&amp;[East Midlands]"/>
                <p n="[Local Organisation].[CAB].[Government Region].&amp;[East Midlands]"/>
              </i>
              <i n="[Local Organisation].[CAB].[Bureau].&amp;[Charnwood CAB (Shepshed)]&amp;[Charnwood (member)]&amp;[East Midlands]" c="Charnwood CAB (Shepshed)">
                <p n="[Local Organisation].[CAB].[Member].&amp;[Charnwood (member)]&amp;[East Midlands]"/>
                <p n="[Local Organisation].[CAB].[Government Region].&amp;[East Midlands]"/>
              </i>
              <i n="[Local Organisation].[CAB].[Bureau].&amp;[Chesterfield Citizens Advice Bureau]&amp;[Chesterfield (member)]&amp;[East Midlands]" c="Chesterfield Citizens Advice Bureau">
                <p n="[Local Organisation].[CAB].[Member].&amp;[Chesterfield (member)]&amp;[East Midlands]"/>
                <p n="[Local Organisation].[CAB].[Government Region].&amp;[East Midlands]"/>
              </i>
              <i n="[Local Organisation].[CAB].[Bureau].&amp;[Citizens Advice Broxtowe (Beeston)]&amp;[Citizens Advice Broxtowe (member)]&amp;[East Midlands]" c="Citizens Advice Broxtowe (Beeston)">
                <p n="[Local Organisation].[CAB].[Member].&amp;[Citizens Advice Broxtowe (member)]&amp;[East Midlands]"/>
                <p n="[Local Organisation].[CAB].[Government Region].&amp;[East Midlands]"/>
              </i>
              <i n="[Local Organisation].[CAB].[Bureau].&amp;[Citizens Advice Broxtowe (Eastwood)]&amp;[Citizens Advice Broxtowe (member)]&amp;[East Midlands]" c="Citizens Advice Broxtowe (Eastwood)">
                <p n="[Local Organisation].[CAB].[Member].&amp;[Citizens Advice Broxtowe (member)]&amp;[East Midlands]"/>
                <p n="[Local Organisation].[CAB].[Government Region].&amp;[East Midlands]"/>
              </i>
              <i n="[Local Organisation].[CAB].[Bureau].&amp;[Adviceline Lincolnshire Call Centre]&amp;[Citizens Advice Mid Lincolnshire (member)]&amp;[East Midlands]" c="Adviceline Lincolnshire Call Centre">
                <p n="[Local Organisation].[CAB].[Member].&amp;[Citizens Advice Mid Lincolnshire (member)]&amp;[East Midlands]"/>
                <p n="[Local Organisation].[CAB].[Government Region].&amp;[East Midlands]"/>
              </i>
              <i n="[Local Organisation].[CAB].[Bureau].&amp;[Boston Citizens Advice Bureau]&amp;[Citizens Advice Mid Lincolnshire (member)]&amp;[East Midlands]" c="Boston Citizens Advice Bureau">
                <p n="[Local Organisation].[CAB].[Member].&amp;[Citizens Advice Mid Lincolnshire (member)]&amp;[East Midlands]"/>
                <p n="[Local Organisation].[CAB].[Government Region].&amp;[East Midlands]"/>
              </i>
              <i n="[Local Organisation].[CAB].[Bureau].&amp;[Sleaford &amp; District Citizens Advice Bureau]&amp;[Citizens Advice Mid Lincolnshire (member)]&amp;[East Midlands]" c="Sleaford &amp; District Citizens Advice Bureau">
                <p n="[Local Organisation].[CAB].[Member].&amp;[Citizens Advice Mid Lincolnshire (member)]&amp;[East Midlands]"/>
                <p n="[Local Organisation].[CAB].[Government Region].&amp;[East Midlands]"/>
              </i>
              <i n="[Local Organisation].[CAB].[Bureau].&amp;[Grantham Citizens Advice Bureau]&amp;[Citizens Advice South Lincolnshire (member)]&amp;[East Midlands]" c="Grantham Citizens Advice Bureau">
                <p n="[Local Organisation].[CAB].[Member].&amp;[Citizens Advice South Lincolnshire (member)]&amp;[East Midlands]"/>
                <p n="[Local Organisation].[CAB].[Government Region].&amp;[East Midlands]"/>
              </i>
              <i n="[Local Organisation].[CAB].[Bureau].&amp;[South Holland (Spalding) CAB]&amp;[Citizens Advice South Lincolnshire (member)]&amp;[East Midlands]" c="South Holland (Spalding) CAB">
                <p n="[Local Organisation].[CAB].[Member].&amp;[Citizens Advice South Lincolnshire (member)]&amp;[East Midlands]"/>
                <p n="[Local Organisation].[CAB].[Government Region].&amp;[East Midlands]"/>
              </i>
              <i n="[Local Organisation].[CAB].[Bureau].&amp;[Stamford Citizens Advice Bureau]&amp;[Citizens Advice South Lincolnshire (member)]&amp;[East Midlands]" c="Stamford Citizens Advice Bureau">
                <p n="[Local Organisation].[CAB].[Member].&amp;[Citizens Advice South Lincolnshire (member)]&amp;[East Midlands]"/>
                <p n="[Local Organisation].[CAB].[Government Region].&amp;[East Midlands]"/>
              </i>
              <i n="[Local Organisation].[CAB].[Bureau].&amp;[Corby CAB]&amp;[Corby and Kettering (member)]&amp;[East Midlands]" c="Corby CAB">
                <p n="[Local Organisation].[CAB].[Member].&amp;[Corby and Kettering (member)]&amp;[East Midlands]"/>
                <p n="[Local Organisation].[CAB].[Government Region].&amp;[East Midlands]"/>
              </i>
              <i n="[Local Organisation].[CAB].[Bureau].&amp;[Kettering CAB]&amp;[Corby and Kettering (member)]&amp;[East Midlands]" c="Kettering CAB">
                <p n="[Local Organisation].[CAB].[Member].&amp;[Corby and Kettering (member)]&amp;[East Midlands]"/>
                <p n="[Local Organisation].[CAB].[Government Region].&amp;[East Midlands]"/>
              </i>
              <i n="[Local Organisation].[CAB].[Bureau].&amp;[Daventry and District CAB]&amp;[Daventry and District (member)]&amp;[East Midlands]" c="Daventry and District CAB">
                <p n="[Local Organisation].[CAB].[Member].&amp;[Daventry and District (member)]&amp;[East Midlands]"/>
                <p n="[Local Organisation].[CAB].[Government Region].&amp;[East Midlands]"/>
              </i>
              <i n="[Local Organisation].[CAB].[Bureau].&amp;[Derby Citizens Advice and Law Centre]&amp;[Derby CALC (member)]&amp;[East Midlands]" c="Derby Citizens Advice and Law Centre">
                <p n="[Local Organisation].[CAB].[Member].&amp;[Derby CALC (member)]&amp;[East Midlands]"/>
                <p n="[Local Organisation].[CAB].[Government Region].&amp;[East Midlands]"/>
              </i>
              <i n="[Local Organisation].[CAB].[Bureau].&amp;[BBO Derbyshire Districts]&amp;[Derbyshire Districts (member)]&amp;[East Midlands]" c="BBO Derbyshire Districts">
                <p n="[Local Organisation].[CAB].[Member].&amp;[Derbyshire Districts (member)]&amp;[East Midlands]"/>
                <p n="[Local Organisation].[CAB].[Government Region].&amp;[East Midlands]"/>
              </i>
              <i n="[Local Organisation].[CAB].[Bureau].&amp;[Belper Citizens Advice Bureau]&amp;[Derbyshire Districts (member)]&amp;[East Midlands]" c="Belper Citizens Advice Bureau">
                <p n="[Local Organisation].[CAB].[Member].&amp;[Derbyshire Districts (member)]&amp;[East Midlands]"/>
                <p n="[Local Organisation].[CAB].[Government Region].&amp;[East Midlands]"/>
              </i>
              <i n="[Local Organisation].[CAB].[Bureau].&amp;[Buxton Citizens Advice Bureau]&amp;[Derbyshire Districts (member)]&amp;[East Midlands]" c="Buxton Citizens Advice Bureau">
                <p n="[Local Organisation].[CAB].[Member].&amp;[Derbyshire Districts (member)]&amp;[East Midlands]"/>
                <p n="[Local Organisation].[CAB].[Government Region].&amp;[East Midlands]"/>
              </i>
              <i n="[Local Organisation].[CAB].[Bureau].&amp;[Derbyshire Districts Telephone Service]&amp;[Derbyshire Districts (member)]&amp;[East Midlands]" c="Derbyshire Districts Telephone Service">
                <p n="[Local Organisation].[CAB].[Member].&amp;[Derbyshire Districts (member)]&amp;[East Midlands]"/>
                <p n="[Local Organisation].[CAB].[Government Region].&amp;[East Midlands]"/>
              </i>
              <i n="[Local Organisation].[CAB].[Bureau].&amp;[Glossop Citizens Advice Bureau]&amp;[Derbyshire Districts (member)]&amp;[East Midlands]" c="Glossop Citizens Advice Bureau">
                <p n="[Local Organisation].[CAB].[Member].&amp;[Derbyshire Districts (member)]&amp;[East Midlands]"/>
                <p n="[Local Organisation].[CAB].[Government Region].&amp;[East Midlands]"/>
              </i>
              <i n="[Local Organisation].[CAB].[Bureau].&amp;[Heanor Citizens Advice Bureau]&amp;[Derbyshire Districts (member)]&amp;[East Midlands]" c="Heanor Citizens Advice Bureau">
                <p n="[Local Organisation].[CAB].[Member].&amp;[Derbyshire Districts (member)]&amp;[East Midlands]"/>
                <p n="[Local Organisation].[CAB].[Government Region].&amp;[East Midlands]"/>
              </i>
              <i n="[Local Organisation].[CAB].[Bureau].&amp;[Ilkeston Citizens Advice Bureau]&amp;[Derbyshire Districts (member)]&amp;[East Midlands]" c="Ilkeston Citizens Advice Bureau">
                <p n="[Local Organisation].[CAB].[Member].&amp;[Derbyshire Districts (member)]&amp;[East Midlands]"/>
                <p n="[Local Organisation].[CAB].[Government Region].&amp;[East Midlands]"/>
              </i>
              <i n="[Local Organisation].[CAB].[Bureau].&amp;[Matlock Citizens Advice Bureau]&amp;[Derbyshire Districts (member)]&amp;[East Midlands]" c="Matlock Citizens Advice Bureau">
                <p n="[Local Organisation].[CAB].[Member].&amp;[Derbyshire Districts (member)]&amp;[East Midlands]"/>
                <p n="[Local Organisation].[CAB].[Government Region].&amp;[East Midlands]"/>
              </i>
              <i n="[Local Organisation].[CAB].[Bureau].&amp;[New Mills Citizens Advice Bureau]&amp;[Derbyshire Districts (member)]&amp;[East Midlands]" c="New Mills Citizens Advice Bureau">
                <p n="[Local Organisation].[CAB].[Member].&amp;[Derbyshire Districts (member)]&amp;[East Midlands]"/>
                <p n="[Local Organisation].[CAB].[Government Region].&amp;[East Midlands]"/>
              </i>
              <i n="[Local Organisation].[CAB].[Bureau].&amp;[Pension Wise Derbyshire Districts]&amp;[Derbyshire Districts (member)]&amp;[East Midlands]" c="Pension Wise Derbyshire Districts">
                <p n="[Local Organisation].[CAB].[Member].&amp;[Derbyshire Districts (member)]&amp;[East Midlands]"/>
                <p n="[Local Organisation].[CAB].[Government Region].&amp;[East Midlands]"/>
              </i>
              <i n="[Local Organisation].[CAB].[Bureau].&amp;[Louth Citizens Advice Bureau]&amp;[East Lindsey (member)]&amp;[East Midlands]" c="Louth Citizens Advice Bureau">
                <p n="[Local Organisation].[CAB].[Member].&amp;[East Lindsey (member)]&amp;[East Midlands]"/>
                <p n="[Local Organisation].[CAB].[Government Region].&amp;[East Midlands]"/>
              </i>
              <i n="[Local Organisation].[CAB].[Bureau].&amp;[Mablethorpe Citizens Advice Bureau]&amp;[East Lindsey (member)]&amp;[East Midlands]" c="Mablethorpe Citizens Advice Bureau">
                <p n="[Local Organisation].[CAB].[Member].&amp;[East Lindsey (member)]&amp;[East Midlands]"/>
                <p n="[Local Organisation].[CAB].[Government Region].&amp;[East Midlands]"/>
              </i>
              <i n="[Local Organisation].[CAB].[Bureau].&amp;[Skegness Citizens Advice Bureau]&amp;[East Lindsey (member)]&amp;[East Midlands]" c="Skegness Citizens Advice Bureau">
                <p n="[Local Organisation].[CAB].[Member].&amp;[East Lindsey (member)]&amp;[East Midlands]"/>
                <p n="[Local Organisation].[CAB].[Government Region].&amp;[East Midlands]"/>
              </i>
              <i n="[Local Organisation].[CAB].[Bureau].&amp;[Blaby CAB]&amp;[Leicestershire (member)]&amp;[East Midlands]" c="Blaby CAB">
                <p n="[Local Organisation].[CAB].[Member].&amp;[Leicestershire (member)]&amp;[East Midlands]"/>
                <p n="[Local Organisation].[CAB].[Government Region].&amp;[East Midlands]"/>
              </i>
              <i n="[Local Organisation].[CAB].[Bureau].&amp;[Coalville CAB]&amp;[Leicestershire (member)]&amp;[East Midlands]" c="Coalville CAB">
                <p n="[Local Organisation].[CAB].[Member].&amp;[Leicestershire (member)]&amp;[East Midlands]"/>
                <p n="[Local Organisation].[CAB].[Government Region].&amp;[East Midlands]"/>
              </i>
              <i n="[Local Organisation].[CAB].[Bureau].&amp;[Hinckley CAB]&amp;[Leicestershire (member)]&amp;[East Midlands]" c="Hinckley CAB">
                <p n="[Local Organisation].[CAB].[Member].&amp;[Leicestershire (member)]&amp;[East Midlands]"/>
                <p n="[Local Organisation].[CAB].[Government Region].&amp;[East Midlands]"/>
              </i>
              <i n="[Local Organisation].[CAB].[Bureau].&amp;[Leicester City CAB]&amp;[Leicestershire (member)]&amp;[East Midlands]" c="Leicester City CAB">
                <p n="[Local Organisation].[CAB].[Member].&amp;[Leicestershire (member)]&amp;[East Midlands]"/>
                <p n="[Local Organisation].[CAB].[Government Region].&amp;[East Midlands]"/>
              </i>
              <i n="[Local Organisation].[CAB].[Bureau].&amp;[LeicesterShire CAB Contact Centre]&amp;[Leicestershire (member)]&amp;[East Midlands]" c="LeicesterShire CAB Contact Centre">
                <p n="[Local Organisation].[CAB].[Member].&amp;[Leicestershire (member)]&amp;[East Midlands]"/>
                <p n="[Local Organisation].[CAB].[Government Region].&amp;[East Midlands]"/>
              </i>
              <i n="[Local Organisation].[CAB].[Bureau].&amp;[LeicesterShire CAB Macmillan]&amp;[Leicestershire (member)]&amp;[East Midlands]" c="LeicesterShire CAB Macmillan">
                <p n="[Local Organisation].[CAB].[Member].&amp;[Leicestershire (member)]&amp;[East Midlands]"/>
                <p n="[Local Organisation].[CAB].[Government Region].&amp;[East Midlands]"/>
              </i>
              <i n="[Local Organisation].[CAB].[Bureau].&amp;[LeicesterShire CAB Money Advice]&amp;[Leicestershire (member)]&amp;[East Midlands]" c="LeicesterShire CAB Money Advice">
                <p n="[Local Organisation].[CAB].[Member].&amp;[Leicestershire (member)]&amp;[East Midlands]"/>
                <p n="[Local Organisation].[CAB].[Government Region].&amp;[East Midlands]"/>
              </i>
              <i n="[Local Organisation].[CAB].[Bureau].&amp;[LeicesterShire CAB PensionWise]&amp;[Leicestershire (member)]&amp;[East Midlands]" c="LeicesterShire CAB PensionWise">
                <p n="[Local Organisation].[CAB].[Member].&amp;[Leicestershire (member)]&amp;[East Midlands]"/>
                <p n="[Local Organisation].[CAB].[Government Region].&amp;[East Midlands]"/>
              </i>
              <i n="[Local Organisation].[CAB].[Bureau].&amp;[Lutterworth CAB]&amp;[Leicestershire (member)]&amp;[East Midlands]" c="Lutterworth CAB">
                <p n="[Local Organisation].[CAB].[Member].&amp;[Leicestershire (member)]&amp;[East Midlands]"/>
                <p n="[Local Organisation].[CAB].[Government Region].&amp;[East Midlands]"/>
              </i>
              <i n="[Local Organisation].[CAB].[Bureau].&amp;[Market Harborough CAB]&amp;[Leicestershire (member)]&amp;[East Midlands]" c="Market Harborough CAB">
                <p n="[Local Organisation].[CAB].[Member].&amp;[Leicestershire (member)]&amp;[East Midlands]"/>
                <p n="[Local Organisation].[CAB].[Government Region].&amp;[East Midlands]"/>
              </i>
              <i n="[Local Organisation].[CAB].[Bureau].&amp;[Melton CAB]&amp;[Leicestershire (member)]&amp;[East Midlands]" c="Melton CAB">
                <p n="[Local Organisation].[CAB].[Member].&amp;[Leicestershire (member)]&amp;[East Midlands]"/>
                <p n="[Local Organisation].[CAB].[Government Region].&amp;[East Midlands]"/>
              </i>
              <i n="[Local Organisation].[CAB].[Bureau].&amp;[Oadby &amp; Wigston CAB]&amp;[Leicestershire (member)]&amp;[East Midlands]" c="Oadby &amp; Wigston CAB">
                <p n="[Local Organisation].[CAB].[Member].&amp;[Leicestershire (member)]&amp;[East Midlands]"/>
                <p n="[Local Organisation].[CAB].[Government Region].&amp;[East Midlands]"/>
              </i>
              <i n="[Local Organisation].[CAB].[Bureau].&amp;[South Wigston CAB]&amp;[Leicestershire (member)]&amp;[East Midlands]" c="South Wigston CAB">
                <p n="[Local Organisation].[CAB].[Member].&amp;[Leicestershire (member)]&amp;[East Midlands]"/>
                <p n="[Local Organisation].[CAB].[Government Region].&amp;[East Midlands]"/>
              </i>
              <i n="[Local Organisation].[CAB].[Bureau].&amp;[Lincoln &amp; District Citizens Advice Bureau]&amp;[Lincoln &amp; District (member)]&amp;[East Midlands]" c="Lincoln &amp; District Citizens Advice Bureau">
                <p n="[Local Organisation].[CAB].[Member].&amp;[Lincoln &amp; District (member)]&amp;[East Midlands]"/>
                <p n="[Local Organisation].[CAB].[Government Region].&amp;[East Midlands]"/>
              </i>
              <i n="[Local Organisation].[CAB].[Bureau].&amp;[Mansfield Citizens Advice Bureau]&amp;[Mansfield (member)]&amp;[East Midlands]" c="Mansfield Citizens Advice Bureau">
                <p n="[Local Organisation].[CAB].[Member].&amp;[Mansfield (member)]&amp;[East Midlands]"/>
                <p n="[Local Organisation].[CAB].[Government Region].&amp;[East Midlands]"/>
              </i>
              <i n="[Local Organisation].[CAB].[Bureau].&amp;[North East Derbyshire CAB]&amp;[North East Derbyshire (member)]&amp;[East Midlands]" c="North East Derbyshire CAB">
                <p n="[Local Organisation].[CAB].[Member].&amp;[North East Derbyshire (member)]&amp;[East Midlands]"/>
                <p n="[Local Organisation].[CAB].[Government Region].&amp;[East Midlands]"/>
              </i>
              <i n="[Local Organisation].[CAB].[Bureau].&amp;[Nottingham &amp; DistrictCAB]&amp;[Nottingham &amp; District CAB (member)]&amp;[East Midlands]" c="Nottingham &amp; DistrictCAB">
                <p n="[Local Organisation].[CAB].[Member].&amp;[Nottingham &amp; District CAB (member)]&amp;[East Midlands]"/>
                <p n="[Local Organisation].[CAB].[Government Region].&amp;[East Midlands]"/>
              </i>
              <i n="[Local Organisation].[CAB].[Bureau].&amp;[Rutland CAB]&amp;[Rutland (member)]&amp;[East Midlands]" c="Rutland CAB">
                <p n="[Local Organisation].[CAB].[Member].&amp;[Rutland (member)]&amp;[East Midlands]"/>
                <p n="[Local Organisation].[CAB].[Government Region].&amp;[East Midlands]"/>
              </i>
              <i n="[Local Organisation].[CAB].[Bureau].&amp;[Sherwood and Newark CAB (Newark)]&amp;[Sherwood and Newark (member)]&amp;[East Midlands]" c="Sherwood and Newark CAB (Newark)">
                <p n="[Local Organisation].[CAB].[Member].&amp;[Sherwood and Newark (member)]&amp;[East Midlands]"/>
                <p n="[Local Organisation].[CAB].[Government Region].&amp;[East Midlands]"/>
              </i>
              <i n="[Local Organisation].[CAB].[Bureau].&amp;[Sherwood and Newark CAB (Ollerton)]&amp;[Sherwood and Newark (member)]&amp;[East Midlands]" c="Sherwood and Newark CAB (Ollerton)">
                <p n="[Local Organisation].[CAB].[Member].&amp;[Sherwood and Newark (member)]&amp;[East Midlands]"/>
                <p n="[Local Organisation].[CAB].[Government Region].&amp;[East Midlands]"/>
              </i>
              <i n="[Local Organisation].[CAB].[Bureau].&amp;[South Derbyshire Citizens Advice Bureau]&amp;[South Derbyshire (member)]&amp;[East Midlands]" c="South Derbyshire Citizens Advice Bureau">
                <p n="[Local Organisation].[CAB].[Member].&amp;[South Derbyshire (member)]&amp;[East Midlands]"/>
                <p n="[Local Organisation].[CAB].[Government Region].&amp;[East Midlands]"/>
              </i>
              <i n="[Local Organisation].[CAB].[Bureau].&amp;[West Lindsey Citizens Advice Bureau]&amp;[West Lindsey (member)]&amp;[East Midlands]" c="West Lindsey Citizens Advice Bureau">
                <p n="[Local Organisation].[CAB].[Member].&amp;[West Lindsey (member)]&amp;[East Midlands]"/>
                <p n="[Local Organisation].[CAB].[Government Region].&amp;[East Midlands]"/>
              </i>
              <i n="[Local Organisation].[CAB].[Bureau].&amp;[Basildon]&amp;[Basildon District (member)]&amp;[Eastern]" c="Basildon">
                <p n="[Local Organisation].[CAB].[Member].&amp;[Basildon District (member)]&amp;[Eastern]"/>
                <p n="[Local Organisation].[CAB].[Government Region].&amp;[Eastern]"/>
              </i>
              <i n="[Local Organisation].[CAB].[Bureau].&amp;[Billericay]&amp;[Basildon District (member)]&amp;[Eastern]" c="Billericay">
                <p n="[Local Organisation].[CAB].[Member].&amp;[Basildon District (member)]&amp;[Eastern]"/>
                <p n="[Local Organisation].[CAB].[Government Region].&amp;[Eastern]"/>
              </i>
              <i n="[Local Organisation].[CAB].[Bureau].&amp;[Wickford]&amp;[Basildon District (member)]&amp;[Eastern]" c="Wickford">
                <p n="[Local Organisation].[CAB].[Member].&amp;[Basildon District (member)]&amp;[Eastern]"/>
                <p n="[Local Organisation].[CAB].[Government Region].&amp;[Eastern]"/>
              </i>
              <i n="[Local Organisation].[CAB].[Bureau].&amp;[Bedford &amp; District CAB]&amp;[Bedford &amp; District (member)]&amp;[Eastern]" c="Bedford &amp; District CAB">
                <p n="[Local Organisation].[CAB].[Member].&amp;[Bedford &amp; District (member)]&amp;[Eastern]"/>
                <p n="[Local Organisation].[CAB].[Government Region].&amp;[Eastern]"/>
              </i>
              <i n="[Local Organisation].[CAB].[Bureau].&amp;[BHWCAB Braintree]&amp;[BraintreeHalsteadWitham (member)]&amp;[Eastern]" c="BHWCAB Braintree">
                <p n="[Local Organisation].[CAB].[Member].&amp;[BraintreeHalsteadWitham (member)]&amp;[Eastern]"/>
                <p n="[Local Organisation].[CAB].[Government Region].&amp;[Eastern]"/>
              </i>
              <i n="[Local Organisation].[CAB].[Bureau].&amp;[BHWCAB Halstead]&amp;[BraintreeHalsteadWitham (member)]&amp;[Eastern]" c="BHWCAB Halstead">
                <p n="[Local Organisation].[CAB].[Member].&amp;[BraintreeHalsteadWitham (member)]&amp;[Eastern]"/>
                <p n="[Local Organisation].[CAB].[Government Region].&amp;[Eastern]"/>
              </i>
              <i n="[Local Organisation].[CAB].[Bureau].&amp;[BHWCAB Witham]&amp;[BraintreeHalsteadWitham (member)]&amp;[Eastern]" c="BHWCAB Witham">
                <p n="[Local Organisation].[CAB].[Member].&amp;[BraintreeHalsteadWitham (member)]&amp;[Eastern]"/>
                <p n="[Local Organisation].[CAB].[Government Region].&amp;[Eastern]"/>
              </i>
              <i n="[Local Organisation].[CAB].[Bureau].&amp;[Brentwood Citizens Advice Bureau]&amp;[Brentwood (member)]&amp;[Eastern]" c="Brentwood Citizens Advice Bureau">
                <p n="[Local Organisation].[CAB].[Member].&amp;[Brentwood (member)]&amp;[Eastern]"/>
                <p n="[Local Organisation].[CAB].[Government Region].&amp;[Eastern]"/>
              </i>
              <i n="[Local Organisation].[CAB].[Bureau].&amp;[Broxbourne (Cheshunt) CAB]&amp;[Broxbourne (Cheshunt) (member)]&amp;[Eastern]" c="Broxbourne (Cheshunt) CAB">
                <p n="[Local Organisation].[CAB].[Member].&amp;[Broxbourne (Cheshunt) (member)]&amp;[Eastern]"/>
                <p n="[Local Organisation].[CAB].[Government Region].&amp;[Eastern]"/>
              </i>
              <i n="[Local Organisation].[CAB].[Bureau].&amp;[Cambridge Citizens Advice Bureau]&amp;[Cambridge (member)]&amp;[Eastern]" c="Cambridge Citizens Advice Bureau">
                <p n="[Local Organisation].[CAB].[Member].&amp;[Cambridge (member)]&amp;[Eastern]"/>
                <p n="[Local Organisation].[CAB].[Government Region].&amp;[Eastern]"/>
              </i>
              <i n="[Local Organisation].[CAB].[Bureau].&amp;[Castle Point Citizens Advice Bureau]&amp;[Castle Point (member)]&amp;[Eastern]" c="Castle Point Citizens Advice Bureau">
                <p n="[Local Organisation].[CAB].[Member].&amp;[Castle Point (member)]&amp;[Eastern]"/>
                <p n="[Local Organisation].[CAB].[Government Region].&amp;[Eastern]"/>
              </i>
              <i n="[Local Organisation].[CAB].[Bureau].&amp;[Nene Valley CAB]&amp;[Central &amp; East Northamptonshire (member)]&amp;[Eastern]" c="Nene Valley CAB">
                <p n="[Local Organisation].[CAB].[Member].&amp;[Central &amp; East Northamptonshire (member)]&amp;[Eastern]"/>
                <p n="[Local Organisation].[CAB].[Government Region].&amp;[Eastern]"/>
              </i>
              <i n="[Local Organisation].[CAB].[Bureau].&amp;[Northampton CAB]&amp;[Central &amp; East Northamptonshire (member)]&amp;[Eastern]" c="Northampton CAB">
                <p n="[Local Organisation].[CAB].[Member].&amp;[Central &amp; East Northamptonshire (member)]&amp;[Eastern]"/>
                <p n="[Local Organisation].[CAB].[Government Region].&amp;[Eastern]"/>
              </i>
              <i n="[Local Organisation].[CAB].[Bureau].&amp;[Chelmsford CAB]&amp;[Chelmsford (member)]&amp;[Eastern]" c="Chelmsford CAB">
                <p n="[Local Organisation].[CAB].[Member].&amp;[Chelmsford (member)]&amp;[Eastern]"/>
                <p n="[Local Organisation].[CAB].[Government Region].&amp;[Eastern]"/>
              </i>
              <i n="[Local Organisation].[CAB].[Bureau].&amp;[Colchester Citizens Advice Bureau]&amp;[Colchester (member)]&amp;[Eastern]" c="Colchester Citizens Advice Bureau">
                <p n="[Local Organisation].[CAB].[Member].&amp;[Colchester (member)]&amp;[Eastern]"/>
                <p n="[Local Organisation].[CAB].[Government Region].&amp;[Eastern]"/>
              </i>
              <i n="[Local Organisation].[CAB].[Bureau].&amp;[Berkhamsted Citizens Advice Bureau]&amp;[Dacorum District (member)]&amp;[Eastern]" c="Berkhamsted Citizens Advice Bureau">
                <p n="[Local Organisation].[CAB].[Member].&amp;[Dacorum District (member)]&amp;[Eastern]"/>
                <p n="[Local Organisation].[CAB].[Government Region].&amp;[Eastern]"/>
              </i>
              <i n="[Local Organisation].[CAB].[Bureau].&amp;[Hemel Hempstead Citizens Advice Bureau]&amp;[Dacorum District (member)]&amp;[Eastern]" c="Hemel Hempstead Citizens Advice Bureau">
                <p n="[Local Organisation].[CAB].[Member].&amp;[Dacorum District (member)]&amp;[Eastern]"/>
                <p n="[Local Organisation].[CAB].[Government Region].&amp;[Eastern]"/>
              </i>
              <i n="[Local Organisation].[CAB].[Bureau].&amp;[Diss Citizens Advice Bureau]&amp;[Diss, Thetford &amp; District (member)]&amp;[Eastern]" c="Diss Citizens Advice Bureau">
                <p n="[Local Organisation].[CAB].[Member].&amp;[Diss, Thetford &amp; District (member)]&amp;[Eastern]"/>
                <p n="[Local Organisation].[CAB].[Government Region].&amp;[Eastern]"/>
              </i>
              <i n="[Local Organisation].[CAB].[Bureau].&amp;[Thetford Citizens Advice Bureau]&amp;[Diss, Thetford &amp; District (member)]&amp;[Eastern]" c="Thetford Citizens Advice Bureau">
                <p n="[Local Organisation].[CAB].[Member].&amp;[Diss, Thetford &amp; District (member)]&amp;[Eastern]"/>
                <p n="[Local Organisation].[CAB].[Government Region].&amp;[Eastern]"/>
              </i>
              <i n="[Local Organisation].[CAB].[Bureau].&amp;[Dunstable and District CAB]&amp;[Dunstable and District (member)]&amp;[Eastern]" c="Dunstable and District CAB">
                <p n="[Local Organisation].[CAB].[Member].&amp;[Dunstable and District (member)]&amp;[Eastern]"/>
                <p n="[Local Organisation].[CAB].[Government Region].&amp;[Eastern]"/>
              </i>
              <i n="[Local Organisation].[CAB].[Bureau].&amp;[East Hertfordshire - Bishop's Stortford]&amp;[East Hertfordshire (member)]&amp;[Eastern]" c="East Hertfordshire - Bishop's Stortford">
                <p n="[Local Organisation].[CAB].[Member].&amp;[East Hertfordshire (member)]&amp;[Eastern]"/>
                <p n="[Local Organisation].[CAB].[Government Region].&amp;[Eastern]"/>
              </i>
              <i n="[Local Organisation].[CAB].[Bureau].&amp;[East Hertfordshire - Hertford]&amp;[East Hertfordshire (member)]&amp;[Eastern]" c="East Hertfordshire - Hertford">
                <p n="[Local Organisation].[CAB].[Member].&amp;[East Hertfordshire (member)]&amp;[Eastern]"/>
                <p n="[Local Organisation].[CAB].[Government Region].&amp;[Eastern]"/>
              </i>
              <i n="[Local Organisation].[CAB].[Bureau].&amp;[Epping CAB]&amp;[Epping Forest District (member)]&amp;[Eastern]" c="Epping CAB">
                <p n="[Local Organisation].[CAB].[Member].&amp;[Epping Forest District (member)]&amp;[Eastern]"/>
                <p n="[Local Organisation].[CAB].[Government Region].&amp;[Eastern]"/>
              </i>
              <i n="[Local Organisation].[CAB].[Bureau].&amp;[Loughton CAB]&amp;[Epping Forest District (member)]&amp;[Eastern]" c="Loughton CAB">
                <p n="[Local Organisation].[CAB].[Member].&amp;[Epping Forest District (member)]&amp;[Eastern]"/>
                <p n="[Local Organisation].[CAB].[Government Region].&amp;[Eastern]"/>
              </i>
              <i n="[Local Organisation].[CAB].[Bureau].&amp;[Waltham Abbey CAB]&amp;[Epping Forest District (member)]&amp;[Eastern]" c="Waltham Abbey CAB">
                <p n="[Local Organisation].[CAB].[Member].&amp;[Epping Forest District (member)]&amp;[Eastern]"/>
                <p n="[Local Organisation].[CAB].[Government Region].&amp;[Eastern]"/>
              </i>
              <i n="[Local Organisation].[CAB].[Bureau].&amp;[Felixstowe Citizens Advice Bureau]&amp;[Felixstowe Citizens Advice Bureau (member)]&amp;[Eastern]" c="Felixstowe Citizens Advice Bureau">
                <p n="[Local Organisation].[CAB].[Member].&amp;[Felixstowe Citizens Advice Bureau (member)]&amp;[Eastern]"/>
                <p n="[Local Organisation].[CAB].[Government Region].&amp;[Eastern]"/>
              </i>
              <i n="[Local Organisation].[CAB].[Bureau].&amp;[Harlow Citizens Advice Bureau]&amp;[Harlow (member)]&amp;[Eastern]" c="Harlow Citizens Advice Bureau">
                <p n="[Local Organisation].[CAB].[Member].&amp;[Harlow (member)]&amp;[Eastern]"/>
                <p n="[Local Organisation].[CAB].[Government Region].&amp;[Eastern]"/>
              </i>
              <i n="[Local Organisation].[CAB].[Bureau].&amp;[Hertsmere CAB (Bushey)]&amp;[Hertsmere (member)]&amp;[Eastern]" c="Hertsmere CAB (Bushey)">
                <p n="[Local Organisation].[CAB].[Member].&amp;[Hertsmere (member)]&amp;[Eastern]"/>
                <p n="[Local Organisation].[CAB].[Government Region].&amp;[Eastern]"/>
              </i>
              <i n="[Local Organisation].[CAB].[Bureau].&amp;[Hertsmere CAB (Elstree)]&amp;[Hertsmere (member)]&amp;[Eastern]" c="Hertsmere CAB (Elstree)">
                <p n="[Local Organisation].[CAB].[Member].&amp;[Hertsmere (member)]&amp;[Eastern]"/>
                <p n="[Local Organisation].[CAB].[Government Region].&amp;[Eastern]"/>
              </i>
              <i n="[Local Organisation].[CAB].[Bureau].&amp;[Hertsmere CAB (Potters Bar)]&amp;[Hertsmere (member)]&amp;[Eastern]" c="Hertsmere CAB (Potters Bar)">
                <p n="[Local Organisation].[CAB].[Member].&amp;[Hertsmere (member)]&amp;[Eastern]"/>
                <p n="[Local Organisation].[CAB].[Government Region].&amp;[Eastern]"/>
              </i>
              <i n="[Local Organisation].[CAB].[Bureau].&amp;[Ipswich &amp; District]&amp;[Ipswich &amp; District (member)]&amp;[Eastern]" c="Ipswich &amp; District">
                <p n="[Local Organisation].[CAB].[Member].&amp;[Ipswich &amp; District (member)]&amp;[Eastern]"/>
                <p n="[Local Organisation].[CAB].[Government Region].&amp;[Eastern]"/>
              </i>
              <i n="[Local Organisation].[CAB].[Bureau].&amp;[Leighton Linslade CAB]&amp;[Leighton Linslade (member)]&amp;[Eastern]" c="Leighton Linslade CAB">
                <p n="[Local Organisation].[CAB].[Member].&amp;[Leighton Linslade (member)]&amp;[Eastern]"/>
                <p n="[Local Organisation].[CAB].[Government Region].&amp;[Eastern]"/>
              </i>
              <i n="[Local Organisation].[CAB].[Bureau].&amp;[Leiston, Saxmundham &amp; District CAB]&amp;[Leiston Saxmundham District (member)]&amp;[Eastern]" c="Leiston, Saxmundham &amp; District CAB">
                <p n="[Local Organisation].[CAB].[Member].&amp;[Leiston Saxmundham District (member)]&amp;[Eastern]"/>
                <p n="[Local Organisation].[CAB].[Government Region].&amp;[Eastern]"/>
              </i>
              <i n="[Local Organisation].[CAB].[Bureau].&amp;[Luton CAB]&amp;[Luton (member)]&amp;[Eastern]" c="Luton CAB">
                <p n="[Local Organisation].[CAB].[Member].&amp;[Luton (member)]&amp;[Eastern]"/>
                <p n="[Local Organisation].[CAB].[Government Region].&amp;[Eastern]"/>
              </i>
              <i n="[Local Organisation].[CAB].[Bureau].&amp;[Maldon Citizens Advice Bureau]&amp;[Maldon (member)]&amp;[Eastern]" c="Maldon Citizens Advice Bureau">
                <p n="[Local Organisation].[CAB].[Member].&amp;[Maldon (member)]&amp;[Eastern]"/>
                <p n="[Local Organisation].[CAB].[Government Region].&amp;[Eastern]"/>
              </i>
              <i n="[Local Organisation].[CAB].[Bureau].&amp;[Dereham Citizens Advice Bureau]&amp;[Mid Norfolk (member)]&amp;[Eastern]" c="Dereham Citizens Advice Bureau">
                <p n="[Local Organisation].[CAB].[Member].&amp;[Mid Norfolk (member)]&amp;[Eastern]"/>
                <p n="[Local Organisation].[CAB].[Government Region].&amp;[Eastern]"/>
              </i>
              <i n="[Local Organisation].[CAB].[Bureau].&amp;[Holt Citizens Advice Bureau]&amp;[Mid Norfolk (member)]&amp;[Eastern]" c="Holt Citizens Advice Bureau">
                <p n="[Local Organisation].[CAB].[Member].&amp;[Mid Norfolk (member)]&amp;[Eastern]"/>
                <p n="[Local Organisation].[CAB].[Government Region].&amp;[Eastern]"/>
              </i>
              <i n="[Local Organisation].[CAB].[Bureau].&amp;[Watton Citizens Advice Bureau]&amp;[Mid Norfolk (member)]&amp;[Eastern]" c="Watton Citizens Advice Bureau">
                <p n="[Local Organisation].[CAB].[Member].&amp;[Mid Norfolk (member)]&amp;[Eastern]"/>
                <p n="[Local Organisation].[CAB].[Government Region].&amp;[Eastern]"/>
              </i>
              <i n="[Local Organisation].[CAB].[Bureau].&amp;[Mid Suffolk CAB]&amp;[Mid Suffolk (member)]&amp;[Eastern]" c="Mid Suffolk CAB">
                <p n="[Local Organisation].[CAB].[Member].&amp;[Mid Suffolk (member)]&amp;[Eastern]"/>
                <p n="[Local Organisation].[CAB].[Government Region].&amp;[Eastern]"/>
              </i>
              <i n="[Local Organisation].[CAB].[Bureau].&amp;[Ampthill CAB]&amp;[Mid-Bedfordshire (member)]&amp;[Eastern]" c="Ampthill CAB">
                <p n="[Local Organisation].[CAB].[Member].&amp;[Mid-Bedfordshire (member)]&amp;[Eastern]"/>
                <p n="[Local Organisation].[CAB].[Government Region].&amp;[Eastern]"/>
              </i>
              <i n="[Local Organisation].[CAB].[Bureau].&amp;[Biggleswade CAB]&amp;[Mid-Bedfordshire (member)]&amp;[Eastern]" c="Biggleswade CAB">
                <p n="[Local Organisation].[CAB].[Member].&amp;[Mid-Bedfordshire (member)]&amp;[Eastern]"/>
                <p n="[Local Organisation].[CAB].[Government Region].&amp;[Eastern]"/>
              </i>
              <i n="[Local Organisation].[CAB].[Bureau].&amp;[Newmarket CAB]&amp;[Newmarket (member)]&amp;[Eastern]" c="Newmarket CAB">
                <p n="[Local Organisation].[CAB].[Member].&amp;[Newmarket (member)]&amp;[Eastern]"/>
                <p n="[Local Organisation].[CAB].[Government Region].&amp;[Eastern]"/>
              </i>
              <i n="[Local Organisation].[CAB].[Bureau].&amp;[Norfolk (Attleborough Citizens Advice Bureau)]&amp;[Norfolk (member)]&amp;[Eastern]" c="Norfolk (Attleborough Citizens Advice Bureau)">
                <p n="[Local Organisation].[CAB].[Member].&amp;[Norfolk (member)]&amp;[Eastern]"/>
                <p n="[Local Organisation].[CAB].[Government Region].&amp;[Eastern]"/>
              </i>
              <i n="[Local Organisation].[CAB].[Bureau].&amp;[Norfolk (Fakenham Citizens Advice Bureau)]&amp;[Norfolk (member)]&amp;[Eastern]" c="Norfolk (Fakenham Citizens Advice Bureau)">
                <p n="[Local Organisation].[CAB].[Member].&amp;[Norfolk (member)]&amp;[Eastern]"/>
                <p n="[Local Organisation].[CAB].[Government Region].&amp;[Eastern]"/>
              </i>
              <i n="[Local Organisation].[CAB].[Bureau].&amp;[Norfolk (Great Yarmouth Citizens Advice Bureau)]&amp;[Norfolk (member)]&amp;[Eastern]" c="Norfolk (Great Yarmouth Citizens Advice Bureau)">
                <p n="[Local Organisation].[CAB].[Member].&amp;[Norfolk (member)]&amp;[Eastern]"/>
                <p n="[Local Organisation].[CAB].[Government Region].&amp;[Eastern]"/>
              </i>
              <i n="[Local Organisation].[CAB].[Bureau].&amp;[Norfolk (Kings Lynn Citizens Advice Bureau)]&amp;[Norfolk (member)]&amp;[Eastern]" c="Norfolk (Kings Lynn Citizens Advice Bureau)">
                <p n="[Local Organisation].[CAB].[Member].&amp;[Norfolk (member)]&amp;[Eastern]"/>
                <p n="[Local Organisation].[CAB].[Government Region].&amp;[Eastern]"/>
              </i>
              <i n="[Local Organisation].[CAB].[Bureau].&amp;[Norfolk (North Walsham Citizens Advice Bureau)]&amp;[Norfolk (member)]&amp;[Eastern]" c="Norfolk (North Walsham Citizens Advice Bureau)">
                <p n="[Local Organisation].[CAB].[Member].&amp;[Norfolk (member)]&amp;[Eastern]"/>
                <p n="[Local Organisation].[CAB].[Government Region].&amp;[Eastern]"/>
              </i>
              <i n="[Local Organisation].[CAB].[Bureau].&amp;[Norfolk (Norwich Citizens Advice Bureau)]&amp;[Norfolk (member)]&amp;[Eastern]" c="Norfolk (Norwich Citizens Advice Bureau)">
                <p n="[Local Organisation].[CAB].[Member].&amp;[Norfolk (member)]&amp;[Eastern]"/>
                <p n="[Local Organisation].[CAB].[Government Region].&amp;[Eastern]"/>
              </i>
              <i n="[Local Organisation].[CAB].[Bureau].&amp;[Norfolk (Wymondham Citizens Advice Bureau)]&amp;[Norfolk (member)]&amp;[Eastern]" c="Norfolk (Wymondham Citizens Advice Bureau)">
                <p n="[Local Organisation].[CAB].[Member].&amp;[Norfolk (member)]&amp;[Eastern]"/>
                <p n="[Local Organisation].[CAB].[Government Region].&amp;[Eastern]"/>
              </i>
              <i n="[Local Organisation].[CAB].[Bureau].&amp;[North East Suffolk CAB (Beccles)]&amp;[North East Suffolk (member)]&amp;[Eastern]" c="North East Suffolk CAB (Beccles)">
                <p n="[Local Organisation].[CAB].[Member].&amp;[North East Suffolk (member)]&amp;[Eastern]"/>
                <p n="[Local Organisation].[CAB].[Government Region].&amp;[Eastern]"/>
              </i>
              <i n="[Local Organisation].[CAB].[Bureau].&amp;[North East Suffolk CAB (Bungay)]&amp;[North East Suffolk (member)]&amp;[Eastern]" c="North East Suffolk CAB (Bungay)">
                <p n="[Local Organisation].[CAB].[Member].&amp;[North East Suffolk (member)]&amp;[Eastern]"/>
                <p n="[Local Organisation].[CAB].[Government Region].&amp;[Eastern]"/>
              </i>
              <i n="[Local Organisation].[CAB].[Bureau].&amp;[North East Suffolk CAB (Lowestoft)]&amp;[North East Suffolk (member)]&amp;[Eastern]" c="North East Suffolk CAB (Lowestoft)">
                <p n="[Local Organisation].[CAB].[Member].&amp;[North East Suffolk (member)]&amp;[Eastern]"/>
                <p n="[Local Organisation].[CAB].[Government Region].&amp;[Eastern]"/>
              </i>
              <i n="[Local Organisation].[CAB].[Bureau].&amp;[North Hertfordshire District Citizens Advice Bureau]&amp;[North Hertfordshire District (member)]&amp;[Eastern]" c="North Hertfordshire District Citizens Advice Bureau">
                <p n="[Local Organisation].[CAB].[Member].&amp;[North Hertfordshire District (member)]&amp;[Eastern]"/>
                <p n="[Local Organisation].[CAB].[Government Region].&amp;[Eastern]"/>
              </i>
              <i n="[Local Organisation].[CAB].[Bureau].&amp;[Peterborough Citizens Advice Bureau]&amp;[Peterborough (member)]&amp;[Eastern]" c="Peterborough Citizens Advice Bureau">
                <p n="[Local Organisation].[CAB].[Member].&amp;[Peterborough (member)]&amp;[Eastern]"/>
                <p n="[Local Organisation].[CAB].[Government Region].&amp;[Eastern]"/>
              </i>
              <i n="[Local Organisation].[CAB].[Bureau].&amp;[Rayleigh Citizens Advice Bureau]&amp;[Rochford &amp; Rayleigh (member)]&amp;[Eastern]" c="Rayleigh Citizens Advice Bureau">
                <p n="[Local Organisation].[CAB].[Member].&amp;[Rochford &amp; Rayleigh (member)]&amp;[Eastern]"/>
                <p n="[Local Organisation].[CAB].[Government Region].&amp;[Eastern]"/>
              </i>
              <i n="[Local Organisation].[CAB].[Bureau].&amp;[Rochford Citizens Advice Bureau]&amp;[Rochford &amp; Rayleigh (member)]&amp;[Eastern]" c="Rochford Citizens Advice Bureau">
                <p n="[Local Organisation].[CAB].[Member].&amp;[Rochford &amp; Rayleigh (member)]&amp;[Eastern]"/>
                <p n="[Local Organisation].[CAB].[Government Region].&amp;[Eastern]"/>
              </i>
              <i n="[Local Organisation].[CAB].[Bureau].&amp;[Ely CAB]&amp;[Rural Cambs (member)]&amp;[Eastern]" c="Ely CAB">
                <p n="[Local Organisation].[CAB].[Member].&amp;[Rural Cambs (member)]&amp;[Eastern]"/>
                <p n="[Local Organisation].[CAB].[Government Region].&amp;[Eastern]"/>
              </i>
              <i n="[Local Organisation].[CAB].[Bureau].&amp;[Huntingdonshire]&amp;[Rural Cambs (member)]&amp;[Eastern]" c="Huntingdonshire">
                <p n="[Local Organisation].[CAB].[Member].&amp;[Rural Cambs (member)]&amp;[Eastern]"/>
                <p n="[Local Organisation].[CAB].[Government Region].&amp;[Eastern]"/>
              </i>
              <i n="[Local Organisation].[CAB].[Bureau].&amp;[Wisbech]&amp;[Rural Cambs (member)]&amp;[Eastern]" c="Wisbech">
                <p n="[Local Organisation].[CAB].[Member].&amp;[Rural Cambs (member)]&amp;[Eastern]"/>
                <p n="[Local Organisation].[CAB].[Government Region].&amp;[Eastern]"/>
              </i>
              <i n="[Local Organisation].[CAB].[Bureau].&amp;[Southend Citizens Advice Bureau]&amp;[Southend (member)]&amp;[Eastern]" c="Southend Citizens Advice Bureau">
                <p n="[Local Organisation].[CAB].[Member].&amp;[Southend (member)]&amp;[Eastern]"/>
                <p n="[Local Organisation].[CAB].[Government Region].&amp;[Eastern]"/>
              </i>
              <i n="[Local Organisation].[CAB].[Bureau].&amp;[St Albans Citizens Advice Bureau]&amp;[St Albans (member)]&amp;[Eastern]" c="St Albans Citizens Advice Bureau">
                <p n="[Local Organisation].[CAB].[Member].&amp;[St Albans (member)]&amp;[Eastern]"/>
                <p n="[Local Organisation].[CAB].[Government Region].&amp;[Eastern]"/>
              </i>
              <i n="[Local Organisation].[CAB].[Bureau].&amp;[Stevenage Citizens Advice Bureau]&amp;[Stevenage (member)]&amp;[Eastern]" c="Stevenage Citizens Advice Bureau">
                <p n="[Local Organisation].[CAB].[Member].&amp;[Stevenage (member)]&amp;[Eastern]"/>
                <p n="[Local Organisation].[CAB].[Government Region].&amp;[Eastern]"/>
              </i>
              <i n="[Local Organisation].[CAB].[Bureau].&amp;[Sudbury CAB]&amp;[Sudbury (member)]&amp;[Eastern]" c="Sudbury CAB">
                <p n="[Local Organisation].[CAB].[Member].&amp;[Sudbury (member)]&amp;[Eastern]"/>
                <p n="[Local Organisation].[CAB].[Government Region].&amp;[Eastern]"/>
              </i>
              <i n="[Local Organisation].[CAB].[Bureau].&amp;[Brandon CAB]&amp;[Suffolk West (member)]&amp;[Eastern]" c="Brandon CAB">
                <p n="[Local Organisation].[CAB].[Member].&amp;[Suffolk West (member)]&amp;[Eastern]"/>
                <p n="[Local Organisation].[CAB].[Government Region].&amp;[Eastern]"/>
              </i>
              <i n="[Local Organisation].[CAB].[Bureau].&amp;[Bury St Edmunds CAB]&amp;[Suffolk West (member)]&amp;[Eastern]" c="Bury St Edmunds CAB">
                <p n="[Local Organisation].[CAB].[Member].&amp;[Suffolk West (member)]&amp;[Eastern]"/>
                <p n="[Local Organisation].[CAB].[Government Region].&amp;[Eastern]"/>
              </i>
              <i n="[Local Organisation].[CAB].[Bureau].&amp;[Haverhill CAB]&amp;[Suffolk West (member)]&amp;[Eastern]" c="Haverhill CAB">
                <p n="[Local Organisation].[CAB].[Member].&amp;[Suffolk West (member)]&amp;[Eastern]"/>
                <p n="[Local Organisation].[CAB].[Government Region].&amp;[Eastern]"/>
              </i>
              <i n="[Local Organisation].[CAB].[Bureau].&amp;[Mildenhall CAB]&amp;[Suffolk West (member)]&amp;[Eastern]" c="Mildenhall CAB">
                <p n="[Local Organisation].[CAB].[Member].&amp;[Suffolk West (member)]&amp;[Eastern]"/>
                <p n="[Local Organisation].[CAB].[Government Region].&amp;[Eastern]"/>
              </i>
              <i n="[Local Organisation].[CAB].[Bureau].&amp;[Clacton-on-Sea (Tendring) CAB]&amp;[Tendring Citizens Advice Bureau (member)]&amp;[Eastern]" c="Clacton-on-Sea (Tendring) CAB">
                <p n="[Local Organisation].[CAB].[Member].&amp;[Tendring Citizens Advice Bureau (member)]&amp;[Eastern]"/>
                <p n="[Local Organisation].[CAB].[Government Region].&amp;[Eastern]"/>
              </i>
              <i n="[Local Organisation].[CAB].[Bureau].&amp;[Harwich (Tendring) Citizens Advice Bureau]&amp;[Tendring Citizens Advice Bureau (member)]&amp;[Eastern]" c="Harwich (Tendring) Citizens Advice Bureau">
                <p n="[Local Organisation].[CAB].[Member].&amp;[Tendring Citizens Advice Bureau (member)]&amp;[Eastern]"/>
                <p n="[Local Organisation].[CAB].[Government Region].&amp;[Eastern]"/>
              </i>
              <i n="[Local Organisation].[CAB].[Bureau].&amp;[Three Rivers CAB (Abbots Langley)]&amp;[Three Rivers (member)]&amp;[Eastern]" c="Three Rivers CAB (Abbots Langley)">
                <p n="[Local Organisation].[CAB].[Member].&amp;[Three Rivers (member)]&amp;[Eastern]"/>
                <p n="[Local Organisation].[CAB].[Government Region].&amp;[Eastern]"/>
              </i>
              <i n="[Local Organisation].[CAB].[Bureau].&amp;[Three Rivers CAB (Oxhey)]&amp;[Three Rivers (member)]&amp;[Eastern]" c="Three Rivers CAB (Oxhey)">
                <p n="[Local Organisation].[CAB].[Member].&amp;[Three Rivers (member)]&amp;[Eastern]"/>
                <p n="[Local Organisation].[CAB].[Government Region].&amp;[Eastern]"/>
              </i>
              <i n="[Local Organisation].[CAB].[Bureau].&amp;[Three Rivers CAB (Rickmansworth)]&amp;[Three Rivers (member)]&amp;[Eastern]" c="Three Rivers CAB (Rickmansworth)">
                <p n="[Local Organisation].[CAB].[Member].&amp;[Three Rivers (member)]&amp;[Eastern]"/>
                <p n="[Local Organisation].[CAB].[Government Region].&amp;[Eastern]"/>
              </i>
              <i n="[Local Organisation].[CAB].[Bureau].&amp;[Three Rivers CAB (South Bucks Service)]&amp;[Three Rivers (member)]&amp;[Eastern]" c="Three Rivers CAB (South Bucks Service)">
                <p n="[Local Organisation].[CAB].[Member].&amp;[Three Rivers (member)]&amp;[Eastern]"/>
                <p n="[Local Organisation].[CAB].[Government Region].&amp;[Eastern]"/>
              </i>
              <i n="[Local Organisation].[CAB].[Bureau].&amp;[Thurrock CAB]&amp;[Thurrock (member)]&amp;[Eastern]" c="Thurrock CAB">
                <p n="[Local Organisation].[CAB].[Member].&amp;[Thurrock (member)]&amp;[Eastern]"/>
                <p n="[Local Organisation].[CAB].[Government Region].&amp;[Eastern]"/>
              </i>
              <i n="[Local Organisation].[CAB].[Bureau].&amp;[Uttlesford CAB]&amp;[Uttlesford (member)]&amp;[Eastern]" c="Uttlesford CAB">
                <p n="[Local Organisation].[CAB].[Member].&amp;[Uttlesford (member)]&amp;[Eastern]"/>
                <p n="[Local Organisation].[CAB].[Government Region].&amp;[Eastern]"/>
              </i>
              <i n="[Local Organisation].[CAB].[Bureau].&amp;[Watford Citizens Advice Bureau]&amp;[Watford (member)]&amp;[Eastern]" c="Watford Citizens Advice Bureau">
                <p n="[Local Organisation].[CAB].[Member].&amp;[Watford (member)]&amp;[Eastern]"/>
                <p n="[Local Organisation].[CAB].[Government Region].&amp;[Eastern]"/>
              </i>
              <i n="[Local Organisation].[CAB].[Bureau].&amp;[Welwyn Hatfield Citizens Advice Bureau]&amp;[Welwyn Hatfield (member)]&amp;[Eastern]" c="Welwyn Hatfield Citizens Advice Bureau">
                <p n="[Local Organisation].[CAB].[Member].&amp;[Welwyn Hatfield (member)]&amp;[Eastern]"/>
                <p n="[Local Organisation].[CAB].[Government Region].&amp;[Eastern]"/>
              </i>
              <i n="[Local Organisation].[CAB].[Bureau].&amp;[Great Yarmouth Citizens Advice Bureau]&amp;[Yare Valley &amp; District (member)]&amp;[Eastern]" c="Great Yarmouth Citizens Advice Bureau">
                <p n="[Local Organisation].[CAB].[Member].&amp;[Yare Valley &amp; District (member)]&amp;[Eastern]"/>
                <p n="[Local Organisation].[CAB].[Government Region].&amp;[Eastern]"/>
              </i>
              <i n="[Local Organisation].[CAB].[Bureau].&amp;[Wymondham Citizens Advice Bureau]&amp;[Yare Valley &amp; District (member)]&amp;[Eastern]" c="Wymondham Citizens Advice Bureau">
                <p n="[Local Organisation].[CAB].[Member].&amp;[Yare Valley &amp; District (member)]&amp;[Eastern]"/>
                <p n="[Local Organisation].[CAB].[Government Region].&amp;[Eastern]"/>
              </i>
              <i n="[Local Organisation].[CAB].[Bureau].&amp;[Barking CAB]&amp;[Barking &amp; Dagenham (member)]&amp;[London]" c="Barking CAB">
                <p n="[Local Organisation].[CAB].[Member].&amp;[Barking &amp; Dagenham (member)]&amp;[London]"/>
                <p n="[Local Organisation].[CAB].[Government Region].&amp;[London]"/>
              </i>
              <i n="[Local Organisation].[CAB].[Bureau].&amp;[Dagenham CAB]&amp;[Barking &amp; Dagenham (member)]&amp;[London]" c="Dagenham CAB">
                <p n="[Local Organisation].[CAB].[Member].&amp;[Barking &amp; Dagenham (member)]&amp;[London]"/>
                <p n="[Local Organisation].[CAB].[Government Region].&amp;[London]"/>
              </i>
              <i n="[Local Organisation].[CAB].[Bureau].&amp;[Hendon CAB]&amp;[Barnet (member)]&amp;[London]" c="Hendon CAB">
                <p n="[Local Organisation].[CAB].[Member].&amp;[Barnet (member)]&amp;[London]"/>
                <p n="[Local Organisation].[CAB].[Government Region].&amp;[London]"/>
              </i>
              <i n="[Local Organisation].[CAB].[Bureau].&amp;[New Barnet CAB]&amp;[Barnet (member)]&amp;[London]" c="New Barnet CAB">
                <p n="[Local Organisation].[CAB].[Member].&amp;[Barnet (member)]&amp;[London]"/>
                <p n="[Local Organisation].[CAB].[Government Region].&amp;[London]"/>
              </i>
              <i n="[Local Organisation].[CAB].[Bureau].&amp;[Bexleyheath CAB]&amp;[Bexley Borough (member)]&amp;[London]" c="Bexleyheath CAB">
                <p n="[Local Organisation].[CAB].[Member].&amp;[Bexley Borough (member)]&amp;[London]"/>
                <p n="[Local Organisation].[CAB].[Government Region].&amp;[London]"/>
              </i>
              <i n="[Local Organisation].[CAB].[Bureau].&amp;[Erith CAB]&amp;[Bexley Borough (member)]&amp;[London]" c="Erith CAB">
                <p n="[Local Organisation].[CAB].[Member].&amp;[Bexley Borough (member)]&amp;[London]"/>
                <p n="[Local Organisation].[CAB].[Government Region].&amp;[London]"/>
              </i>
              <i n="[Local Organisation].[CAB].[Bureau].&amp;[Brent Citizens Advice Bureau]&amp;[Brent (member)]&amp;[London]" c="Brent Citizens Advice Bureau">
                <p n="[Local Organisation].[CAB].[Member].&amp;[Brent (member)]&amp;[London]"/>
                <p n="[Local Organisation].[CAB].[Government Region].&amp;[London]"/>
              </i>
              <i n="[Local Organisation].[CAB].[Bureau].&amp;[Bromley Town CAB]&amp;[Bromley (member)]&amp;[London]" c="Bromley Town CAB">
                <p n="[Local Organisation].[CAB].[Member].&amp;[Bromley (member)]&amp;[London]"/>
                <p n="[Local Organisation].[CAB].[Government Region].&amp;[London]"/>
              </i>
              <i n="[Local Organisation].[CAB].[Bureau].&amp;[Albany CAB]&amp;[Camden (member)]&amp;[London]" c="Albany CAB">
                <p n="[Local Organisation].[CAB].[Member].&amp;[Camden (member)]&amp;[London]"/>
                <p n="[Local Organisation].[CAB].[Government Region].&amp;[London]"/>
              </i>
              <i n="[Local Organisation].[CAB].[Bureau].&amp;[Holborn 3rd floor CAB]&amp;[Camden (member)]&amp;[London]" c="Holborn 3rd floor CAB">
                <p n="[Local Organisation].[CAB].[Member].&amp;[Camden (member)]&amp;[London]"/>
                <p n="[Local Organisation].[CAB].[Government Region].&amp;[London]"/>
              </i>
              <i n="[Local Organisation].[CAB].[Bureau].&amp;[Holborn 4th floor Project Office]&amp;[Camden (member)]&amp;[London]" c="Holborn 4th floor Project Office">
                <p n="[Local Organisation].[CAB].[Member].&amp;[Camden (member)]&amp;[London]"/>
                <p n="[Local Organisation].[CAB].[Government Region].&amp;[London]"/>
              </i>
              <i n="[Local Organisation].[CAB].[Bureau].&amp;[Kentish Town CAB]&amp;[Camden (member)]&amp;[London]" c="Kentish Town CAB">
                <p n="[Local Organisation].[CAB].[Member].&amp;[Camden (member)]&amp;[London]"/>
                <p n="[Local Organisation].[CAB].[Government Region].&amp;[London]"/>
              </i>
              <i n="[Local Organisation].[CAB].[Bureau].&amp;[Kilburn CAB]&amp;[Camden (member)]&amp;[London]" c="Kilburn CAB">
                <p n="[Local Organisation].[CAB].[Member].&amp;[Camden (member)]&amp;[London]"/>
                <p n="[Local Organisation].[CAB].[Government Region].&amp;[London]"/>
              </i>
              <i n="[Local Organisation].[CAB].[Bureau].&amp;[Troutbeck Project Office]&amp;[Camden (member)]&amp;[London]" c="Troutbeck Project Office">
                <p n="[Local Organisation].[CAB].[Member].&amp;[Camden (member)]&amp;[London]"/>
                <p n="[Local Organisation].[CAB].[Government Region].&amp;[London]"/>
              </i>
              <i n="[Local Organisation].[CAB].[Bureau].&amp;[Addington Citizens Advice Bureau]&amp;[Croydon CAB Ltd (member)]&amp;[London]" c="Addington Citizens Advice Bureau">
                <p n="[Local Organisation].[CAB].[Member].&amp;[Croydon CAB Ltd (member)]&amp;[London]"/>
                <p n="[Local Organisation].[CAB].[Government Region].&amp;[London]"/>
              </i>
              <i n="[Local Organisation].[CAB].[Bureau].&amp;[South Norwood]&amp;[Croydon CAB Ltd (member)]&amp;[London]" c="South Norwood">
                <p n="[Local Organisation].[CAB].[Member].&amp;[Croydon CAB Ltd (member)]&amp;[London]"/>
                <p n="[Local Organisation].[CAB].[Government Region].&amp;[London]"/>
              </i>
              <i n="[Local Organisation].[CAB].[Bureau].&amp;[East End (Hackney) CAB]&amp;[East End (member)]&amp;[London]" c="East End (Hackney) CAB">
                <p n="[Local Organisation].[CAB].[Member].&amp;[East End (member)]&amp;[London]"/>
                <p n="[Local Organisation].[CAB].[Government Region].&amp;[London]"/>
              </i>
              <i n="[Local Organisation].[CAB].[Bureau].&amp;[East End (Newham) CAB]&amp;[East End (member)]&amp;[London]" c="East End (Newham) CAB">
                <p n="[Local Organisation].[CAB].[Member].&amp;[East End (member)]&amp;[London]"/>
                <p n="[Local Organisation].[CAB].[Government Region].&amp;[London]"/>
              </i>
              <i n="[Local Organisation].[CAB].[Bureau].&amp;[East End (Tower Hamlets) CAB]&amp;[East End (member)]&amp;[London]" c="East End (Tower Hamlets) CAB">
                <p n="[Local Organisation].[CAB].[Member].&amp;[East End (member)]&amp;[London]"/>
                <p n="[Local Organisation].[CAB].[Government Region].&amp;[London]"/>
              </i>
              <i n="[Local Organisation].[CAB].[Bureau].&amp;[Enfield CAB]&amp;[Enfield (member)]&amp;[London]" c="Enfield CAB">
                <p n="[Local Organisation].[CAB].[Member].&amp;[Enfield (member)]&amp;[London]"/>
                <p n="[Local Organisation].[CAB].[Government Region].&amp;[London]"/>
              </i>
              <i n="[Local Organisation].[CAB].[Bureau].&amp;[Greenwich (MAS Centre)]&amp;[Greenwich District (member)]&amp;[London]" c="Greenwich (MAS Centre)">
                <p n="[Local Organisation].[CAB].[Member].&amp;[Greenwich District (member)]&amp;[London]"/>
                <p n="[Local Organisation].[CAB].[Government Region].&amp;[London]"/>
              </i>
              <i n="[Local Organisation].[CAB].[Bureau].&amp;[Greenwich (Seafarers Advice &amp; Information Line)]&amp;[Greenwich District (member)]&amp;[London]" c="Greenwich (Seafarers Advice &amp; Information Line)">
                <p n="[Local Organisation].[CAB].[Member].&amp;[Greenwich District (member)]&amp;[London]"/>
                <p n="[Local Organisation].[CAB].[Government Region].&amp;[London]"/>
              </i>
              <i n="[Local Organisation].[CAB].[Bureau].&amp;[Greenwich (Woolwich)]&amp;[Greenwich District (member)]&amp;[London]" c="Greenwich (Woolwich)">
                <p n="[Local Organisation].[CAB].[Member].&amp;[Greenwich District (member)]&amp;[London]"/>
                <p n="[Local Organisation].[CAB].[Government Region].&amp;[London]"/>
              </i>
              <i n="[Local Organisation].[CAB].[Bureau].&amp;[Hammersmith &amp; Fulham Avonmore Library]&amp;[Hammersmith &amp; Fulham (member)]&amp;[London]" c="Hammersmith &amp; Fulham Avonmore Library">
                <p n="[Local Organisation].[CAB].[Member].&amp;[Hammersmith &amp; Fulham (member)]&amp;[London]"/>
                <p n="[Local Organisation].[CAB].[Government Region].&amp;[London]"/>
              </i>
              <i n="[Local Organisation].[CAB].[Bureau].&amp;[Hammersmith &amp; Fulham Uxbridge Road]&amp;[Hammersmith &amp; Fulham (member)]&amp;[London]" c="Hammersmith &amp; Fulham Uxbridge Road">
                <p n="[Local Organisation].[CAB].[Member].&amp;[Hammersmith &amp; Fulham (member)]&amp;[London]"/>
                <p n="[Local Organisation].[CAB].[Government Region].&amp;[London]"/>
              </i>
              <i n="[Local Organisation].[CAB].[Bureau].&amp;[Tottenham Citizens Advice Bureau]&amp;[Haringey District (member)]&amp;[London]" c="Tottenham Citizens Advice Bureau">
                <p n="[Local Organisation].[CAB].[Member].&amp;[Haringey District (member)]&amp;[London]"/>
                <p n="[Local Organisation].[CAB].[Government Region].&amp;[London]"/>
              </i>
              <i n="[Local Organisation].[CAB].[Bureau].&amp;[Turnpike Lane Citizens Advice Bureau]&amp;[Haringey District (member)]&amp;[London]" c="Turnpike Lane Citizens Advice Bureau">
                <p n="[Local Organisation].[CAB].[Member].&amp;[Haringey District (member)]&amp;[London]"/>
                <p n="[Local Organisation].[CAB].[Government Region].&amp;[London]"/>
              </i>
              <i n="[Local Organisation].[CAB].[Bureau].&amp;[Harrow Citizens Advice Bureau]&amp;[Harrow (member)]&amp;[London]" c="Harrow Citizens Advice Bureau">
                <p n="[Local Organisation].[CAB].[Member].&amp;[Harrow (member)]&amp;[London]"/>
                <p n="[Local Organisation].[CAB].[Government Region].&amp;[London]"/>
              </i>
              <i n="[Local Organisation].[CAB].[Bureau].&amp;[Romford CAB]&amp;[Havering (member)]&amp;[London]" c="Romford CAB">
                <p n="[Local Organisation].[CAB].[Member].&amp;[Havering (member)]&amp;[London]"/>
                <p n="[Local Organisation].[CAB].[Government Region].&amp;[London]"/>
              </i>
              <i n="[Local Organisation].[CAB].[Bureau].&amp;[Hillingdon Hayes CAB]&amp;[Hillingdon (member)]&amp;[London]" c="Hillingdon Hayes CAB">
                <p n="[Local Organisation].[CAB].[Member].&amp;[Hillingdon (member)]&amp;[London]"/>
                <p n="[Local Organisation].[CAB].[Government Region].&amp;[London]"/>
              </i>
              <i n="[Local Organisation].[CAB].[Bureau].&amp;[Hillingdon Ruislip CAB]&amp;[Hillingdon (member)]&amp;[London]" c="Hillingdon Ruislip CAB">
                <p n="[Local Organisation].[CAB].[Member].&amp;[Hillingdon (member)]&amp;[London]"/>
                <p n="[Local Organisation].[CAB].[Government Region].&amp;[London]"/>
              </i>
              <i n="[Local Organisation].[CAB].[Bureau].&amp;[Hillingdon Uxbridge CAB]&amp;[Hillingdon (member)]&amp;[London]" c="Hillingdon Uxbridge CAB">
                <p n="[Local Organisation].[CAB].[Member].&amp;[Hillingdon (member)]&amp;[London]"/>
                <p n="[Local Organisation].[CAB].[Government Region].&amp;[London]"/>
              </i>
              <i n="[Local Organisation].[CAB].[Bureau].&amp;[Brentford &amp; Chiswick Citizens Advice Bureau]&amp;[Hounslow District (member)]&amp;[London]" c="Brentford &amp; Chiswick Citizens Advice Bureau">
                <p n="[Local Organisation].[CAB].[Member].&amp;[Hounslow District (member)]&amp;[London]"/>
                <p n="[Local Organisation].[CAB].[Government Region].&amp;[London]"/>
              </i>
              <i n="[Local Organisation].[CAB].[Bureau].&amp;[Feltham Citizens Advice Bureau]&amp;[Hounslow District (member)]&amp;[London]" c="Feltham Citizens Advice Bureau">
                <p n="[Local Organisation].[CAB].[Member].&amp;[Hounslow District (member)]&amp;[London]"/>
                <p n="[Local Organisation].[CAB].[Government Region].&amp;[London]"/>
              </i>
              <i n="[Local Organisation].[CAB].[Bureau].&amp;[Hounslow Citizens Advice Bureau]&amp;[Hounslow District (member)]&amp;[London]" c="Hounslow Citizens Advice Bureau">
                <p n="[Local Organisation].[CAB].[Member].&amp;[Hounslow District (member)]&amp;[London]"/>
                <p n="[Local Organisation].[CAB].[Government Region].&amp;[London]"/>
              </i>
              <i n="[Local Organisation].[CAB].[Bureau].&amp;[Chelsea Citizens Advice Bureau]&amp;[Kensington &amp; Chelsea (member)]&amp;[London]" c="Chelsea Citizens Advice Bureau">
                <p n="[Local Organisation].[CAB].[Member].&amp;[Kensington &amp; Chelsea (member)]&amp;[London]"/>
                <p n="[Local Organisation].[CAB].[Government Region].&amp;[London]"/>
              </i>
              <i n="[Local Organisation].[CAB].[Bureau].&amp;[Kensington Citizens Advice Bureau]&amp;[Kensington &amp; Chelsea (member)]&amp;[London]" c="Kensington Citizens Advice Bureau">
                <p n="[Local Organisation].[CAB].[Member].&amp;[Kensington &amp; Chelsea (member)]&amp;[London]"/>
                <p n="[Local Organisation].[CAB].[Government Region].&amp;[London]"/>
              </i>
              <i n="[Local Organisation].[CAB].[Bureau].&amp;[Wormwood Scrubs (Kensington &amp; Chelsea)]&amp;[Kensington &amp; Chelsea (member)]&amp;[London]" c="Wormwood Scrubs (Kensington &amp; Chelsea)">
                <p n="[Local Organisation].[CAB].[Member].&amp;[Kensington &amp; Chelsea (member)]&amp;[London]"/>
                <p n="[Local Organisation].[CAB].[Government Region].&amp;[London]"/>
              </i>
              <i n="[Local Organisation].[CAB].[Bureau].&amp;[Kingston Citizens Advice Bureau]&amp;[Kingston Borough (member)]&amp;[London]" c="Kingston Citizens Advice Bureau">
                <p n="[Local Organisation].[CAB].[Member].&amp;[Kingston Borough (member)]&amp;[London]"/>
                <p n="[Local Organisation].[CAB].[Government Region].&amp;[London]"/>
              </i>
              <i n="[Local Organisation].[CAB].[Bureau].&amp;[Catford Citizens Advice Bureau]&amp;[Lewisham (member)]&amp;[London]" c="Catford Citizens Advice Bureau">
                <p n="[Local Organisation].[CAB].[Member].&amp;[Lewisham (member)]&amp;[London]"/>
                <p n="[Local Organisation].[CAB].[Government Region].&amp;[London]"/>
              </i>
              <i n="[Local Organisation].[CAB].[Bureau].&amp;[Catford Library Information Hub]&amp;[Lewisham (member)]&amp;[London]" c="Catford Library Information Hub">
                <p n="[Local Organisation].[CAB].[Member].&amp;[Lewisham (member)]&amp;[London]"/>
                <p n="[Local Organisation].[CAB].[Government Region].&amp;[London]"/>
              </i>
              <i n="[Local Organisation].[CAB].[Bureau].&amp;[Downham  Hub]&amp;[Lewisham (member)]&amp;[London]" c="Downham  Hub">
                <p n="[Local Organisation].[CAB].[Member].&amp;[Lewisham (member)]&amp;[London]"/>
                <p n="[Local Organisation].[CAB].[Government Region].&amp;[London]"/>
              </i>
              <i n="[Local Organisation].[CAB].[Bureau].&amp;[Lee Green Information Hub]&amp;[Lewisham (member)]&amp;[London]" c="Lee Green Information Hub">
                <p n="[Local Organisation].[CAB].[Member].&amp;[Lewisham (member)]&amp;[London]"/>
                <p n="[Local Organisation].[CAB].[Government Region].&amp;[London]"/>
              </i>
              <i n="[Local Organisation].[CAB].[Bureau].&amp;[Lewisham Money Advice Service]&amp;[Lewisham (member)]&amp;[London]" c="Lewisham Money Advice Service">
                <p n="[Local Organisation].[CAB].[Member].&amp;[Lewisham (member)]&amp;[London]"/>
                <p n="[Local Organisation].[CAB].[Government Region].&amp;[London]"/>
              </i>
              <i n="[Local Organisation].[CAB].[Bureau].&amp;[Sydenham Citizens Advice Bureau]&amp;[Lewisham (member)]&amp;[London]" c="Sydenham Citizens Advice Bureau">
                <p n="[Local Organisation].[CAB].[Member].&amp;[Lewisham (member)]&amp;[London]"/>
                <p n="[Local Organisation].[CAB].[Government Region].&amp;[London]"/>
              </i>
              <i n="[Local Organisation].[CAB].[Bureau].&amp;[Merton &amp; Lambeth CAB Ltd Management]&amp;[Merton &amp; Lambeth CAB Ltd (member)]&amp;[London]" c="Merton &amp; Lambeth CAB Ltd Management">
                <p n="[Local Organisation].[CAB].[Member].&amp;[Merton &amp; Lambeth CAB Ltd (member)]&amp;[London]"/>
                <p n="[Local Organisation].[CAB].[Government Region].&amp;[London]"/>
              </i>
              <i n="[Local Organisation].[CAB].[Bureau].&amp;[Mitcham Citizens Advice Bureau]&amp;[Merton &amp; Lambeth CAB Ltd (member)]&amp;[London]" c="Mitcham Citizens Advice Bureau">
                <p n="[Local Organisation].[CAB].[Member].&amp;[Merton &amp; Lambeth CAB Ltd (member)]&amp;[London]"/>
                <p n="[Local Organisation].[CAB].[Government Region].&amp;[London]"/>
              </i>
              <i n="[Local Organisation].[CAB].[Bureau].&amp;[Morden Citizens Advice Bureau]&amp;[Merton &amp; Lambeth CAB Ltd (member)]&amp;[London]" c="Morden Citizens Advice Bureau">
                <p n="[Local Organisation].[CAB].[Member].&amp;[Merton &amp; Lambeth CAB Ltd (member)]&amp;[London]"/>
                <p n="[Local Organisation].[CAB].[Government Region].&amp;[London]"/>
              </i>
              <i n="[Local Organisation].[CAB].[Bureau].&amp;[Streatham Hill Citizens Advice Bureau]&amp;[Merton &amp; Lambeth CAB Ltd (member)]&amp;[London]" c="Streatham Hill Citizens Advice Bureau">
                <p n="[Local Organisation].[CAB].[Member].&amp;[Merton &amp; Lambeth CAB Ltd (member)]&amp;[London]"/>
                <p n="[Local Organisation].[CAB].[Government Region].&amp;[London]"/>
              </i>
              <i n="[Local Organisation].[CAB].[Bureau].&amp;[Redbridge Citizens Advice Bureau]&amp;[Redbridge (member)]&amp;[London]" c="Redbridge Citizens Advice Bureau">
                <p n="[Local Organisation].[CAB].[Member].&amp;[Redbridge (member)]&amp;[London]"/>
                <p n="[Local Organisation].[CAB].[Government Region].&amp;[London]"/>
              </i>
              <i n="[Local Organisation].[CAB].[Bureau].&amp;[Barnes CAB]&amp;[Richmond Borough (member)]&amp;[London]" c="Barnes CAB">
                <p n="[Local Organisation].[CAB].[Member].&amp;[Richmond Borough (member)]&amp;[London]"/>
                <p n="[Local Organisation].[CAB].[Government Region].&amp;[London]"/>
              </i>
              <i n="[Local Organisation].[CAB].[Bureau].&amp;[Ham CAB]&amp;[Richmond Borough (member)]&amp;[London]" c="Ham CAB">
                <p n="[Local Organisation].[CAB].[Member].&amp;[Richmond Borough (member)]&amp;[London]"/>
                <p n="[Local Organisation].[CAB].[Government Region].&amp;[London]"/>
              </i>
              <i n="[Local Organisation].[CAB].[Bureau].&amp;[Hampton CAB]&amp;[Richmond Borough (member)]&amp;[London]" c="Hampton CAB">
                <p n="[Local Organisation].[CAB].[Member].&amp;[Richmond Borough (member)]&amp;[London]"/>
                <p n="[Local Organisation].[CAB].[Government Region].&amp;[London]"/>
              </i>
              <i n="[Local Organisation].[CAB].[Bureau].&amp;[Sheen CAB]&amp;[Richmond Borough (member)]&amp;[London]" c="Sheen CAB">
                <p n="[Local Organisation].[CAB].[Member].&amp;[Richmond Borough (member)]&amp;[London]"/>
                <p n="[Local Organisation].[CAB].[Government Region].&amp;[London]"/>
              </i>
              <i n="[Local Organisation].[CAB].[Bureau].&amp;[Twickenham CAB]&amp;[Richmond Borough (member)]&amp;[London]" c="Twickenham CAB">
                <p n="[Local Organisation].[CAB].[Member].&amp;[Richmond Borough (member)]&amp;[London]"/>
                <p n="[Local Organisation].[CAB].[Government Region].&amp;[London]"/>
              </i>
              <i n="[Local Organisation].[CAB].[Bureau].&amp;[Royal Courts of Justice (Devonia Road)]&amp;[Royal Courts of Justice (member)]&amp;[London]" c="Royal Courts of Justice (Devonia Road)">
                <p n="[Local Organisation].[CAB].[Member].&amp;[Royal Courts of Justice (member)]&amp;[London]"/>
                <p n="[Local Organisation].[CAB].[Government Region].&amp;[London]"/>
              </i>
              <i n="[Local Organisation].[CAB].[Bureau].&amp;[Royal Courts of Justice (First Avenue House)]&amp;[Royal Courts of Justice (member)]&amp;[London]" c="Royal Courts of Justice (First Avenue House)">
                <p n="[Local Organisation].[CAB].[Member].&amp;[Royal Courts of Justice (member)]&amp;[London]"/>
                <p n="[Local Organisation].[CAB].[Government Region].&amp;[London]"/>
              </i>
              <i n="[Local Organisation].[CAB].[Bureau].&amp;[Royal Courts of Justice (Islington)]&amp;[Royal Courts of Justice (member)]&amp;[London]" c="Royal Courts of Justice (Islington)">
                <p n="[Local Organisation].[CAB].[Member].&amp;[Royal Courts of Justice (member)]&amp;[London]"/>
                <p n="[Local Organisation].[CAB].[Government Region].&amp;[London]"/>
              </i>
              <i n="[Local Organisation].[CAB].[Bureau].&amp;[Royal Courts of Justice (Strand)]&amp;[Royal Courts of Justice (member)]&amp;[London]" c="Royal Courts of Justice (Strand)">
                <p n="[Local Organisation].[CAB].[Member].&amp;[Royal Courts of Justice (member)]&amp;[London]"/>
                <p n="[Local Organisation].[CAB].[Government Region].&amp;[London]"/>
              </i>
              <i n="[Local Organisation].[CAB].[Bureau].&amp;[Bermondsey CAB]&amp;[Southwark (member)]&amp;[London]" c="Bermondsey CAB">
                <p n="[Local Organisation].[CAB].[Member].&amp;[Southwark (member)]&amp;[London]"/>
                <p n="[Local Organisation].[CAB].[Government Region].&amp;[London]"/>
              </i>
              <i n="[Local Organisation].[CAB].[Bureau].&amp;[Peckham CAB]&amp;[Southwark (member)]&amp;[London]" c="Peckham CAB">
                <p n="[Local Organisation].[CAB].[Member].&amp;[Southwark (member)]&amp;[London]"/>
                <p n="[Local Organisation].[CAB].[Government Region].&amp;[London]"/>
              </i>
              <i n="[Local Organisation].[CAB].[Bureau].&amp;[Carshalton &amp; Wallington CAB]&amp;[Sutton Borough (member)]&amp;[London]" c="Carshalton &amp; Wallington CAB">
                <p n="[Local Organisation].[CAB].[Member].&amp;[Sutton Borough (member)]&amp;[London]"/>
                <p n="[Local Organisation].[CAB].[Government Region].&amp;[London]"/>
              </i>
              <i n="[Local Organisation].[CAB].[Bureau].&amp;[Sutton Citizens Advice Bureau]&amp;[Sutton Borough (member)]&amp;[London]" c="Sutton Citizens Advice Bureau">
                <p n="[Local Organisation].[CAB].[Member].&amp;[Sutton Borough (member)]&amp;[London]"/>
                <p n="[Local Organisation].[CAB].[Government Region].&amp;[London]"/>
              </i>
              <i n="[Local Organisation].[CAB].[Bureau].&amp;[Waltham Forest CAB]&amp;[Waltham Forest (member)]&amp;[London]" c="Waltham Forest CAB">
                <p n="[Local Organisation].[CAB].[Member].&amp;[Waltham Forest (member)]&amp;[London]"/>
                <p n="[Local Organisation].[CAB].[Government Region].&amp;[London]"/>
              </i>
              <i n="[Local Organisation].[CAB].[Bureau].&amp;[Wandsworth (Battersea Library) CAB]&amp;[Wandsworth (member)]&amp;[London]" c="Wandsworth (Battersea Library) CAB">
                <p n="[Local Organisation].[CAB].[Member].&amp;[Wandsworth (member)]&amp;[London]"/>
                <p n="[Local Organisation].[CAB].[Government Region].&amp;[London]"/>
              </i>
              <i n="[Local Organisation].[CAB].[Bureau].&amp;[Wandsworth (DASCAS)]&amp;[Wandsworth (member)]&amp;[London]" c="Wandsworth (DASCAS)">
                <p n="[Local Organisation].[CAB].[Member].&amp;[Wandsworth (member)]&amp;[London]"/>
                <p n="[Local Organisation].[CAB].[Government Region].&amp;[London]"/>
              </i>
              <i n="[Local Organisation].[CAB].[Bureau].&amp;[Wandsworth (Mission House) CAB]&amp;[Wandsworth (member)]&amp;[London]" c="Wandsworth (Mission House) CAB">
                <p n="[Local Organisation].[CAB].[Member].&amp;[Wandsworth (member)]&amp;[London]"/>
                <p n="[Local Organisation].[CAB].[Government Region].&amp;[London]"/>
              </i>
              <i n="[Local Organisation].[CAB].[Bureau].&amp;[Wandsworth (Roehampton) CAB]&amp;[Wandsworth (member)]&amp;[London]" c="Wandsworth (Roehampton) CAB">
                <p n="[Local Organisation].[CAB].[Member].&amp;[Wandsworth (member)]&amp;[London]"/>
                <p n="[Local Organisation].[CAB].[Government Region].&amp;[London]"/>
              </i>
              <i n="[Local Organisation].[CAB].[Bureau].&amp;[Westminster CAB]&amp;[Westminster CAB (member)]&amp;[London]" c="Westminster CAB">
                <p n="[Local Organisation].[CAB].[Member].&amp;[Westminster CAB (member)]&amp;[London]"/>
                <p n="[Local Organisation].[CAB].[Government Region].&amp;[London]"/>
              </i>
              <i n="[Local Organisation].[CAB].[Bureau].&amp;[Barnard Castle]&amp;[County Durham (member)]&amp;[North East]" c="Barnard Castle">
                <p n="[Local Organisation].[CAB].[Member].&amp;[County Durham (member)]&amp;[North East]"/>
                <p n="[Local Organisation].[CAB].[Government Region].&amp;[North East]"/>
              </i>
              <i n="[Local Organisation].[CAB].[Bureau].&amp;[Bishop Auckland]&amp;[County Durham (member)]&amp;[North East]" c="Bishop Auckland">
                <p n="[Local Organisation].[CAB].[Member].&amp;[County Durham (member)]&amp;[North East]"/>
                <p n="[Local Organisation].[CAB].[Government Region].&amp;[North East]"/>
              </i>
              <i n="[Local Organisation].[CAB].[Bureau].&amp;[Chester le Street District CAB]&amp;[County Durham (member)]&amp;[North East]" c="Chester le Street District CAB">
                <p n="[Local Organisation].[CAB].[Member].&amp;[County Durham (member)]&amp;[North East]"/>
                <p n="[Local Organisation].[CAB].[Government Region].&amp;[North East]"/>
              </i>
              <i n="[Local Organisation].[CAB].[Bureau].&amp;[Consett]&amp;[County Durham (member)]&amp;[North East]" c="Consett">
                <p n="[Local Organisation].[CAB].[Member].&amp;[County Durham (member)]&amp;[North East]"/>
                <p n="[Local Organisation].[CAB].[Government Region].&amp;[North East]"/>
              </i>
              <i n="[Local Organisation].[CAB].[Bureau].&amp;[County Durham Telephone &amp; Digital Advice Service]&amp;[County Durham (member)]&amp;[North East]" c="County Durham Telephone &amp; Digital Advice Service">
                <p n="[Local Organisation].[CAB].[Member].&amp;[County Durham (member)]&amp;[North East]"/>
                <p n="[Local Organisation].[CAB].[Government Region].&amp;[North East]"/>
              </i>
              <i n="[Local Organisation].[CAB].[Bureau].&amp;[Durham Citizens Advice Bureau]&amp;[County Durham (member)]&amp;[North East]" c="Durham Citizens Advice Bureau">
                <p n="[Local Organisation].[CAB].[Member].&amp;[County Durham (member)]&amp;[North East]"/>
                <p n="[Local Organisation].[CAB].[Government Region].&amp;[North East]"/>
              </i>
              <i n="[Local Organisation].[CAB].[Bureau].&amp;[MAS DRO Unit]&amp;[County Durham (member)]&amp;[North East]" c="MAS DRO Unit">
                <p n="[Local Organisation].[CAB].[Member].&amp;[County Durham (member)]&amp;[North East]"/>
                <p n="[Local Organisation].[CAB].[Government Region].&amp;[North East]"/>
              </i>
              <i n="[Local Organisation].[CAB].[Bureau].&amp;[Newton Aycliffe]&amp;[County Durham (member)]&amp;[North East]" c="Newton Aycliffe">
                <p n="[Local Organisation].[CAB].[Member].&amp;[County Durham (member)]&amp;[North East]"/>
                <p n="[Local Organisation].[CAB].[Government Region].&amp;[North East]"/>
              </i>
              <i n="[Local Organisation].[CAB].[Bureau].&amp;[Peterlee]&amp;[County Durham (member)]&amp;[North East]" c="Peterlee">
                <p n="[Local Organisation].[CAB].[Member].&amp;[County Durham (member)]&amp;[North East]"/>
                <p n="[Local Organisation].[CAB].[Government Region].&amp;[North East]"/>
              </i>
              <i n="[Local Organisation].[CAB].[Bureau].&amp;[Seaham]&amp;[County Durham (member)]&amp;[North East]" c="Seaham">
                <p n="[Local Organisation].[CAB].[Member].&amp;[County Durham (member)]&amp;[North East]"/>
                <p n="[Local Organisation].[CAB].[Government Region].&amp;[North East]"/>
              </i>
              <i n="[Local Organisation].[CAB].[Bureau].&amp;[Spennymoor]&amp;[County Durham (member)]&amp;[North East]" c="Spennymoor">
                <p n="[Local Organisation].[CAB].[Member].&amp;[County Durham (member)]&amp;[North East]"/>
                <p n="[Local Organisation].[CAB].[Government Region].&amp;[North East]"/>
              </i>
              <i n="[Local Organisation].[CAB].[Bureau].&amp;[Stanley]&amp;[County Durham (member)]&amp;[North East]" c="Stanley">
                <p n="[Local Organisation].[CAB].[Member].&amp;[County Durham (member)]&amp;[North East]"/>
                <p n="[Local Organisation].[CAB].[Government Region].&amp;[North East]"/>
              </i>
              <i n="[Local Organisation].[CAB].[Bureau].&amp;[Wear Valley Citizens Advice Bureau]&amp;[County Durham (member)]&amp;[North East]" c="Wear Valley Citizens Advice Bureau">
                <p n="[Local Organisation].[CAB].[Member].&amp;[County Durham (member)]&amp;[North East]"/>
                <p n="[Local Organisation].[CAB].[Government Region].&amp;[North East]"/>
              </i>
              <i n="[Local Organisation].[CAB].[Bureau].&amp;[Darlington Citizens Advice Bureau]&amp;[Darlington (member)]&amp;[North East]" c="Darlington Citizens Advice Bureau">
                <p n="[Local Organisation].[CAB].[Member].&amp;[Darlington (member)]&amp;[North East]"/>
                <p n="[Local Organisation].[CAB].[Government Region].&amp;[North East]"/>
              </i>
              <i n="[Local Organisation].[CAB].[Bureau].&amp;[Dawn CAB Morpeth]&amp;[Dawn (member)]&amp;[North East]" c="Dawn CAB Morpeth">
                <p n="[Local Organisation].[CAB].[Member].&amp;[Dawn (member)]&amp;[North East]"/>
                <p n="[Local Organisation].[CAB].[Government Region].&amp;[North East]"/>
              </i>
              <i n="[Local Organisation].[CAB].[Bureau].&amp;[Gateshead Citizens Advice Bureau]&amp;[Gateshead (member)]&amp;[North East]" c="Gateshead Citizens Advice Bureau">
                <p n="[Local Organisation].[CAB].[Member].&amp;[Gateshead (member)]&amp;[North East]"/>
                <p n="[Local Organisation].[CAB].[Government Region].&amp;[North East]"/>
              </i>
              <i n="[Local Organisation].[CAB].[Bureau].&amp;[Hartlepool Citizens Advice Bureau]&amp;[Hartlepool (member)]&amp;[North East]" c="Hartlepool Citizens Advice Bureau">
                <p n="[Local Organisation].[CAB].[Member].&amp;[Hartlepool (member)]&amp;[North East]"/>
                <p n="[Local Organisation].[CAB].[Government Region].&amp;[North East]"/>
              </i>
              <i n="[Local Organisation].[CAB].[Bureau].&amp;[Middlesbrough Citizens Advice Bureau]&amp;[Middlesbrough (member)]&amp;[North East]" c="Middlesbrough Citizens Advice Bureau">
                <p n="[Local Organisation].[CAB].[Member].&amp;[Middlesbrough (member)]&amp;[North East]"/>
                <p n="[Local Organisation].[CAB].[Government Region].&amp;[North East]"/>
              </i>
              <i n="[Local Organisation].[CAB].[Bureau].&amp;[Newcastle upon Tyne Citizens Advice Bureau]&amp;[Newcastle upon Tyne (member)]&amp;[North East]" c="Newcastle upon Tyne Citizens Advice Bureau">
                <p n="[Local Organisation].[CAB].[Member].&amp;[Newcastle upon Tyne (member)]&amp;[North East]"/>
                <p n="[Local Organisation].[CAB].[Government Region].&amp;[North East]"/>
              </i>
              <i n="[Local Organisation].[CAB].[Bureau].&amp;[North Shields Citizens Advice Bureau]&amp;[North Tyneside (member)]&amp;[North East]" c="North Shields Citizens Advice Bureau">
                <p n="[Local Organisation].[CAB].[Member].&amp;[North Tyneside (member)]&amp;[North East]"/>
                <p n="[Local Organisation].[CAB].[Government Region].&amp;[North East]"/>
              </i>
              <i n="[Local Organisation].[CAB].[Bureau].&amp;[Wallsend Citizens Advice Bureau]&amp;[North Tyneside (member)]&amp;[North East]" c="Wallsend Citizens Advice Bureau">
                <p n="[Local Organisation].[CAB].[Member].&amp;[North Tyneside (member)]&amp;[North East]"/>
                <p n="[Local Organisation].[CAB].[Government Region].&amp;[North East]"/>
              </i>
              <i n="[Local Organisation].[CAB].[Bureau].&amp;[Whitley Bay]&amp;[North Tyneside (member)]&amp;[North East]" c="Whitley Bay">
                <p n="[Local Organisation].[CAB].[Member].&amp;[North Tyneside (member)]&amp;[North East]"/>
                <p n="[Local Organisation].[CAB].[Government Region].&amp;[North East]"/>
              </i>
              <i n="[Local Organisation].[CAB].[Bureau].&amp;[Northumbrian CAB (Alnwick)]&amp;[Northumbrian (member)]&amp;[North East]" c="Northumbrian CAB (Alnwick)">
                <p n="[Local Organisation].[CAB].[Member].&amp;[Northumbrian (member)]&amp;[North East]"/>
                <p n="[Local Organisation].[CAB].[Government Region].&amp;[North East]"/>
              </i>
              <i n="[Local Organisation].[CAB].[Bureau].&amp;[Northumbrian CAB (Amble)]&amp;[Northumbrian (member)]&amp;[North East]" c="Northumbrian CAB (Amble)">
                <p n="[Local Organisation].[CAB].[Member].&amp;[Northumbrian (member)]&amp;[North East]"/>
                <p n="[Local Organisation].[CAB].[Government Region].&amp;[North East]"/>
              </i>
              <i n="[Local Organisation].[CAB].[Bureau].&amp;[Northumbrian CAB (Ashington)]&amp;[Northumbrian (member)]&amp;[North East]" c="Northumbrian CAB (Ashington)">
                <p n="[Local Organisation].[CAB].[Member].&amp;[Northumbrian (member)]&amp;[North East]"/>
                <p n="[Local Organisation].[CAB].[Government Region].&amp;[North East]"/>
              </i>
              <i n="[Local Organisation].[CAB].[Bureau].&amp;[Northumbrian CAB (Berwick)]&amp;[Northumbrian (member)]&amp;[North East]" c="Northumbrian CAB (Berwick)">
                <p n="[Local Organisation].[CAB].[Member].&amp;[Northumbrian (member)]&amp;[North East]"/>
                <p n="[Local Organisation].[CAB].[Government Region].&amp;[North East]"/>
              </i>
              <i n="[Local Organisation].[CAB].[Bureau].&amp;[Northumbrian CAB (Blyth)]&amp;[Northumbrian (member)]&amp;[North East]" c="Northumbrian CAB (Blyth)">
                <p n="[Local Organisation].[CAB].[Member].&amp;[Northumbrian (member)]&amp;[North East]"/>
                <p n="[Local Organisation].[CAB].[Government Region].&amp;[North East]"/>
              </i>
              <i n="[Local Organisation].[CAB].[Bureau].&amp;[Northumbrian CAB (Cramlington)]&amp;[Northumbrian (member)]&amp;[North East]" c="Northumbrian CAB (Cramlington)">
                <p n="[Local Organisation].[CAB].[Member].&amp;[Northumbrian (member)]&amp;[North East]"/>
                <p n="[Local Organisation].[CAB].[Government Region].&amp;[North East]"/>
              </i>
              <i n="[Local Organisation].[CAB].[Bureau].&amp;[Northumbrian CAB (Haltwhistle)]&amp;[Northumbrian (member)]&amp;[North East]" c="Northumbrian CAB (Haltwhistle)">
                <p n="[Local Organisation].[CAB].[Member].&amp;[Northumbrian (member)]&amp;[North East]"/>
                <p n="[Local Organisation].[CAB].[Government Region].&amp;[North East]"/>
              </i>
              <i n="[Local Organisation].[CAB].[Bureau].&amp;[Northumbrian CAB (Hexham)]&amp;[Northumbrian (member)]&amp;[North East]" c="Northumbrian CAB (Hexham)">
                <p n="[Local Organisation].[CAB].[Member].&amp;[Northumbrian (member)]&amp;[North East]"/>
                <p n="[Local Organisation].[CAB].[Government Region].&amp;[North East]"/>
              </i>
              <i n="[Local Organisation].[CAB].[Bureau].&amp;[Northumbrian CAB (Morpeth)]&amp;[Northumbrian (member)]&amp;[North East]" c="Northumbrian CAB (Morpeth)">
                <p n="[Local Organisation].[CAB].[Member].&amp;[Northumbrian (member)]&amp;[North East]"/>
                <p n="[Local Organisation].[CAB].[Government Region].&amp;[North East]"/>
              </i>
              <i n="[Local Organisation].[CAB].[Bureau].&amp;[Northumbrian CAB (Prudhoe)]&amp;[Northumbrian (member)]&amp;[North East]" c="Northumbrian CAB (Prudhoe)">
                <p n="[Local Organisation].[CAB].[Member].&amp;[Northumbrian (member)]&amp;[North East]"/>
                <p n="[Local Organisation].[CAB].[Government Region].&amp;[North East]"/>
              </i>
              <i n="[Local Organisation].[CAB].[Bureau].&amp;[Redcar and Cleveland]&amp;[Redcar and Cleveland (member)]&amp;[North East]" c="Redcar and Cleveland">
                <p n="[Local Organisation].[CAB].[Member].&amp;[Redcar and Cleveland (member)]&amp;[North East]"/>
                <p n="[Local Organisation].[CAB].[Government Region].&amp;[North East]"/>
              </i>
              <i n="[Local Organisation].[CAB].[Bureau].&amp;[South Tyneside Citizens Advice Bureau]&amp;[South Tyneside (member)]&amp;[North East]" c="South Tyneside Citizens Advice Bureau">
                <p n="[Local Organisation].[CAB].[Member].&amp;[South Tyneside (member)]&amp;[North East]"/>
                <p n="[Local Organisation].[CAB].[Government Region].&amp;[North East]"/>
              </i>
              <i n="[Local Organisation].[CAB].[Bureau].&amp;[Stockton - Bath Lane]&amp;[Stockton &amp; District AIS (member)]&amp;[North East]" c="Stockton - Bath Lane">
                <p n="[Local Organisation].[CAB].[Member].&amp;[Stockton &amp; District AIS (member)]&amp;[North East]"/>
                <p n="[Local Organisation].[CAB].[Government Region].&amp;[North East]"/>
              </i>
              <i n="[Local Organisation].[CAB].[Bureau].&amp;[Stockton - Billingham]&amp;[Stockton &amp; District AIS (member)]&amp;[North East]" c="Stockton - Billingham">
                <p n="[Local Organisation].[CAB].[Member].&amp;[Stockton &amp; District AIS (member)]&amp;[North East]"/>
                <p n="[Local Organisation].[CAB].[Government Region].&amp;[North East]"/>
              </i>
              <i n="[Local Organisation].[CAB].[Bureau].&amp;[Stockton - Bridge Road]&amp;[Stockton &amp; District AIS (member)]&amp;[North East]" c="Stockton - Bridge Road">
                <p n="[Local Organisation].[CAB].[Member].&amp;[Stockton &amp; District AIS (member)]&amp;[North East]"/>
                <p n="[Local Organisation].[CAB].[Government Region].&amp;[North East]"/>
              </i>
              <i n="[Local Organisation].[CAB].[Bureau].&amp;[Citizens Advice Sunderland]&amp;[Sunderland (member)]&amp;[North East]" c="Citizens Advice Sunderland">
                <p n="[Local Organisation].[CAB].[Member].&amp;[Sunderland (member)]&amp;[North East]"/>
                <p n="[Local Organisation].[CAB].[Government Region].&amp;[North East]"/>
              </i>
              <i n="[Local Organisation].[CAB].[Bureau].&amp;[Allerdale Citizens Advice Bureau]&amp;[Allerdale (member)]&amp;[North West]" c="Allerdale Citizens Advice Bureau">
                <p n="[Local Organisation].[CAB].[Member].&amp;[Allerdale (member)]&amp;[North West]"/>
                <p n="[Local Organisation].[CAB].[Government Region].&amp;[North West]"/>
              </i>
              <i n="[Local Organisation].[CAB].[Bureau].&amp;[Barrow-In-Furness Citizens Advice Bureau]&amp;[Barrow-In-Furness (member)]&amp;[North West]" c="Barrow-In-Furness Citizens Advice Bureau">
                <p n="[Local Organisation].[CAB].[Member].&amp;[Barrow-In-Furness (member)]&amp;[North West]"/>
                <p n="[Local Organisation].[CAB].[Government Region].&amp;[North West]"/>
              </i>
              <i n="[Local Organisation].[CAB].[Bureau].&amp;[Blackburn with Darwen]&amp;[Blackburn with Darwen (member)]&amp;[North West]" c="Blackburn with Darwen">
                <p n="[Local Organisation].[CAB].[Member].&amp;[Blackburn with Darwen (member)]&amp;[North West]"/>
                <p n="[Local Organisation].[CAB].[Government Region].&amp;[North West]"/>
              </i>
              <i n="[Local Organisation].[CAB].[Bureau].&amp;[Blackpool Citizens Advice Bureau]&amp;[Blackpool Citizens Advice Bureau (member)]&amp;[North West]" c="Blackpool Citizens Advice Bureau">
                <p n="[Local Organisation].[CAB].[Member].&amp;[Blackpool Citizens Advice Bureau (member)]&amp;[North West]"/>
                <p n="[Local Organisation].[CAB].[Government Region].&amp;[North West]"/>
              </i>
              <i n="[Local Organisation].[CAB].[Bureau].&amp;[Bolton &amp; District Citizens Advice Bureau]&amp;[Bolton &amp; District (member)]&amp;[North West]" c="Bolton &amp; District Citizens Advice Bureau">
                <p n="[Local Organisation].[CAB].[Member].&amp;[Bolton &amp; District (member)]&amp;[North West]"/>
                <p n="[Local Organisation].[CAB].[Government Region].&amp;[North West]"/>
              </i>
              <i n="[Local Organisation].[CAB].[Bureau].&amp;[Barnoldswick Citizens Advice Bureau]&amp;[Burnley &amp; Pendle District (member)]&amp;[North West]" c="Barnoldswick Citizens Advice Bureau">
                <p n="[Local Organisation].[CAB].[Member].&amp;[Burnley &amp; Pendle District (member)]&amp;[North West]"/>
                <p n="[Local Organisation].[CAB].[Government Region].&amp;[North West]"/>
              </i>
              <i n="[Local Organisation].[CAB].[Bureau].&amp;[Burnley Citizens Advice Bureau]&amp;[Burnley &amp; Pendle District (member)]&amp;[North West]" c="Burnley Citizens Advice Bureau">
                <p n="[Local Organisation].[CAB].[Member].&amp;[Burnley &amp; Pendle District (member)]&amp;[North West]"/>
                <p n="[Local Organisation].[CAB].[Government Region].&amp;[North West]"/>
              </i>
              <i n="[Local Organisation].[CAB].[Bureau].&amp;[Colne Citizens Advice Bureau]&amp;[Burnley &amp; Pendle District (member)]&amp;[North West]" c="Colne Citizens Advice Bureau">
                <p n="[Local Organisation].[CAB].[Member].&amp;[Burnley &amp; Pendle District (member)]&amp;[North West]"/>
                <p n="[Local Organisation].[CAB].[Government Region].&amp;[North West]"/>
              </i>
              <i n="[Local Organisation].[CAB].[Bureau].&amp;[Nelson Citizens Advice Bureau]&amp;[Burnley &amp; Pendle District (member)]&amp;[North West]" c="Nelson Citizens Advice Bureau">
                <p n="[Local Organisation].[CAB].[Member].&amp;[Burnley &amp; Pendle District (member)]&amp;[North West]"/>
                <p n="[Local Organisation].[CAB].[Government Region].&amp;[North West]"/>
              </i>
              <i n="[Local Organisation].[CAB].[Bureau].&amp;[Bury District (management)]&amp;[Bury District (member)]&amp;[North West]" c="Bury District (management)">
                <p n="[Local Organisation].[CAB].[Member].&amp;[Bury District (member)]&amp;[North West]"/>
                <p n="[Local Organisation].[CAB].[Government Region].&amp;[North West]"/>
              </i>
              <i n="[Local Organisation].[CAB].[Bureau].&amp;[Prestwich Citizens Advice Bureau]&amp;[Bury District (member)]&amp;[North West]" c="Prestwich Citizens Advice Bureau">
                <p n="[Local Organisation].[CAB].[Member].&amp;[Bury District (member)]&amp;[North West]"/>
                <p n="[Local Organisation].[CAB].[Government Region].&amp;[North West]"/>
              </i>
              <i n="[Local Organisation].[CAB].[Bureau].&amp;[Radcliffe Citizens Advice Bureau]&amp;[Bury District (member)]&amp;[North West]" c="Radcliffe Citizens Advice Bureau">
                <p n="[Local Organisation].[CAB].[Member].&amp;[Bury District (member)]&amp;[North West]"/>
                <p n="[Local Organisation].[CAB].[Government Region].&amp;[North West]"/>
              </i>
              <i n="[Local Organisation].[CAB].[Bureau].&amp;[Carlisle &amp; Eden Districts (Carlisle) Citizens Advice Bureau]&amp;[Carlisle &amp; Eden Districts (member)]&amp;[North West]" c="Carlisle &amp; Eden Districts (Carlisle) Citizens Advice Bureau">
                <p n="[Local Organisation].[CAB].[Member].&amp;[Carlisle &amp; Eden Districts (member)]&amp;[North West]"/>
                <p n="[Local Organisation].[CAB].[Government Region].&amp;[North West]"/>
              </i>
              <i n="[Local Organisation].[CAB].[Bureau].&amp;[Carlisle &amp; Eden Districts (Penrith) Citizens Advice Bureau]&amp;[Carlisle &amp; Eden Districts (member)]&amp;[North West]" c="Carlisle &amp; Eden Districts (Penrith) Citizens Advice Bureau">
                <p n="[Local Organisation].[CAB].[Member].&amp;[Carlisle &amp; Eden Districts (member)]&amp;[North West]"/>
                <p n="[Local Organisation].[CAB].[Government Region].&amp;[North West]"/>
              </i>
              <i n="[Local Organisation].[CAB].[Bureau].&amp;[Congleton]&amp;[Cheshire East (member)]&amp;[North West]" c="Congleton">
                <p n="[Local Organisation].[CAB].[Member].&amp;[Cheshire East (member)]&amp;[North West]"/>
                <p n="[Local Organisation].[CAB].[Government Region].&amp;[North West]"/>
              </i>
              <i n="[Local Organisation].[CAB].[Bureau].&amp;[Crewe]&amp;[Cheshire East (member)]&amp;[North West]" c="Crewe">
                <p n="[Local Organisation].[CAB].[Member].&amp;[Cheshire East (member)]&amp;[North West]"/>
                <p n="[Local Organisation].[CAB].[Government Region].&amp;[North West]"/>
              </i>
              <i n="[Local Organisation].[CAB].[Bureau].&amp;[Nantwich]&amp;[Cheshire East (member)]&amp;[North West]" c="Nantwich">
                <p n="[Local Organisation].[CAB].[Member].&amp;[Cheshire East (member)]&amp;[North West]"/>
                <p n="[Local Organisation].[CAB].[Government Region].&amp;[North West]"/>
              </i>
              <i n="[Local Organisation].[CAB].[Bureau].&amp;[Macclesfield]&amp;[Cheshire East CAB North (member)]&amp;[North West]" c="Macclesfield">
                <p n="[Local Organisation].[CAB].[Member].&amp;[Cheshire East CAB North (member)]&amp;[North West]"/>
                <p n="[Local Organisation].[CAB].[Government Region].&amp;[North West]"/>
              </i>
              <i n="[Local Organisation].[CAB].[Bureau].&amp;[Chester Citizens Advice Bureau]&amp;[Cheshire West CAB Ltd (member)]&amp;[North West]" c="Chester Citizens Advice Bureau">
                <p n="[Local Organisation].[CAB].[Member].&amp;[Cheshire West CAB Ltd (member)]&amp;[North West]"/>
                <p n="[Local Organisation].[CAB].[Government Region].&amp;[North West]"/>
              </i>
              <i n="[Local Organisation].[CAB].[Bureau].&amp;[Ellesmere Port Citizens Advice Bureau]&amp;[Cheshire West CAB Ltd (member)]&amp;[North West]" c="Ellesmere Port Citizens Advice Bureau">
                <p n="[Local Organisation].[CAB].[Member].&amp;[Cheshire West CAB Ltd (member)]&amp;[North West]"/>
                <p n="[Local Organisation].[CAB].[Government Region].&amp;[North West]"/>
              </i>
              <i n="[Local Organisation].[CAB].[Bureau].&amp;[Northwich Citizens Advice Bureau]&amp;[Cheshire West CAB Ltd (member)]&amp;[North West]" c="Northwich Citizens Advice Bureau">
                <p n="[Local Organisation].[CAB].[Member].&amp;[Cheshire West CAB Ltd (member)]&amp;[North West]"/>
                <p n="[Local Organisation].[CAB].[Government Region].&amp;[North West]"/>
              </i>
              <i n="[Local Organisation].[CAB].[Bureau].&amp;[Winsford Citizens Advice Bureau]&amp;[Cheshire West CAB Ltd (member)]&amp;[North West]" c="Winsford Citizens Advice Bureau">
                <p n="[Local Organisation].[CAB].[Member].&amp;[Cheshire West CAB Ltd (member)]&amp;[North West]"/>
                <p n="[Local Organisation].[CAB].[Government Region].&amp;[North West]"/>
              </i>
              <i n="[Local Organisation].[CAB].[Bureau].&amp;[Bootle Goddard Hall]&amp;[Citizens Advice Sefton (member)]&amp;[North West]" c="Bootle Goddard Hall">
                <p n="[Local Organisation].[CAB].[Member].&amp;[Citizens Advice Sefton (member)]&amp;[North West]"/>
                <p n="[Local Organisation].[CAB].[Government Region].&amp;[North West]"/>
              </i>
              <i n="[Local Organisation].[CAB].[Bureau].&amp;[Bootle Stanley Road]&amp;[Citizens Advice Sefton (member)]&amp;[North West]" c="Bootle Stanley Road">
                <p n="[Local Organisation].[CAB].[Member].&amp;[Citizens Advice Sefton (member)]&amp;[North West]"/>
                <p n="[Local Organisation].[CAB].[Government Region].&amp;[North West]"/>
              </i>
              <i n="[Local Organisation].[CAB].[Bureau].&amp;[Formby]&amp;[Citizens Advice Sefton (member)]&amp;[North West]" c="Formby">
                <p n="[Local Organisation].[CAB].[Member].&amp;[Citizens Advice Sefton (member)]&amp;[North West]"/>
                <p n="[Local Organisation].[CAB].[Government Region].&amp;[North West]"/>
              </i>
              <i n="[Local Organisation].[CAB].[Bureau].&amp;[Southport]&amp;[Citizens Advice Sefton (member)]&amp;[North West]" c="Southport">
                <p n="[Local Organisation].[CAB].[Member].&amp;[Citizens Advice Sefton (member)]&amp;[North West]"/>
                <p n="[Local Organisation].[CAB].[Government Region].&amp;[North West]"/>
              </i>
              <i n="[Local Organisation].[CAB].[Bureau].&amp;[Copeland (Millom) CAB]&amp;[Copeland (member)]&amp;[North West]" c="Copeland (Millom) CAB">
                <p n="[Local Organisation].[CAB].[Member].&amp;[Copeland (member)]&amp;[North West]"/>
                <p n="[Local Organisation].[CAB].[Government Region].&amp;[North West]"/>
              </i>
              <i n="[Local Organisation].[CAB].[Bureau].&amp;[Copeland (Whitehaven) CAB]&amp;[Copeland (member)]&amp;[North West]" c="Copeland (Whitehaven) CAB">
                <p n="[Local Organisation].[CAB].[Member].&amp;[Copeland (member)]&amp;[North West]"/>
                <p n="[Local Organisation].[CAB].[Government Region].&amp;[North West]"/>
              </i>
              <i n="[Local Organisation].[CAB].[Bureau].&amp;[Cumbria Rural Citizens Advice Bureau]&amp;[Cumbria Rural (member)]&amp;[North West]" c="Cumbria Rural Citizens Advice Bureau">
                <p n="[Local Organisation].[CAB].[Member].&amp;[Cumbria Rural (member)]&amp;[North West]"/>
                <p n="[Local Organisation].[CAB].[Government Region].&amp;[North West]"/>
              </i>
              <i n="[Local Organisation].[CAB].[Bureau].&amp;[Fylde CAB]&amp;[Fylde (member)]&amp;[North West]" c="Fylde CAB">
                <p n="[Local Organisation].[CAB].[Member].&amp;[Fylde (member)]&amp;[North West]"/>
                <p n="[Local Organisation].[CAB].[Government Region].&amp;[North West]"/>
              </i>
              <i n="[Local Organisation].[CAB].[Bureau].&amp;[Runcorn Citizens Advice Bureau]&amp;[Halton District (member)]&amp;[North West]" c="Runcorn Citizens Advice Bureau">
                <p n="[Local Organisation].[CAB].[Member].&amp;[Halton District (member)]&amp;[North West]"/>
                <p n="[Local Organisation].[CAB].[Government Region].&amp;[North West]"/>
              </i>
              <i n="[Local Organisation].[CAB].[Bureau].&amp;[Widnes Citizens Advice Bureau]&amp;[Halton District (member)]&amp;[North West]" c="Widnes Citizens Advice Bureau">
                <p n="[Local Organisation].[CAB].[Member].&amp;[Halton District (member)]&amp;[North West]"/>
                <p n="[Local Organisation].[CAB].[Government Region].&amp;[North West]"/>
              </i>
              <i n="[Local Organisation].[CAB].[Bureau].&amp;[Hyndburn Citizens Advice Bureau]&amp;[Hyndburn Citizens Advice Bureau (member)]&amp;[North West]" c="Hyndburn Citizens Advice Bureau">
                <p n="[Local Organisation].[CAB].[Member].&amp;[Hyndburn Citizens Advice Bureau (member)]&amp;[North West]"/>
                <p n="[Local Organisation].[CAB].[Government Region].&amp;[North West]"/>
              </i>
              <i n="[Local Organisation].[CAB].[Bureau].&amp;[Halewood Citizens Advice Bureau]&amp;[Knowsley (member)]&amp;[North West]" c="Halewood Citizens Advice Bureau">
                <p n="[Local Organisation].[CAB].[Member].&amp;[Knowsley (member)]&amp;[North West]"/>
                <p n="[Local Organisation].[CAB].[Government Region].&amp;[North West]"/>
              </i>
              <i n="[Local Organisation].[CAB].[Bureau].&amp;[Huyton Citizens Advice Bureau]&amp;[Knowsley (member)]&amp;[North West]" c="Huyton Citizens Advice Bureau">
                <p n="[Local Organisation].[CAB].[Member].&amp;[Knowsley (member)]&amp;[North West]"/>
                <p n="[Local Organisation].[CAB].[Government Region].&amp;[North West]"/>
              </i>
              <i n="[Local Organisation].[CAB].[Bureau].&amp;[Kirkby Citizens Advice Bureau]&amp;[Knowsley (member)]&amp;[North West]" c="Kirkby Citizens Advice Bureau">
                <p n="[Local Organisation].[CAB].[Member].&amp;[Knowsley (member)]&amp;[North West]"/>
                <p n="[Local Organisation].[CAB].[Government Region].&amp;[North West]"/>
              </i>
              <i n="[Local Organisation].[CAB].[Bureau].&amp;[Chorley Citizens Advice Bureau]&amp;[Lancashire West (Member)]&amp;[North West]" c="Chorley Citizens Advice Bureau">
                <p n="[Local Organisation].[CAB].[Member].&amp;[Lancashire West (Member)]&amp;[North West]"/>
                <p n="[Local Organisation].[CAB].[Government Region].&amp;[North West]"/>
              </i>
              <i n="[Local Organisation].[CAB].[Bureau].&amp;[South Ribble Citizens Advice Bureau]&amp;[Lancashire West (Member)]&amp;[North West]" c="South Ribble Citizens Advice Bureau">
                <p n="[Local Organisation].[CAB].[Member].&amp;[Lancashire West (Member)]&amp;[North West]"/>
                <p n="[Local Organisation].[CAB].[Government Region].&amp;[North West]"/>
              </i>
              <i n="[Local Organisation].[CAB].[Bureau].&amp;[West Lancashire Citizens Advice Bureau]&amp;[Lancashire West (Member)]&amp;[North West]" c="West Lancashire Citizens Advice Bureau">
                <p n="[Local Organisation].[CAB].[Member].&amp;[Lancashire West (Member)]&amp;[North West]"/>
                <p n="[Local Organisation].[CAB].[Government Region].&amp;[North West]"/>
              </i>
              <i n="[Local Organisation].[CAB].[Bureau].&amp;[Wyre Citizens Advice Bureau]&amp;[Lancashire West (Member)]&amp;[North West]" c="Wyre Citizens Advice Bureau">
                <p n="[Local Organisation].[CAB].[Member].&amp;[Lancashire West (Member)]&amp;[North West]"/>
                <p n="[Local Organisation].[CAB].[Government Region].&amp;[North West]"/>
              </i>
              <i n="[Local Organisation].[CAB].[Bureau].&amp;[Liverpool Central Citizens Advice Bureau]&amp;[Liverpool Central (member)]&amp;[North West]" c="Liverpool Central Citizens Advice Bureau">
                <p n="[Local Organisation].[CAB].[Member].&amp;[Liverpool Central (member)]&amp;[North West]"/>
                <p n="[Local Organisation].[CAB].[Government Region].&amp;[North West]"/>
              </i>
              <i n="[Local Organisation].[CAB].[Bureau].&amp;[LSAS]&amp;[LSAS (member)]&amp;[North West]" c="LSAS">
                <p n="[Local Organisation].[CAB].[Member].&amp;[LSAS (member)]&amp;[North West]"/>
                <p n="[Local Organisation].[CAB].[Government Region].&amp;[North West]"/>
              </i>
              <i n="[Local Organisation].[CAB].[Bureau].&amp;[Ben Brierley Legal Advice Resource Centre]&amp;[Manchester District (member)]&amp;[North West]" c="Ben Brierley Legal Advice Resource Centre">
                <p n="[Local Organisation].[CAB].[Member].&amp;[Manchester District (member)]&amp;[North West]"/>
                <p n="[Local Organisation].[CAB].[Government Region].&amp;[North West]"/>
              </i>
              <i n="[Local Organisation].[CAB].[Bureau].&amp;[Manchester Central Citizens Advice Bureau]&amp;[Manchester District (member)]&amp;[North West]" c="Manchester Central Citizens Advice Bureau">
                <p n="[Local Organisation].[CAB].[Member].&amp;[Manchester District (member)]&amp;[North West]"/>
                <p n="[Local Organisation].[CAB].[Government Region].&amp;[North West]"/>
              </i>
              <i n="[Local Organisation].[CAB].[Bureau].&amp;[Moss Side Citizens Advice Bureau]&amp;[Manchester District (member)]&amp;[North West]" c="Moss Side Citizens Advice Bureau">
                <p n="[Local Organisation].[CAB].[Member].&amp;[Manchester District (member)]&amp;[North West]"/>
                <p n="[Local Organisation].[CAB].[Government Region].&amp;[North West]"/>
              </i>
              <i n="[Local Organisation].[CAB].[Bureau].&amp;[Withington Citizens Advice Bureau]&amp;[Manchester District (member)]&amp;[North West]" c="Withington Citizens Advice Bureau">
                <p n="[Local Organisation].[CAB].[Member].&amp;[Manchester District (member)]&amp;[North West]"/>
                <p n="[Local Organisation].[CAB].[Government Region].&amp;[North West]"/>
              </i>
              <i n="[Local Organisation].[CAB].[Bureau].&amp;[Wythenshawe Citizens Advice Bureau]&amp;[Manchester District (member)]&amp;[North West]" c="Wythenshawe Citizens Advice Bureau">
                <p n="[Local Organisation].[CAB].[Member].&amp;[Manchester District (member)]&amp;[North West]"/>
                <p n="[Local Organisation].[CAB].[Government Region].&amp;[North West]"/>
              </i>
              <i n="[Local Organisation].[CAB].[Bureau].&amp;[Lancaster CAB]&amp;[North Lancashire CAB (member)]&amp;[North West]" c="Lancaster CAB">
                <p n="[Local Organisation].[CAB].[Member].&amp;[North Lancashire CAB (member)]&amp;[North West]"/>
                <p n="[Local Organisation].[CAB].[Government Region].&amp;[North West]"/>
              </i>
              <i n="[Local Organisation].[CAB].[Bureau].&amp;[North Lancashire CAB]&amp;[North Lancashire CAB (member)]&amp;[North West]" c="North Lancashire CAB">
                <p n="[Local Organisation].[CAB].[Member].&amp;[North Lancashire CAB (member)]&amp;[North West]"/>
                <p n="[Local Organisation].[CAB].[Government Region].&amp;[North West]"/>
              </i>
              <i n="[Local Organisation].[CAB].[Bureau].&amp;[Anfield Citizens Advice Bureau]&amp;[North Liverpool (member)]&amp;[North West]" c="Anfield Citizens Advice Bureau">
                <p n="[Local Organisation].[CAB].[Member].&amp;[North Liverpool (member)]&amp;[North West]"/>
                <p n="[Local Organisation].[CAB].[Government Region].&amp;[North West]"/>
              </i>
              <i n="[Local Organisation].[CAB].[Bureau].&amp;[Norris Green Citizens Advice Bureau]&amp;[North Liverpool (member)]&amp;[North West]" c="Norris Green Citizens Advice Bureau">
                <p n="[Local Organisation].[CAB].[Member].&amp;[North Liverpool (member)]&amp;[North West]"/>
                <p n="[Local Organisation].[CAB].[Government Region].&amp;[North West]"/>
              </i>
              <i n="[Local Organisation].[CAB].[Bureau].&amp;[Walton Citizens Advice Bureau]&amp;[North Liverpool (member)]&amp;[North West]" c="Walton Citizens Advice Bureau">
                <p n="[Local Organisation].[CAB].[Member].&amp;[North Liverpool (member)]&amp;[North West]"/>
                <p n="[Local Organisation].[CAB].[Government Region].&amp;[North West]"/>
              </i>
              <i n="[Local Organisation].[CAB].[Bureau].&amp;[Oldham Citizens Advice Bureau]&amp;[Pennine West (member)]&amp;[North West]" c="Oldham Citizens Advice Bureau">
                <p n="[Local Organisation].[CAB].[Member].&amp;[Pennine West (member)]&amp;[North West]"/>
                <p n="[Local Organisation].[CAB].[Government Region].&amp;[North West]"/>
              </i>
              <i n="[Local Organisation].[CAB].[Bureau].&amp;[Rochdale Citizens Advice Bureau]&amp;[Pennine West (member)]&amp;[North West]" c="Rochdale Citizens Advice Bureau">
                <p n="[Local Organisation].[CAB].[Member].&amp;[Pennine West (member)]&amp;[North West]"/>
                <p n="[Local Organisation].[CAB].[Government Region].&amp;[North West]"/>
              </i>
              <i n="[Local Organisation].[CAB].[Bureau].&amp;[Preston Citizens Advice Bureau]&amp;[Preston (member)]&amp;[North West]" c="Preston Citizens Advice Bureau">
                <p n="[Local Organisation].[CAB].[Member].&amp;[Preston (member)]&amp;[North West]"/>
                <p n="[Local Organisation].[CAB].[Government Region].&amp;[North West]"/>
              </i>
              <i n="[Local Organisation].[CAB].[Bureau].&amp;[Ribble Valley]&amp;[Ribble Valley (member)]&amp;[North West]" c="Ribble Valley">
                <p n="[Local Organisation].[CAB].[Member].&amp;[Ribble Valley (member)]&amp;[North West]"/>
                <p n="[Local Organisation].[CAB].[Government Region].&amp;[North West]"/>
              </i>
              <i n="[Local Organisation].[CAB].[Bureau].&amp;[Rossendale Citizens Advice Bureau]&amp;[Rossendale Citizens Advice Bureau (member)]&amp;[North West]" c="Rossendale Citizens Advice Bureau">
                <p n="[Local Organisation].[CAB].[Member].&amp;[Rossendale Citizens Advice Bureau (member)]&amp;[North West]"/>
                <p n="[Local Organisation].[CAB].[Government Region].&amp;[North West]"/>
              </i>
              <i n="[Local Organisation].[CAB].[Bureau].&amp;[Eccles Citizens Advice Bureau]&amp;[Salford District (member)]&amp;[North West]" c="Eccles Citizens Advice Bureau">
                <p n="[Local Organisation].[CAB].[Member].&amp;[Salford District (member)]&amp;[North West]"/>
                <p n="[Local Organisation].[CAB].[Government Region].&amp;[North West]"/>
              </i>
              <i n="[Local Organisation].[CAB].[Bureau].&amp;[Irlam &amp; Cadishead Citizens Advice Bureau]&amp;[Salford District (member)]&amp;[North West]" c="Irlam &amp; Cadishead Citizens Advice Bureau">
                <p n="[Local Organisation].[CAB].[Member].&amp;[Salford District (member)]&amp;[North West]"/>
                <p n="[Local Organisation].[CAB].[Government Region].&amp;[North West]"/>
              </i>
              <i n="[Local Organisation].[CAB].[Bureau].&amp;[Salford CAB Telephone Advice Service]&amp;[Salford District (member)]&amp;[North West]" c="Salford CAB Telephone Advice Service">
                <p n="[Local Organisation].[CAB].[Member].&amp;[Salford District (member)]&amp;[North West]"/>
                <p n="[Local Organisation].[CAB].[Government Region].&amp;[North West]"/>
              </i>
              <i n="[Local Organisation].[CAB].[Bureau].&amp;[Salford City Citizens Advice Bureau]&amp;[Salford District (member)]&amp;[North West]" c="Salford City Citizens Advice Bureau">
                <p n="[Local Organisation].[CAB].[Member].&amp;[Salford District (member)]&amp;[North West]"/>
                <p n="[Local Organisation].[CAB].[Government Region].&amp;[North West]"/>
              </i>
              <i n="[Local Organisation].[CAB].[Bureau].&amp;[Salford Royal Citizens Advice Bureau]&amp;[Salford District (member)]&amp;[North West]" c="Salford Royal Citizens Advice Bureau">
                <p n="[Local Organisation].[CAB].[Member].&amp;[Salford District (member)]&amp;[North West]"/>
                <p n="[Local Organisation].[CAB].[Government Region].&amp;[North West]"/>
              </i>
              <i n="[Local Organisation].[CAB].[Bureau].&amp;[Swinton Citizens Advice Bureau]&amp;[Salford District (member)]&amp;[North West]" c="Swinton Citizens Advice Bureau">
                <p n="[Local Organisation].[CAB].[Member].&amp;[Salford District (member)]&amp;[North West]"/>
                <p n="[Local Organisation].[CAB].[Government Region].&amp;[North West]"/>
              </i>
              <i n="[Local Organisation].[CAB].[Bureau].&amp;[Walkden Citizens Advice Bureau]&amp;[Salford District (member)]&amp;[North West]" c="Walkden Citizens Advice Bureau">
                <p n="[Local Organisation].[CAB].[Member].&amp;[Salford District (member)]&amp;[North West]"/>
                <p n="[Local Organisation].[CAB].[Government Region].&amp;[North West]"/>
              </i>
              <i n="[Local Organisation].[CAB].[Bureau].&amp;[South Liverpool (Garston) CAB]&amp;[South Liverpool (member)]&amp;[North West]" c="South Liverpool (Garston) CAB">
                <p n="[Local Organisation].[CAB].[Member].&amp;[South Liverpool (member)]&amp;[North West]"/>
                <p n="[Local Organisation].[CAB].[Government Region].&amp;[North West]"/>
              </i>
              <i n="[Local Organisation].[CAB].[Bureau].&amp;[South Liverpool (Toxteth) CAB]&amp;[South Liverpool (member)]&amp;[North West]" c="South Liverpool (Toxteth) CAB">
                <p n="[Local Organisation].[CAB].[Member].&amp;[South Liverpool (member)]&amp;[North West]"/>
                <p n="[Local Organisation].[CAB].[Government Region].&amp;[North West]"/>
              </i>
              <i n="[Local Organisation].[CAB].[Bureau].&amp;[Speke Advice Service CAB Ltd]&amp;[Speke Advice Service CAB Ltd (member)]&amp;[North West]" c="Speke Advice Service CAB Ltd">
                <p n="[Local Organisation].[CAB].[Member].&amp;[Speke Advice Service CAB Ltd (member)]&amp;[North West]"/>
                <p n="[Local Organisation].[CAB].[Government Region].&amp;[North West]"/>
              </i>
              <i n="[Local Organisation].[CAB].[Bureau].&amp;[St Helens Citizens Advice Bureau]&amp;[St Helens (member)]&amp;[North West]" c="St Helens Citizens Advice Bureau">
                <p n="[Local Organisation].[CAB].[Member].&amp;[St Helens (member)]&amp;[North West]"/>
                <p n="[Local Organisation].[CAB].[Government Region].&amp;[North West]"/>
              </i>
              <i n="[Local Organisation].[CAB].[Bureau].&amp;[Cheadle &amp; Gatley Citizens Advice Bureau]&amp;[Stockport District (member)]&amp;[North West]" c="Cheadle &amp; Gatley Citizens Advice Bureau">
                <p n="[Local Organisation].[CAB].[Member].&amp;[Stockport District (member)]&amp;[North West]"/>
                <p n="[Local Organisation].[CAB].[Government Region].&amp;[North West]"/>
              </i>
              <i n="[Local Organisation].[CAB].[Bureau].&amp;[Marple Citizens Advice Bureau]&amp;[Stockport District (member)]&amp;[North West]" c="Marple Citizens Advice Bureau">
                <p n="[Local Organisation].[CAB].[Member].&amp;[Stockport District (member)]&amp;[North West]"/>
                <p n="[Local Organisation].[CAB].[Government Region].&amp;[North West]"/>
              </i>
              <i n="[Local Organisation].[CAB].[Bureau].&amp;[Stockport Citizens Advice Bureau]&amp;[Stockport District (member)]&amp;[North West]" c="Stockport Citizens Advice Bureau">
                <p n="[Local Organisation].[CAB].[Member].&amp;[Stockport District (member)]&amp;[North West]"/>
                <p n="[Local Organisation].[CAB].[Government Region].&amp;[North West]"/>
              </i>
              <i n="[Local Organisation].[CAB].[Bureau].&amp;[Tameside District Citizens Advice Bureau]&amp;[Tameside District (member)]&amp;[North West]" c="Tameside District Citizens Advice Bureau">
                <p n="[Local Organisation].[CAB].[Member].&amp;[Tameside District (member)]&amp;[North West]"/>
                <p n="[Local Organisation].[CAB].[Government Region].&amp;[North West]"/>
              </i>
              <i n="[Local Organisation].[CAB].[Bureau].&amp;[Sale Citizens Advice Bureau]&amp;[Trafford Citizens Advice Bureau (member)]&amp;[North West]" c="Sale Citizens Advice Bureau">
                <p n="[Local Organisation].[CAB].[Member].&amp;[Trafford Citizens Advice Bureau (member)]&amp;[North West]"/>
                <p n="[Local Organisation].[CAB].[Government Region].&amp;[North West]"/>
              </i>
              <i n="[Local Organisation].[CAB].[Bureau].&amp;[Stretford Citizens Advice Bureau]&amp;[Trafford Citizens Advice Bureau (member)]&amp;[North West]" c="Stretford Citizens Advice Bureau">
                <p n="[Local Organisation].[CAB].[Member].&amp;[Trafford Citizens Advice Bureau (member)]&amp;[North West]"/>
                <p n="[Local Organisation].[CAB].[Government Region].&amp;[North West]"/>
              </i>
              <i n="[Local Organisation].[CAB].[Bureau].&amp;[Trafford (District Office)]&amp;[Trafford Citizens Advice Bureau (member)]&amp;[North West]" c="Trafford (District Office)">
                <p n="[Local Organisation].[CAB].[Member].&amp;[Trafford Citizens Advice Bureau (member)]&amp;[North West]"/>
                <p n="[Local Organisation].[CAB].[Government Region].&amp;[North West]"/>
              </i>
              <i n="[Local Organisation].[CAB].[Bureau].&amp;[Birchwood Citizens Advice Bureau]&amp;[Warrington District (member)]&amp;[North West]" c="Birchwood Citizens Advice Bureau">
                <p n="[Local Organisation].[CAB].[Member].&amp;[Warrington District (member)]&amp;[North West]"/>
                <p n="[Local Organisation].[CAB].[Government Region].&amp;[North West]"/>
              </i>
              <i n="[Local Organisation].[CAB].[Bureau].&amp;[Lymm Citizens Advice Bureau]&amp;[Warrington District (member)]&amp;[North West]" c="Lymm Citizens Advice Bureau">
                <p n="[Local Organisation].[CAB].[Member].&amp;[Warrington District (member)]&amp;[North West]"/>
                <p n="[Local Organisation].[CAB].[Government Region].&amp;[North West]"/>
              </i>
              <i n="[Local Organisation].[CAB].[Bureau].&amp;[Warrington Citizens Advice Bureau]&amp;[Warrington District (member)]&amp;[North West]" c="Warrington Citizens Advice Bureau">
                <p n="[Local Organisation].[CAB].[Member].&amp;[Warrington District (member)]&amp;[North West]"/>
                <p n="[Local Organisation].[CAB].[Government Region].&amp;[North West]"/>
              </i>
              <i n="[Local Organisation].[CAB].[Bureau].&amp;[Netherley Citizens Advice Bureau]&amp;[Wavertree (member)]&amp;[North West]" c="Netherley Citizens Advice Bureau">
                <p n="[Local Organisation].[CAB].[Member].&amp;[Wavertree (member)]&amp;[North West]"/>
                <p n="[Local Organisation].[CAB].[Government Region].&amp;[North West]"/>
              </i>
              <i n="[Local Organisation].[CAB].[Bureau].&amp;[Wavertree Citizens Advice Bureau]&amp;[Wavertree (member)]&amp;[North West]" c="Wavertree Citizens Advice Bureau">
                <p n="[Local Organisation].[CAB].[Member].&amp;[Wavertree (member)]&amp;[North West]"/>
                <p n="[Local Organisation].[CAB].[Government Region].&amp;[North West]"/>
              </i>
              <i n="[Local Organisation].[CAB].[Bureau].&amp;[Leigh Citizens Advice Bureau]&amp;[Wigan Borough CAB (member)]&amp;[North West]" c="Leigh Citizens Advice Bureau">
                <p n="[Local Organisation].[CAB].[Member].&amp;[Wigan Borough CAB (member)]&amp;[North West]"/>
                <p n="[Local Organisation].[CAB].[Government Region].&amp;[North West]"/>
              </i>
              <i n="[Local Organisation].[CAB].[Bureau].&amp;[Wigan Citizens Advice Bureau]&amp;[Wigan Borough CAB (member)]&amp;[North West]" c="Wigan Citizens Advice Bureau">
                <p n="[Local Organisation].[CAB].[Member].&amp;[Wigan Borough CAB (member)]&amp;[North West]"/>
                <p n="[Local Organisation].[CAB].[Government Region].&amp;[North West]"/>
              </i>
              <i n="[Local Organisation].[CAB].[Bureau].&amp;[Birkenhead Advice Centre]&amp;[Wirral (member)]&amp;[North West]" c="Birkenhead Advice Centre">
                <p n="[Local Organisation].[CAB].[Member].&amp;[Wirral (member)]&amp;[North West]"/>
                <p n="[Local Organisation].[CAB].[Government Region].&amp;[North West]"/>
              </i>
              <i n="[Local Organisation].[CAB].[Bureau].&amp;[Heswall Advice Centre]&amp;[Wirral (member)]&amp;[North West]" c="Heswall Advice Centre">
                <p n="[Local Organisation].[CAB].[Member].&amp;[Wirral (member)]&amp;[North West]"/>
                <p n="[Local Organisation].[CAB].[Government Region].&amp;[North West]"/>
              </i>
              <i n="[Local Organisation].[CAB].[Bureau].&amp;[Wallasey Advice Centre]&amp;[Wirral (member)]&amp;[North West]" c="Wallasey Advice Centre">
                <p n="[Local Organisation].[CAB].[Member].&amp;[Wirral (member)]&amp;[North West]"/>
                <p n="[Local Organisation].[CAB].[Government Region].&amp;[North West]"/>
              </i>
              <i n="[Local Organisation].[CAB].[Bureau].&amp;[West Kirby Advice Centre]&amp;[Wirral (member)]&amp;[North West]" c="West Kirby Advice Centre">
                <p n="[Local Organisation].[CAB].[Member].&amp;[Wirral (member)]&amp;[North West]"/>
                <p n="[Local Organisation].[CAB].[Government Region].&amp;[North West]"/>
              </i>
              <i n="[Local Organisation].[CAB].[Bureau].&amp;[Wirral Telephone Centre]&amp;[Wirral (member)]&amp;[North West]" c="Wirral Telephone Centre">
                <p n="[Local Organisation].[CAB].[Member].&amp;[Wirral (member)]&amp;[North West]"/>
                <p n="[Local Organisation].[CAB].[Government Region].&amp;[North West]"/>
              </i>
              <i n="[Local Organisation].[CAB].[Bureau].&amp;[Specialist Provider Gateshead]&amp;[Adviceline Specialist Provider Gateshead]&amp;[Not recorded/not applicable]" c="Specialist Provider Gateshead">
                <p n="[Local Organisation].[CAB].[Member].&amp;[Adviceline Specialist Provider Gateshead]&amp;[Not recorded/not applicable]"/>
                <p n="[Local Organisation].[CAB].[Government Region].&amp;[Not recorded/not applicable]"/>
              </i>
              <i n="[Local Organisation].[CAB].[Bureau].&amp;[Business Support Team]&amp;[Citizens Advice Member]&amp;[Not recorded/not applicable]" c="Business Support Team">
                <p n="[Local Organisation].[CAB].[Member].&amp;[Citizens Advice Member]&amp;[Not recorded/not applicable]"/>
                <p n="[Local Organisation].[CAB].[Government Region].&amp;[Not recorded/not applicable]"/>
              </i>
              <i n="[Local Organisation].[CAB].[Bureau].&amp;[Citizens Advice Bureau]&amp;[Citizens Advice Member]&amp;[Not recorded/not applicable]" c="Citizens Advice Bureau">
                <p n="[Local Organisation].[CAB].[Member].&amp;[Citizens Advice Member]&amp;[Not recorded/not applicable]"/>
                <p n="[Local Organisation].[CAB].[Government Region].&amp;[Not recorded/not applicable]"/>
              </i>
              <i n="[Local Organisation].[CAB].[Bureau].&amp;[PCC Caerphilly CAB]&amp;[Citizens Advice PCCs]&amp;[Not recorded/not applicable]" c="PCC Caerphilly CAB">
                <p n="[Local Organisation].[CAB].[Member].&amp;[Citizens Advice PCCs]&amp;[Not recorded/not applicable]"/>
                <p n="[Local Organisation].[CAB].[Government Region].&amp;[Not recorded/not applicable]"/>
              </i>
              <i n="[Local Organisation].[CAB].[Bureau].&amp;[PCC Manchester District CAB]&amp;[Citizens Advice PCCs]&amp;[Not recorded/not applicable]" c="PCC Manchester District CAB">
                <p n="[Local Organisation].[CAB].[Member].&amp;[Citizens Advice PCCs]&amp;[Not recorded/not applicable]"/>
                <p n="[Local Organisation].[CAB].[Government Region].&amp;[Not recorded/not applicable]"/>
              </i>
              <i n="[Local Organisation].[CAB].[Bureau].&amp;[PCC Stoke on Trent CAB]&amp;[Citizens Advice PCCs]&amp;[Not recorded/not applicable]" c="PCC Stoke on Trent CAB">
                <p n="[Local Organisation].[CAB].[Member].&amp;[Citizens Advice PCCs]&amp;[Not recorded/not applicable]"/>
                <p n="[Local Organisation].[CAB].[Government Region].&amp;[Not recorded/not applicable]"/>
              </i>
              <i n="[Local Organisation].[CAB].[Bureau].&amp;[MASDAP Contact Centre - Caerphilly]&amp;[MASDAP Contact Centres]&amp;[Not recorded/not applicable]" c="MASDAP Contact Centre - Caerphilly">
                <p n="[Local Organisation].[CAB].[Member].&amp;[MASDAP Contact Centres]&amp;[Not recorded/not applicable]"/>
                <p n="[Local Organisation].[CAB].[Government Region].&amp;[Not recorded/not applicable]"/>
              </i>
              <i n="[Local Organisation].[CAB].[Bureau].&amp;[MASDAP Contact Centre - Manchester]&amp;[MASDAP Contact Centres]&amp;[Not recorded/not applicable]" c="MASDAP Contact Centre - Manchester">
                <p n="[Local Organisation].[CAB].[Member].&amp;[MASDAP Contact Centres]&amp;[Not recorded/not applicable]"/>
                <p n="[Local Organisation].[CAB].[Government Region].&amp;[Not recorded/not applicable]"/>
              </i>
              <i n="[Local Organisation].[CAB].[Bureau].&amp;[MASDAP Contact Centre - Merton and Lambeth]&amp;[MASDAP Contact Centres]&amp;[Not recorded/not applicable]" c="MASDAP Contact Centre - Merton and Lambeth">
                <p n="[Local Organisation].[CAB].[Member].&amp;[MASDAP Contact Centres]&amp;[Not recorded/not applicable]"/>
                <p n="[Local Organisation].[CAB].[Government Region].&amp;[Not recorded/not applicable]"/>
              </i>
              <i n="[Local Organisation].[CAB].[Bureau].&amp;[Not recorded/not applicable]&amp;[Not recorded/not applicable]&amp;[Not recorded/not applicable]" c="Not recorded/not applicable">
                <p n="[Local Organisation].[CAB].[Member].&amp;[Not recorded/not applicable]&amp;[Not recorded/not applicable]"/>
                <p n="[Local Organisation].[CAB].[Government Region].&amp;[Not recorded/not applicable]"/>
              </i>
              <i n="[Local Organisation].[CAB].[Bureau].&amp;[Proof of Concept Caerphilly]&amp;[Proof of Concept Caerphilly/Merton]&amp;[Not recorded/not applicable]" c="Proof of Concept Caerphilly">
                <p n="[Local Organisation].[CAB].[Member].&amp;[Proof of Concept Caerphilly/Merton]&amp;[Not recorded/not applicable]"/>
                <p n="[Local Organisation].[CAB].[Government Region].&amp;[Not recorded/not applicable]"/>
              </i>
              <i n="[Local Organisation].[CAB].[Bureau].&amp;[Bognor Regis CAB]&amp;[Arun &amp; Chichester (member)]&amp;[South East]" c="Bognor Regis CAB">
                <p n="[Local Organisation].[CAB].[Member].&amp;[Arun &amp; Chichester (member)]&amp;[South East]"/>
                <p n="[Local Organisation].[CAB].[Government Region].&amp;[South East]"/>
              </i>
              <i n="[Local Organisation].[CAB].[Bureau].&amp;[Chichester &amp; District CAB]&amp;[Arun &amp; Chichester (member)]&amp;[South East]" c="Chichester &amp; District CAB">
                <p n="[Local Organisation].[CAB].[Member].&amp;[Arun &amp; Chichester (member)]&amp;[South East]"/>
                <p n="[Local Organisation].[CAB].[Government Region].&amp;[South East]"/>
              </i>
              <i n="[Local Organisation].[CAB].[Bureau].&amp;[Littlehampton &amp; District CAB]&amp;[Arun &amp; Chichester (member)]&amp;[South East]" c="Littlehampton &amp; District CAB">
                <p n="[Local Organisation].[CAB].[Member].&amp;[Arun &amp; Chichester (member)]&amp;[South East]"/>
                <p n="[Local Organisation].[CAB].[Government Region].&amp;[South East]"/>
              </i>
              <i n="[Local Organisation].[CAB].[Bureau].&amp;[Ash Citizens Advice Bureau]&amp;[Ash (member)]&amp;[South East]" c="Ash Citizens Advice Bureau">
                <p n="[Local Organisation].[CAB].[Member].&amp;[Ash (member)]&amp;[South East]"/>
                <p n="[Local Organisation].[CAB].[Government Region].&amp;[South East]"/>
              </i>
              <i n="[Local Organisation].[CAB].[Bureau].&amp;[Ashford Citizens Advice Bureau]&amp;[Ashford Borough (member)]&amp;[South East]" c="Ashford Citizens Advice Bureau">
                <p n="[Local Organisation].[CAB].[Member].&amp;[Ashford Borough (member)]&amp;[South East]"/>
                <p n="[Local Organisation].[CAB].[Government Region].&amp;[South East]"/>
              </i>
              <i n="[Local Organisation].[CAB].[Bureau].&amp;[Aylesbury &amp; District Citizens Advice Bureau]&amp;[Aylesbury &amp; District (member)]&amp;[South East]" c="Aylesbury &amp; District Citizens Advice Bureau">
                <p n="[Local Organisation].[CAB].[Member].&amp;[Aylesbury &amp; District (member)]&amp;[South East]"/>
                <p n="[Local Organisation].[CAB].[Government Region].&amp;[South East]"/>
              </i>
              <i n="[Local Organisation].[CAB].[Bureau].&amp;[Basingstoke Citizens Advice Bureau]&amp;[Basingstoke (member)]&amp;[South East]" c="Basingstoke Citizens Advice Bureau">
                <p n="[Local Organisation].[CAB].[Member].&amp;[Basingstoke (member)]&amp;[South East]"/>
                <p n="[Local Organisation].[CAB].[Government Region].&amp;[South East]"/>
              </i>
              <i n="[Local Organisation].[CAB].[Bureau].&amp;[Bracknell &amp; District Citizens Advice Bureau]&amp;[Bracknell &amp; District (member)]&amp;[South East]" c="Bracknell &amp; District Citizens Advice Bureau">
                <p n="[Local Organisation].[CAB].[Member].&amp;[Bracknell &amp; District (member)]&amp;[South East]"/>
                <p n="[Local Organisation].[CAB].[Government Region].&amp;[South East]"/>
              </i>
              <i n="[Local Organisation].[CAB].[Bureau].&amp;[Brighton and Hove CAB]&amp;[Brighton and Hove (member)]&amp;[South East]" c="Brighton and Hove CAB">
                <p n="[Local Organisation].[CAB].[Member].&amp;[Brighton and Hove (member)]&amp;[South East]"/>
                <p n="[Local Organisation].[CAB].[Government Region].&amp;[South East]"/>
              </i>
              <i n="[Local Organisation].[CAB].[Bureau].&amp;[Buckingham Winslow &amp; District CAB]&amp;[Buckingham Winslow &amp; District (member)]&amp;[South East]" c="Buckingham Winslow &amp; District CAB">
                <p n="[Local Organisation].[CAB].[Member].&amp;[Buckingham Winslow &amp; District (member)]&amp;[South East]"/>
                <p n="[Local Organisation].[CAB].[Government Region].&amp;[South East]"/>
              </i>
              <i n="[Local Organisation].[CAB].[Bureau].&amp;[CAB in Swale-Faversham]&amp;[CAB in Swale (member)]&amp;[South East]" c="CAB in Swale-Faversham">
                <p n="[Local Organisation].[CAB].[Member].&amp;[CAB in Swale (member)]&amp;[South East]"/>
                <p n="[Local Organisation].[CAB].[Government Region].&amp;[South East]"/>
              </i>
              <i n="[Local Organisation].[CAB].[Bureau].&amp;[CAB in Swale-Sheppey]&amp;[CAB in Swale (member)]&amp;[South East]" c="CAB in Swale-Sheppey">
                <p n="[Local Organisation].[CAB].[Member].&amp;[CAB in Swale (member)]&amp;[South East]"/>
                <p n="[Local Organisation].[CAB].[Government Region].&amp;[South East]"/>
              </i>
              <i n="[Local Organisation].[CAB].[Bureau].&amp;[CAB in Swale-Sittingbourne]&amp;[CAB in Swale (member)]&amp;[South East]" c="CAB in Swale-Sittingbourne">
                <p n="[Local Organisation].[CAB].[Member].&amp;[CAB in Swale (member)]&amp;[South East]"/>
                <p n="[Local Organisation].[CAB].[Government Region].&amp;[South East]"/>
              </i>
              <i n="[Local Organisation].[CAB].[Bureau].&amp;[Camberley Citizens Advice Bureau]&amp;[Camberley (member)]&amp;[South East]" c="Camberley Citizens Advice Bureau">
                <p n="[Local Organisation].[CAB].[Member].&amp;[Camberley (member)]&amp;[South East]"/>
                <p n="[Local Organisation].[CAB].[Government Region].&amp;[South East]"/>
              </i>
              <i n="[Local Organisation].[CAB].[Bureau].&amp;[Canterbury Citizens Advice Bureau]&amp;[Canterbury District (member)]&amp;[South East]" c="Canterbury Citizens Advice Bureau">
                <p n="[Local Organisation].[CAB].[Member].&amp;[Canterbury District (member)]&amp;[South East]"/>
                <p n="[Local Organisation].[CAB].[Government Region].&amp;[South East]"/>
              </i>
              <i n="[Local Organisation].[CAB].[Bureau].&amp;[Herne Bay Citizens Advice Bureau]&amp;[Canterbury District (member)]&amp;[South East]" c="Herne Bay Citizens Advice Bureau">
                <p n="[Local Organisation].[CAB].[Member].&amp;[Canterbury District (member)]&amp;[South East]"/>
                <p n="[Local Organisation].[CAB].[Government Region].&amp;[South East]"/>
              </i>
              <i n="[Local Organisation].[CAB].[Bureau].&amp;[Caterham &amp; Warlingham CAB]&amp;[Caterham &amp; Warlingham (member)]&amp;[South East]" c="Caterham &amp; Warlingham CAB">
                <p n="[Local Organisation].[CAB].[Member].&amp;[Caterham &amp; Warlingham (member)]&amp;[South East]"/>
                <p n="[Local Organisation].[CAB].[Government Region].&amp;[South East]"/>
              </i>
              <i n="[Local Organisation].[CAB].[Bureau].&amp;[Burgess Hill Citizens Advice Bureau]&amp;[Central and South Sussex CAB (member)]&amp;[South East]" c="Burgess Hill Citizens Advice Bureau">
                <p n="[Local Organisation].[CAB].[Member].&amp;[Central and South Sussex CAB (member)]&amp;[South East]"/>
                <p n="[Local Organisation].[CAB].[Government Region].&amp;[South East]"/>
              </i>
              <i n="[Local Organisation].[CAB].[Bureau].&amp;[Crawley Citizens Advice Bureau]&amp;[Central and South Sussex CAB (member)]&amp;[South East]" c="Crawley Citizens Advice Bureau">
                <p n="[Local Organisation].[CAB].[Member].&amp;[Central and South Sussex CAB (member)]&amp;[South East]"/>
                <p n="[Local Organisation].[CAB].[Government Region].&amp;[South East]"/>
              </i>
              <i n="[Local Organisation].[CAB].[Bureau].&amp;[East Grinstead Citizens Advice Bureau]&amp;[Central and South Sussex CAB (member)]&amp;[South East]" c="East Grinstead Citizens Advice Bureau">
                <p n="[Local Organisation].[CAB].[Member].&amp;[Central and South Sussex CAB (member)]&amp;[South East]"/>
                <p n="[Local Organisation].[CAB].[Government Region].&amp;[South East]"/>
              </i>
              <i n="[Local Organisation].[CAB].[Bureau].&amp;[Haywards Heath Citizens Advice Bureau]&amp;[Central and South Sussex CAB (member)]&amp;[South East]" c="Haywards Heath Citizens Advice Bureau">
                <p n="[Local Organisation].[CAB].[Member].&amp;[Central and South Sussex CAB (member)]&amp;[South East]"/>
                <p n="[Local Organisation].[CAB].[Government Region].&amp;[South East]"/>
              </i>
              <i n="[Local Organisation].[CAB].[Bureau].&amp;[Horsham Citizens Advice Bureau]&amp;[Central and South Sussex CAB (member)]&amp;[South East]" c="Horsham Citizens Advice Bureau">
                <p n="[Local Organisation].[CAB].[Member].&amp;[Central and South Sussex CAB (member)]&amp;[South East]"/>
                <p n="[Local Organisation].[CAB].[Government Region].&amp;[South East]"/>
              </i>
              <i n="[Local Organisation].[CAB].[Bureau].&amp;[Lancing Citizens Advice Bureau]&amp;[Central and South Sussex CAB (member)]&amp;[South East]" c="Lancing Citizens Advice Bureau">
                <p n="[Local Organisation].[CAB].[Member].&amp;[Central and South Sussex CAB (member)]&amp;[South East]"/>
                <p n="[Local Organisation].[CAB].[Government Region].&amp;[South East]"/>
              </i>
              <i n="[Local Organisation].[CAB].[Bureau].&amp;[Shoreham Citizens Advice Bureau]&amp;[Central and South Sussex CAB (member)]&amp;[South East]" c="Shoreham Citizens Advice Bureau">
                <p n="[Local Organisation].[CAB].[Member].&amp;[Central and South Sussex CAB (member)]&amp;[South East]"/>
                <p n="[Local Organisation].[CAB].[Government Region].&amp;[South East]"/>
              </i>
              <i n="[Local Organisation].[CAB].[Bureau].&amp;[Worthing Citizens Advice Bureau]&amp;[Central and South Sussex CAB (member)]&amp;[South East]" c="Worthing Citizens Advice Bureau">
                <p n="[Local Organisation].[CAB].[Member].&amp;[Central and South Sussex CAB (member)]&amp;[South East]"/>
                <p n="[Local Organisation].[CAB].[Government Region].&amp;[South East]"/>
              </i>
              <i n="[Local Organisation].[CAB].[Bureau].&amp;[Chiltern CAB (Amersham)]&amp;[Chiltern (member)]&amp;[South East]" c="Chiltern CAB (Amersham)">
                <p n="[Local Organisation].[CAB].[Member].&amp;[Chiltern (member)]&amp;[South East]"/>
                <p n="[Local Organisation].[CAB].[Government Region].&amp;[South East]"/>
              </i>
              <i n="[Local Organisation].[CAB].[Bureau].&amp;[Chiltern CAB (Chesham)]&amp;[Chiltern (member)]&amp;[South East]" c="Chiltern CAB (Chesham)">
                <p n="[Local Organisation].[CAB].[Member].&amp;[Chiltern (member)]&amp;[South East]"/>
                <p n="[Local Organisation].[CAB].[Government Region].&amp;[South East]"/>
              </i>
              <i n="[Local Organisation].[CAB].[Bureau].&amp;[Chiltern CAB (Iver)]&amp;[Chiltern (member)]&amp;[South East]" c="Chiltern CAB (Iver)">
                <p n="[Local Organisation].[CAB].[Member].&amp;[Chiltern (member)]&amp;[South East]"/>
                <p n="[Local Organisation].[CAB].[Government Region].&amp;[South East]"/>
              </i>
              <i n="[Local Organisation].[CAB].[Bureau].&amp;[Citizens Advice Slough]&amp;[Citizens Advice Slough (member)]&amp;[South East]" c="Citizens Advice Slough">
                <p n="[Local Organisation].[CAB].[Member].&amp;[Citizens Advice Slough (member)]&amp;[South East]"/>
                <p n="[Local Organisation].[CAB].[Government Region].&amp;[South East]"/>
              </i>
              <i n="[Local Organisation].[CAB].[Bureau].&amp;[Cranleigh CAB]&amp;[Citizens Advice Waverley (member)]&amp;[South East]" c="Cranleigh CAB">
                <p n="[Local Organisation].[CAB].[Member].&amp;[Citizens Advice Waverley (member)]&amp;[South East]"/>
                <p n="[Local Organisation].[CAB].[Government Region].&amp;[South East]"/>
              </i>
              <i n="[Local Organisation].[CAB].[Bureau].&amp;[Farnham CAB]&amp;[Citizens Advice Waverley (member)]&amp;[South East]" c="Farnham CAB">
                <p n="[Local Organisation].[CAB].[Member].&amp;[Citizens Advice Waverley (member)]&amp;[South East]"/>
                <p n="[Local Organisation].[CAB].[Government Region].&amp;[South East]"/>
              </i>
              <i n="[Local Organisation].[CAB].[Bureau].&amp;[Godalming CAB]&amp;[Citizens Advice Waverley (member)]&amp;[South East]" c="Godalming CAB">
                <p n="[Local Organisation].[CAB].[Member].&amp;[Citizens Advice Waverley (member)]&amp;[South East]"/>
                <p n="[Local Organisation].[CAB].[Government Region].&amp;[South East]"/>
              </i>
              <i n="[Local Organisation].[CAB].[Bureau].&amp;[Haslemere CAB]&amp;[Citizens Advice Waverley (member)]&amp;[South East]" c="Haslemere CAB">
                <p n="[Local Organisation].[CAB].[Member].&amp;[Citizens Advice Waverley (member)]&amp;[South East]"/>
                <p n="[Local Organisation].[CAB].[Government Region].&amp;[South East]"/>
              </i>
              <i n="[Local Organisation].[CAB].[Bureau].&amp;[Dartford Citizens Advice Bureau]&amp;[Dartford (member)]&amp;[South East]" c="Dartford Citizens Advice Bureau">
                <p n="[Local Organisation].[CAB].[Member].&amp;[Dartford (member)]&amp;[South East]"/>
                <p n="[Local Organisation].[CAB].[Government Region].&amp;[South East]"/>
              </i>
              <i n="[Local Organisation].[CAB].[Bureau].&amp;[Dover, Deal and District ( Sandwich) CAB]&amp;[Dover, Deal &amp; District CAB (member)]&amp;[South East]" c="Dover, Deal and District ( Sandwich) CAB">
                <p n="[Local Organisation].[CAB].[Member].&amp;[Dover, Deal &amp; District CAB (member)]&amp;[South East]"/>
                <p n="[Local Organisation].[CAB].[Government Region].&amp;[South East]"/>
              </i>
              <i n="[Local Organisation].[CAB].[Bureau].&amp;[Dover, Deal and District (Deal) CAB]&amp;[Dover, Deal &amp; District CAB (member)]&amp;[South East]" c="Dover, Deal and District (Deal) CAB">
                <p n="[Local Organisation].[CAB].[Member].&amp;[Dover, Deal &amp; District CAB (member)]&amp;[South East]"/>
                <p n="[Local Organisation].[CAB].[Government Region].&amp;[South East]"/>
              </i>
              <i n="[Local Organisation].[CAB].[Bureau].&amp;[Dover, Deal and District (Dover) CAB]&amp;[Dover, Deal &amp; District CAB (member)]&amp;[South East]" c="Dover, Deal and District (Dover) CAB">
                <p n="[Local Organisation].[CAB].[Member].&amp;[Dover, Deal &amp; District CAB (member)]&amp;[South East]"/>
                <p n="[Local Organisation].[CAB].[Government Region].&amp;[South East]"/>
              </i>
              <i n="[Local Organisation].[CAB].[Bureau].&amp;[East Hampshire Alton]&amp;[East Hampshire (member)]&amp;[South East]" c="East Hampshire Alton">
                <p n="[Local Organisation].[CAB].[Member].&amp;[East Hampshire (member)]&amp;[South East]"/>
                <p n="[Local Organisation].[CAB].[Government Region].&amp;[South East]"/>
              </i>
              <i n="[Local Organisation].[CAB].[Bureau].&amp;[East Hampshire Petersfield]&amp;[East Hampshire (member)]&amp;[South East]" c="East Hampshire Petersfield">
                <p n="[Local Organisation].[CAB].[Member].&amp;[East Hampshire (member)]&amp;[South East]"/>
                <p n="[Local Organisation].[CAB].[Government Region].&amp;[South East]"/>
              </i>
              <i n="[Local Organisation].[CAB].[Bureau].&amp;[East Hampshire Whitehill &amp; Bordon]&amp;[East Hampshire (member)]&amp;[South East]" c="East Hampshire Whitehill &amp; Bordon">
                <p n="[Local Organisation].[CAB].[Member].&amp;[East Hampshire (member)]&amp;[South East]"/>
                <p n="[Local Organisation].[CAB].[Government Region].&amp;[South East]"/>
              </i>
              <i n="[Local Organisation].[CAB].[Bureau].&amp;[Eastbourne Citizens Advice Bureau]&amp;[Eastbourne (member)]&amp;[South East]" c="Eastbourne Citizens Advice Bureau">
                <p n="[Local Organisation].[CAB].[Member].&amp;[Eastbourne (member)]&amp;[South East]"/>
                <p n="[Local Organisation].[CAB].[Government Region].&amp;[South East]"/>
              </i>
              <i n="[Local Organisation].[CAB].[Bureau].&amp;[Eastleigh Leigh Road CAB]&amp;[Eastleigh (member)]&amp;[South East]" c="Eastleigh Leigh Road CAB">
                <p n="[Local Organisation].[CAB].[Member].&amp;[Eastleigh (member)]&amp;[South East]"/>
                <p n="[Local Organisation].[CAB].[Government Region].&amp;[South East]"/>
              </i>
              <i n="[Local Organisation].[CAB].[Bureau].&amp;[Edenbridge &amp; Westerham CAB]&amp;[Edenbridge &amp; Westerham (member)]&amp;[South East]" c="Edenbridge &amp; Westerham CAB">
                <p n="[Local Organisation].[CAB].[Member].&amp;[Edenbridge &amp; Westerham (member)]&amp;[South East]"/>
                <p n="[Local Organisation].[CAB].[Government Region].&amp;[South East]"/>
              </i>
              <i n="[Local Organisation].[CAB].[Bureau].&amp;[Epsom &amp; Ewell Citizens Advice Bureau]&amp;[Epsom &amp; Ewell (member)]&amp;[South East]" c="Epsom &amp; Ewell Citizens Advice Bureau">
                <p n="[Local Organisation].[CAB].[Member].&amp;[Epsom &amp; Ewell (member)]&amp;[South East]"/>
                <p n="[Local Organisation].[CAB].[Government Region].&amp;[South East]"/>
              </i>
              <i n="[Local Organisation].[CAB].[Bureau].&amp;[Esher &amp; District Citizens Advice Bureau]&amp;[Esher &amp; District (member)]&amp;[South East]" c="Esher &amp; District Citizens Advice Bureau">
                <p n="[Local Organisation].[CAB].[Member].&amp;[Esher &amp; District (member)]&amp;[South East]"/>
                <p n="[Local Organisation].[CAB].[Government Region].&amp;[South East]"/>
              </i>
              <i n="[Local Organisation].[CAB].[Bureau].&amp;[Fareham Citizens Advice Bureau]&amp;[Fareham (member)]&amp;[South East]" c="Fareham Citizens Advice Bureau">
                <p n="[Local Organisation].[CAB].[Member].&amp;[Fareham (member)]&amp;[South East]"/>
                <p n="[Local Organisation].[CAB].[Government Region].&amp;[South East]"/>
              </i>
              <i n="[Local Organisation].[CAB].[Bureau].&amp;[Folkestone (Shepway) Citizens Advice Bureau]&amp;[Folkestone (Shepway) (member)]&amp;[South East]" c="Folkestone (Shepway) Citizens Advice Bureau">
                <p n="[Local Organisation].[CAB].[Member].&amp;[Folkestone (Shepway) (member)]&amp;[South East]"/>
                <p n="[Local Organisation].[CAB].[Government Region].&amp;[South East]"/>
              </i>
              <i n="[Local Organisation].[CAB].[Bureau].&amp;[Folkestone Europa House]&amp;[Folkestone (Shepway) (member)]&amp;[South East]" c="Folkestone Europa House">
                <p n="[Local Organisation].[CAB].[Member].&amp;[Folkestone (Shepway) (member)]&amp;[South East]"/>
                <p n="[Local Organisation].[CAB].[Government Region].&amp;[South East]"/>
              </i>
              <i n="[Local Organisation].[CAB].[Bureau].&amp;[Gosport Citizens Advice Bureau]&amp;[Gosport (member)]&amp;[South East]" c="Gosport Citizens Advice Bureau">
                <p n="[Local Organisation].[CAB].[Member].&amp;[Gosport (member)]&amp;[South East]"/>
                <p n="[Local Organisation].[CAB].[Government Region].&amp;[South East]"/>
              </i>
              <i n="[Local Organisation].[CAB].[Bureau].&amp;[Guildford Citizens Advice Bureau]&amp;[Guildford Citizens Advice Bureau (member)]&amp;[South East]" c="Guildford Citizens Advice Bureau">
                <p n="[Local Organisation].[CAB].[Member].&amp;[Guildford Citizens Advice Bureau (member)]&amp;[South East]"/>
                <p n="[Local Organisation].[CAB].[Government Region].&amp;[South East]"/>
              </i>
              <i n="[Local Organisation].[CAB].[Bureau].&amp;[Hants Macmillan (Gosport)]&amp;[Hampshire Macmillan (member)]&amp;[South East]" c="Hants Macmillan (Gosport)">
                <p n="[Local Organisation].[CAB].[Member].&amp;[Hampshire Macmillan (member)]&amp;[South East]"/>
                <p n="[Local Organisation].[CAB].[Government Region].&amp;[South East]"/>
              </i>
              <i n="[Local Organisation].[CAB].[Bureau].&amp;[Hants Macmillan (Leigh Park)]&amp;[Hampshire Macmillan (member)]&amp;[South East]" c="Hants Macmillan (Leigh Park)">
                <p n="[Local Organisation].[CAB].[Member].&amp;[Hampshire Macmillan (member)]&amp;[South East]"/>
                <p n="[Local Organisation].[CAB].[Government Region].&amp;[South East]"/>
              </i>
              <i n="[Local Organisation].[CAB].[Bureau].&amp;[Hants Macmillan (New Forest)]&amp;[Hampshire Macmillan (member)]&amp;[South East]" c="Hants Macmillan (New Forest)">
                <p n="[Local Organisation].[CAB].[Member].&amp;[Hampshire Macmillan (member)]&amp;[South East]"/>
                <p n="[Local Organisation].[CAB].[Government Region].&amp;[South East]"/>
              </i>
              <i n="[Local Organisation].[CAB].[Bureau].&amp;[Hants Macmillan (Newport, IOW)]&amp;[Hampshire Macmillan (member)]&amp;[South East]" c="Hants Macmillan (Newport, IOW)">
                <p n="[Local Organisation].[CAB].[Member].&amp;[Hampshire Macmillan (member)]&amp;[South East]"/>
                <p n="[Local Organisation].[CAB].[Government Region].&amp;[South East]"/>
              </i>
              <i n="[Local Organisation].[CAB].[Bureau].&amp;[Hants Macmillan (Portsmouth)]&amp;[Hampshire Macmillan (member)]&amp;[South East]" c="Hants Macmillan (Portsmouth)">
                <p n="[Local Organisation].[CAB].[Member].&amp;[Hampshire Macmillan (member)]&amp;[South East]"/>
                <p n="[Local Organisation].[CAB].[Government Region].&amp;[South East]"/>
              </i>
              <i n="[Local Organisation].[CAB].[Bureau].&amp;[Hants Macmillan (Southampton)]&amp;[Hampshire Macmillan (member)]&amp;[South East]" c="Hants Macmillan (Southampton)">
                <p n="[Local Organisation].[CAB].[Member].&amp;[Hampshire Macmillan (member)]&amp;[South East]"/>
                <p n="[Local Organisation].[CAB].[Government Region].&amp;[South East]"/>
              </i>
              <i n="[Local Organisation].[CAB].[Bureau].&amp;[Hants Macmillan (Tadley)]&amp;[Hampshire Macmillan (member)]&amp;[South East]" c="Hants Macmillan (Tadley)">
                <p n="[Local Organisation].[CAB].[Member].&amp;[Hampshire Macmillan (member)]&amp;[South East]"/>
                <p n="[Local Organisation].[CAB].[Government Region].&amp;[South East]"/>
              </i>
              <i n="[Local Organisation].[CAB].[Bureau].&amp;[Hants Macmillan (Winchester District)]&amp;[Hampshire Macmillan (member)]&amp;[South East]" c="Hants Macmillan (Winchester District)">
                <p n="[Local Organisation].[CAB].[Member].&amp;[Hampshire Macmillan (member)]&amp;[South East]"/>
                <p n="[Local Organisation].[CAB].[Government Region].&amp;[South East]"/>
              </i>
              <i n="[Local Organisation].[CAB].[Bureau].&amp;[Hants Macmillan (Yateley)]&amp;[Hampshire Macmillan (member)]&amp;[South East]" c="Hants Macmillan (Yateley)">
                <p n="[Local Organisation].[CAB].[Member].&amp;[Hampshire Macmillan (member)]&amp;[South East]"/>
                <p n="[Local Organisation].[CAB].[Government Region].&amp;[South East]"/>
              </i>
              <i n="[Local Organisation].[CAB].[Bureau].&amp;[Hart District (Fleet) CAB]&amp;[Hart District (member)]&amp;[South East]" c="Hart District (Fleet) CAB">
                <p n="[Local Organisation].[CAB].[Member].&amp;[Hart District (member)]&amp;[South East]"/>
                <p n="[Local Organisation].[CAB].[Government Region].&amp;[South East]"/>
              </i>
              <i n="[Local Organisation].[CAB].[Bureau].&amp;[Hart District (Yateley) CAB]&amp;[Hart District (member)]&amp;[South East]" c="Hart District (Yateley) CAB">
                <p n="[Local Organisation].[CAB].[Member].&amp;[Hart District (member)]&amp;[South East]"/>
                <p n="[Local Organisation].[CAB].[Government Region].&amp;[South East]"/>
              </i>
              <i n="[Local Organisation].[CAB].[Bureau].&amp;[Hastings &amp; Rother (1066) CAB]&amp;[Hastings &amp; Rother (1066) (member)]&amp;[South East]" c="Hastings &amp; Rother (1066) CAB">
                <p n="[Local Organisation].[CAB].[Member].&amp;[Hastings &amp; Rother (1066) (member)]&amp;[South East]"/>
                <p n="[Local Organisation].[CAB].[Government Region].&amp;[South East]"/>
              </i>
              <i n="[Local Organisation].[CAB].[Bureau].&amp;[Havant CAB]&amp;[Havant &amp; District (member)]&amp;[South East]" c="Havant CAB">
                <p n="[Local Organisation].[CAB].[Member].&amp;[Havant &amp; District (member)]&amp;[South East]"/>
                <p n="[Local Organisation].[CAB].[Government Region].&amp;[South East]"/>
              </i>
              <i n="[Local Organisation].[CAB].[Bureau].&amp;[Leigh Park CAB]&amp;[Havant &amp; District (member)]&amp;[South East]" c="Leigh Park CAB">
                <p n="[Local Organisation].[CAB].[Member].&amp;[Havant &amp; District (member)]&amp;[South East]"/>
                <p n="[Local Organisation].[CAB].[Government Region].&amp;[South East]"/>
              </i>
              <i n="[Local Organisation].[CAB].[Bureau].&amp;[Waterlooville CAB]&amp;[Havant &amp; District (member)]&amp;[South East]" c="Waterlooville CAB">
                <p n="[Local Organisation].[CAB].[Member].&amp;[Havant &amp; District (member)]&amp;[South East]"/>
                <p n="[Local Organisation].[CAB].[Government Region].&amp;[South East]"/>
              </i>
              <i n="[Local Organisation].[CAB].[Bureau].&amp;[High Wycombe &amp; District CAB]&amp;[High Wycombe &amp; District (member)]&amp;[South East]" c="High Wycombe &amp; District CAB">
                <p n="[Local Organisation].[CAB].[Member].&amp;[High Wycombe &amp; District (member)]&amp;[South East]"/>
                <p n="[Local Organisation].[CAB].[Government Region].&amp;[South East]"/>
              </i>
              <i n="[Local Organisation].[CAB].[Bureau].&amp;[Isle of Wight Citizens Advice Bureau]&amp;[Isle of Wight CAB (member)]&amp;[South East]" c="Isle of Wight Citizens Advice Bureau">
                <p n="[Local Organisation].[CAB].[Member].&amp;[Isle of Wight CAB (member)]&amp;[South East]"/>
                <p n="[Local Organisation].[CAB].[Government Region].&amp;[South East]"/>
              </i>
              <i n="[Local Organisation].[CAB].[Bureau].&amp;[Dorking Citizens Advice Bureau]&amp;[Leatherhead and Dorking (member)]&amp;[South East]" c="Dorking Citizens Advice Bureau">
                <p n="[Local Organisation].[CAB].[Member].&amp;[Leatherhead and Dorking (member)]&amp;[South East]"/>
                <p n="[Local Organisation].[CAB].[Government Region].&amp;[South East]"/>
              </i>
              <i n="[Local Organisation].[CAB].[Bureau].&amp;[Leatherhead Citizens Advice Bureau]&amp;[Leatherhead and Dorking (member)]&amp;[South East]" c="Leatherhead Citizens Advice Bureau">
                <p n="[Local Organisation].[CAB].[Member].&amp;[Leatherhead and Dorking (member)]&amp;[South East]"/>
                <p n="[Local Organisation].[CAB].[Government Region].&amp;[South East]"/>
              </i>
              <i n="[Local Organisation].[CAB].[Bureau].&amp;[Lewes Citizens Advice Bureau]&amp;[Lewes District (member)]&amp;[South East]" c="Lewes Citizens Advice Bureau">
                <p n="[Local Organisation].[CAB].[Member].&amp;[Lewes District (member)]&amp;[South East]"/>
                <p n="[Local Organisation].[CAB].[Government Region].&amp;[South East]"/>
              </i>
              <i n="[Local Organisation].[CAB].[Bureau].&amp;[Seaford Citizens Advice Bureau]&amp;[Lewes District (member)]&amp;[South East]" c="Seaford Citizens Advice Bureau">
                <p n="[Local Organisation].[CAB].[Member].&amp;[Lewes District (member)]&amp;[South East]"/>
                <p n="[Local Organisation].[CAB].[Government Region].&amp;[South East]"/>
              </i>
              <i n="[Local Organisation].[CAB].[Bureau].&amp;[Maidenhead Citizens Advice Bureau]&amp;[Maidenhead (member)]&amp;[South East]" c="Maidenhead Citizens Advice Bureau">
                <p n="[Local Organisation].[CAB].[Member].&amp;[Maidenhead (member)]&amp;[South East]"/>
                <p n="[Local Organisation].[CAB].[Government Region].&amp;[South East]"/>
              </i>
              <i n="[Local Organisation].[CAB].[Bureau].&amp;[Maidstone Citizens Advice Bureau]&amp;[Maidstone (member)]&amp;[South East]" c="Maidstone Citizens Advice Bureau">
                <p n="[Local Organisation].[CAB].[Member].&amp;[Maidstone (member)]&amp;[South East]"/>
                <p n="[Local Organisation].[CAB].[Government Region].&amp;[South East]"/>
              </i>
              <i n="[Local Organisation].[CAB].[Bureau].&amp;[Medway Citizens Advice Bureau]&amp;[Medway (member)]&amp;[South East]" c="Medway Citizens Advice Bureau">
                <p n="[Local Organisation].[CAB].[Member].&amp;[Medway (member)]&amp;[South East]"/>
                <p n="[Local Organisation].[CAB].[Government Region].&amp;[South East]"/>
              </i>
              <i n="[Local Organisation].[CAB].[Bureau].&amp;[Milton Keynes Citizens Advice Bureau]&amp;[Milton Keynes (member)]&amp;[South East]" c="Milton Keynes Citizens Advice Bureau">
                <p n="[Local Organisation].[CAB].[Member].&amp;[Milton Keynes (member)]&amp;[South East]"/>
                <p n="[Local Organisation].[CAB].[Government Region].&amp;[South East]"/>
              </i>
              <i n="[Local Organisation].[CAB].[Bureau].&amp;[New Forest CAB (Fordingbridge)]&amp;[New Forest (member)]&amp;[South East]" c="New Forest CAB (Fordingbridge)">
                <p n="[Local Organisation].[CAB].[Member].&amp;[New Forest (member)]&amp;[South East]"/>
                <p n="[Local Organisation].[CAB].[Government Region].&amp;[South East]"/>
              </i>
              <i n="[Local Organisation].[CAB].[Bureau].&amp;[New Forest CAB (Hythe)]&amp;[New Forest (member)]&amp;[South East]" c="New Forest CAB (Hythe)">
                <p n="[Local Organisation].[CAB].[Member].&amp;[New Forest (member)]&amp;[South East]"/>
                <p n="[Local Organisation].[CAB].[Government Region].&amp;[South East]"/>
              </i>
              <i n="[Local Organisation].[CAB].[Bureau].&amp;[New Forest CAB (Lymington)]&amp;[New Forest (member)]&amp;[South East]" c="New Forest CAB (Lymington)">
                <p n="[Local Organisation].[CAB].[Member].&amp;[New Forest (member)]&amp;[South East]"/>
                <p n="[Local Organisation].[CAB].[Government Region].&amp;[South East]"/>
              </i>
              <i n="[Local Organisation].[CAB].[Bureau].&amp;[New Forest CAB (New Milton)]&amp;[New Forest (member)]&amp;[South East]" c="New Forest CAB (New Milton)">
                <p n="[Local Organisation].[CAB].[Member].&amp;[New Forest (member)]&amp;[South East]"/>
                <p n="[Local Organisation].[CAB].[Government Region].&amp;[South East]"/>
              </i>
              <i n="[Local Organisation].[CAB].[Bureau].&amp;[New Forest CAB (Ringwood)]&amp;[New Forest (member)]&amp;[South East]" c="New Forest CAB (Ringwood)">
                <p n="[Local Organisation].[CAB].[Member].&amp;[New Forest (member)]&amp;[South East]"/>
                <p n="[Local Organisation].[CAB].[Government Region].&amp;[South East]"/>
              </i>
              <i n="[Local Organisation].[CAB].[Bureau].&amp;[New Forest CAB (Totton)]&amp;[New Forest (member)]&amp;[South East]" c="New Forest CAB (Totton)">
                <p n="[Local Organisation].[CAB].[Member].&amp;[New Forest (member)]&amp;[South East]"/>
                <p n="[Local Organisation].[CAB].[Government Region].&amp;[South East]"/>
              </i>
              <i n="[Local Organisation].[CAB].[Bureau].&amp;[Gravesham Citizens Advice Bureau]&amp;[North &amp; West Kent (member)]&amp;[South East]" c="Gravesham Citizens Advice Bureau">
                <p n="[Local Organisation].[CAB].[Member].&amp;[North &amp; West Kent (member)]&amp;[South East]"/>
                <p n="[Local Organisation].[CAB].[Government Region].&amp;[South East]"/>
              </i>
              <i n="[Local Organisation].[CAB].[Bureau].&amp;[Sevenoaks Citizens Advice Bureau]&amp;[North &amp; West Kent (member)]&amp;[South East]" c="Sevenoaks Citizens Advice Bureau">
                <p n="[Local Organisation].[CAB].[Member].&amp;[North &amp; West Kent (member)]&amp;[South East]"/>
                <p n="[Local Organisation].[CAB].[Government Region].&amp;[South East]"/>
              </i>
              <i n="[Local Organisation].[CAB].[Bureau].&amp;[Swanley Advice Centre]&amp;[North &amp; West Kent (member)]&amp;[South East]" c="Swanley Advice Centre">
                <p n="[Local Organisation].[CAB].[Member].&amp;[North &amp; West Kent (member)]&amp;[South East]"/>
                <p n="[Local Organisation].[CAB].[Government Region].&amp;[South East]"/>
              </i>
              <i n="[Local Organisation].[CAB].[Bureau].&amp;[Tonbridge and Malling CAB]&amp;[North &amp; West Kent (member)]&amp;[South East]" c="Tonbridge and Malling CAB">
                <p n="[Local Organisation].[CAB].[Member].&amp;[North &amp; West Kent (member)]&amp;[South East]"/>
                <p n="[Local Organisation].[CAB].[Government Region].&amp;[South East]"/>
              </i>
              <i n="[Local Organisation].[CAB].[Bureau].&amp;[Banbury Citizens Advice Bureau]&amp;[North Oxon &amp; South Northants (member)]&amp;[South East]" c="Banbury Citizens Advice Bureau">
                <p n="[Local Organisation].[CAB].[Member].&amp;[North Oxon &amp; South Northants (member)]&amp;[South East]"/>
                <p n="[Local Organisation].[CAB].[Government Region].&amp;[South East]"/>
              </i>
              <i n="[Local Organisation].[CAB].[Bureau].&amp;[Citizens Advice Bicester]&amp;[North Oxon &amp; South Northants (member)]&amp;[South East]" c="Citizens Advice Bicester">
                <p n="[Local Organisation].[CAB].[Member].&amp;[North Oxon &amp; South Northants (member)]&amp;[South East]"/>
                <p n="[Local Organisation].[CAB].[Government Region].&amp;[South East]"/>
              </i>
              <i n="[Local Organisation].[CAB].[Bureau].&amp;[Oxford Citizens Advice Bureau]&amp;[Oxford (member)]&amp;[South East]" c="Oxford Citizens Advice Bureau">
                <p n="[Local Organisation].[CAB].[Member].&amp;[Oxford (member)]&amp;[South East]"/>
                <p n="[Local Organisation].[CAB].[Government Region].&amp;[South East]"/>
              </i>
              <i n="[Local Organisation].[CAB].[Bureau].&amp;[Abingdon Citizens Advice Bureau]&amp;[Oxfordshire South &amp; Vale (member)]&amp;[South East]" c="Abingdon Citizens Advice Bureau">
                <p n="[Local Organisation].[CAB].[Member].&amp;[Oxfordshire South &amp; Vale (member)]&amp;[South East]"/>
                <p n="[Local Organisation].[CAB].[Government Region].&amp;[South East]"/>
              </i>
              <i n="[Local Organisation].[CAB].[Bureau].&amp;[Didcot Citizens Advice Bureau]&amp;[Oxfordshire South &amp; Vale (member)]&amp;[South East]" c="Didcot Citizens Advice Bureau">
                <p n="[Local Organisation].[CAB].[Member].&amp;[Oxfordshire South &amp; Vale (member)]&amp;[South East]"/>
                <p n="[Local Organisation].[CAB].[Government Region].&amp;[South East]"/>
              </i>
              <i n="[Local Organisation].[CAB].[Bureau].&amp;[Henley Citizens Advice Bureau]&amp;[Oxfordshire South &amp; Vale (member)]&amp;[South East]" c="Henley Citizens Advice Bureau">
                <p n="[Local Organisation].[CAB].[Member].&amp;[Oxfordshire South &amp; Vale (member)]&amp;[South East]"/>
                <p n="[Local Organisation].[CAB].[Government Region].&amp;[South East]"/>
              </i>
              <i n="[Local Organisation].[CAB].[Bureau].&amp;[Thame Citizens Advice Bureau]&amp;[Oxfordshire South &amp; Vale (member)]&amp;[South East]" c="Thame Citizens Advice Bureau">
                <p n="[Local Organisation].[CAB].[Member].&amp;[Oxfordshire South &amp; Vale (member)]&amp;[South East]"/>
                <p n="[Local Organisation].[CAB].[Government Region].&amp;[South East]"/>
              </i>
              <i n="[Local Organisation].[CAB].[Bureau].&amp;[Oxted Citizens Advice Bureau]&amp;[Oxted Citizens Advice Bureau (member)]&amp;[South East]" c="Oxted Citizens Advice Bureau">
                <p n="[Local Organisation].[CAB].[Member].&amp;[Oxted Citizens Advice Bureau (member)]&amp;[South East]"/>
                <p n="[Local Organisation].[CAB].[Government Region].&amp;[South East]"/>
              </i>
              <i n="[Local Organisation].[CAB].[Bureau].&amp;[Portsmouth City Centre]&amp;[Portsmouth (member)]&amp;[South East]" c="Portsmouth City Centre">
                <p n="[Local Organisation].[CAB].[Member].&amp;[Portsmouth (member)]&amp;[South East]"/>
                <p n="[Local Organisation].[CAB].[Government Region].&amp;[South East]"/>
              </i>
              <i n="[Local Organisation].[CAB].[Bureau].&amp;[Portsmouth Cosham]&amp;[Portsmouth (member)]&amp;[South East]" c="Portsmouth Cosham">
                <p n="[Local Organisation].[CAB].[Member].&amp;[Portsmouth (member)]&amp;[South East]"/>
                <p n="[Local Organisation].[CAB].[Government Region].&amp;[South East]"/>
              </i>
              <i n="[Local Organisation].[CAB].[Bureau].&amp;[Reading Citizens Advice Bureau]&amp;[Reading Citizens Advice Bureau (member)]&amp;[South East]" c="Reading Citizens Advice Bureau">
                <p n="[Local Organisation].[CAB].[Member].&amp;[Reading Citizens Advice Bureau (member)]&amp;[South East]"/>
                <p n="[Local Organisation].[CAB].[Government Region].&amp;[South East]"/>
              </i>
              <i n="[Local Organisation].[CAB].[Bureau].&amp;[Banstead Citizens Advice Bureau]&amp;[Reigate &amp; Banstead District (member)]&amp;[South East]" c="Banstead Citizens Advice Bureau">
                <p n="[Local Organisation].[CAB].[Member].&amp;[Reigate &amp; Banstead District (member)]&amp;[South East]"/>
                <p n="[Local Organisation].[CAB].[Government Region].&amp;[South East]"/>
              </i>
              <i n="[Local Organisation].[CAB].[Bureau].&amp;[Redhill Citizens Advice Bureau]&amp;[Reigate &amp; Banstead District (member)]&amp;[South East]" c="Redhill Citizens Advice Bureau">
                <p n="[Local Organisation].[CAB].[Member].&amp;[Reigate &amp; Banstead District (member)]&amp;[South East]"/>
                <p n="[Local Organisation].[CAB].[Government Region].&amp;[South East]"/>
              </i>
              <i n="[Local Organisation].[CAB].[Bureau].&amp;[Rother District Citizens Advice Bureau]&amp;[Rother District (member)]&amp;[South East]" c="Rother District Citizens Advice Bureau">
                <p n="[Local Organisation].[CAB].[Member].&amp;[Rother District (member)]&amp;[South East]"/>
                <p n="[Local Organisation].[CAB].[Government Region].&amp;[South East]"/>
              </i>
              <i n="[Local Organisation].[CAB].[Bureau].&amp;[ACU]&amp;[Runnymede and Spelthorne (member)]&amp;[South East]" c="ACU">
                <p n="[Local Organisation].[CAB].[Member].&amp;[Runnymede and Spelthorne (member)]&amp;[South East]"/>
                <p n="[Local Organisation].[CAB].[Government Region].&amp;[South East]"/>
              </i>
              <i n="[Local Organisation].[CAB].[Bureau].&amp;[Addlestone CAB]&amp;[Runnymede and Spelthorne (member)]&amp;[South East]" c="Addlestone CAB">
                <p n="[Local Organisation].[CAB].[Member].&amp;[Runnymede and Spelthorne (member)]&amp;[South East]"/>
                <p n="[Local Organisation].[CAB].[Government Region].&amp;[South East]"/>
              </i>
              <i n="[Local Organisation].[CAB].[Bureau].&amp;[Sunbury CAB]&amp;[Runnymede and Spelthorne (member)]&amp;[South East]" c="Sunbury CAB">
                <p n="[Local Organisation].[CAB].[Member].&amp;[Runnymede and Spelthorne (member)]&amp;[South East]"/>
                <p n="[Local Organisation].[CAB].[Government Region].&amp;[South East]"/>
              </i>
              <i n="[Local Organisation].[CAB].[Bureau].&amp;[Aldershot Citizens Advice Bureau]&amp;[Rushmoor (member)]&amp;[South East]" c="Aldershot Citizens Advice Bureau">
                <p n="[Local Organisation].[CAB].[Member].&amp;[Rushmoor (member)]&amp;[South East]"/>
                <p n="[Local Organisation].[CAB].[Government Region].&amp;[South East]"/>
              </i>
              <i n="[Local Organisation].[CAB].[Bureau].&amp;[Farnborough Citizens Advice Bureau]&amp;[Rushmoor (member)]&amp;[South East]" c="Farnborough Citizens Advice Bureau">
                <p n="[Local Organisation].[CAB].[Member].&amp;[Rushmoor (member)]&amp;[South East]"/>
                <p n="[Local Organisation].[CAB].[Government Region].&amp;[South East]"/>
              </i>
              <i n="[Local Organisation].[CAB].[Bureau].&amp;[Heathlands Citizens Advice Bureau]&amp;[Rushmoor (member)]&amp;[South East]" c="Heathlands Citizens Advice Bureau">
                <p n="[Local Organisation].[CAB].[Member].&amp;[Rushmoor (member)]&amp;[South East]"/>
                <p n="[Local Organisation].[CAB].[Government Region].&amp;[South East]"/>
              </i>
              <i n="[Local Organisation].[CAB].[Bureau].&amp;[Southampton Citizens Advice Bureau]&amp;[Southampton (member)]&amp;[South East]" c="Southampton Citizens Advice Bureau">
                <p n="[Local Organisation].[CAB].[Member].&amp;[Southampton (member)]&amp;[South East]"/>
                <p n="[Local Organisation].[CAB].[Government Region].&amp;[South East]"/>
              </i>
              <i n="[Local Organisation].[CAB].[Bureau].&amp;[Surrey Welfare Rights Unit CAB]&amp;[Surrey Welfare Rights Unit (member)]&amp;[South East]" c="Surrey Welfare Rights Unit CAB">
                <p n="[Local Organisation].[CAB].[Member].&amp;[Surrey Welfare Rights Unit (member)]&amp;[South East]"/>
                <p n="[Local Organisation].[CAB].[Government Region].&amp;[South East]"/>
              </i>
              <i n="[Local Organisation].[CAB].[Bureau].&amp;[Tadley Citizens Advice Bureau]&amp;[Tadley (member)]&amp;[South East]" c="Tadley Citizens Advice Bureau">
                <p n="[Local Organisation].[CAB].[Member].&amp;[Tadley (member)]&amp;[South East]"/>
                <p n="[Local Organisation].[CAB].[Government Region].&amp;[South East]"/>
              </i>
              <i n="[Local Organisation].[CAB].[Bureau].&amp;[Andover &amp; District Citizens Advice Bureau]&amp;[Test Valley (member)]&amp;[South East]" c="Andover &amp; District Citizens Advice Bureau">
                <p n="[Local Organisation].[CAB].[Member].&amp;[Test Valley (member)]&amp;[South East]"/>
                <p n="[Local Organisation].[CAB].[Government Region].&amp;[South East]"/>
              </i>
              <i n="[Local Organisation].[CAB].[Bureau].&amp;[Romsey &amp; District Citizens Advice Bureau]&amp;[Test Valley (member)]&amp;[South East]" c="Romsey &amp; District Citizens Advice Bureau">
                <p n="[Local Organisation].[CAB].[Member].&amp;[Test Valley (member)]&amp;[South East]"/>
                <p n="[Local Organisation].[CAB].[Government Region].&amp;[South East]"/>
              </i>
              <i n="[Local Organisation].[CAB].[Bureau].&amp;[Margate Citizens Advice Bureau]&amp;[Thanet District (member)]&amp;[South East]" c="Margate Citizens Advice Bureau">
                <p n="[Local Organisation].[CAB].[Member].&amp;[Thanet District (member)]&amp;[South East]"/>
                <p n="[Local Organisation].[CAB].[Government Region].&amp;[South East]"/>
              </i>
              <i n="[Local Organisation].[CAB].[Bureau].&amp;[Ramsgate Citizens Advice Bureau]&amp;[Thanet District (member)]&amp;[South East]" c="Ramsgate Citizens Advice Bureau">
                <p n="[Local Organisation].[CAB].[Member].&amp;[Thanet District (member)]&amp;[South East]"/>
                <p n="[Local Organisation].[CAB].[Government Region].&amp;[South East]"/>
              </i>
              <i n="[Local Organisation].[CAB].[Bureau].&amp;[Cranbrook Citizens Advice Bureau]&amp;[Tunbridge Wells and District (member)]&amp;[South East]" c="Cranbrook Citizens Advice Bureau">
                <p n="[Local Organisation].[CAB].[Member].&amp;[Tunbridge Wells and District (member)]&amp;[South East]"/>
                <p n="[Local Organisation].[CAB].[Government Region].&amp;[South East]"/>
              </i>
              <i n="[Local Organisation].[CAB].[Bureau].&amp;[Tunbridge Wells Citizens Advice Bureau]&amp;[Tunbridge Wells and District (member)]&amp;[South East]" c="Tunbridge Wells Citizens Advice Bureau">
                <p n="[Local Organisation].[CAB].[Member].&amp;[Tunbridge Wells and District (member)]&amp;[South East]"/>
                <p n="[Local Organisation].[CAB].[Government Region].&amp;[South East]"/>
              </i>
              <i n="[Local Organisation].[CAB].[Bureau].&amp;[Walton Weybridge &amp; Hersham CAB]&amp;[Walton Weybridge &amp; Hersham (member)]&amp;[South East]" c="Walton Weybridge &amp; Hersham CAB">
                <p n="[Local Organisation].[CAB].[Member].&amp;[Walton Weybridge &amp; Hersham (member)]&amp;[South East]"/>
                <p n="[Local Organisation].[CAB].[Government Region].&amp;[South East]"/>
              </i>
              <i n="[Local Organisation].[CAB].[Bureau].&amp;[Wealden Citizens Advice (Crowborough)]&amp;[Wealden (member)]&amp;[South East]" c="Wealden Citizens Advice (Crowborough)">
                <p n="[Local Organisation].[CAB].[Member].&amp;[Wealden (member)]&amp;[South East]"/>
                <p n="[Local Organisation].[CAB].[Government Region].&amp;[South East]"/>
              </i>
              <i n="[Local Organisation].[CAB].[Bureau].&amp;[Wealden Citizens Advice (Hailsham)]&amp;[Wealden (member)]&amp;[South East]" c="Wealden Citizens Advice (Hailsham)">
                <p n="[Local Organisation].[CAB].[Member].&amp;[Wealden (member)]&amp;[South East]"/>
                <p n="[Local Organisation].[CAB].[Government Region].&amp;[South East]"/>
              </i>
              <i n="[Local Organisation].[CAB].[Bureau].&amp;[Wealden Citizens Advice (Uckfield)]&amp;[Wealden (member)]&amp;[South East]" c="Wealden Citizens Advice (Uckfield)">
                <p n="[Local Organisation].[CAB].[Member].&amp;[Wealden (member)]&amp;[South East]"/>
                <p n="[Local Organisation].[CAB].[Government Region].&amp;[South East]"/>
              </i>
              <i n="[Local Organisation].[CAB].[Bureau].&amp;[West Berkshire Citizens Advice Bureau]&amp;[West Berkshire (member)]&amp;[South East]" c="West Berkshire Citizens Advice Bureau">
                <p n="[Local Organisation].[CAB].[Member].&amp;[West Berkshire (member)]&amp;[South East]"/>
                <p n="[Local Organisation].[CAB].[Government Region].&amp;[South East]"/>
              </i>
              <i n="[Local Organisation].[CAB].[Bureau].&amp;[West Oxfordshire (Chipping Norton) CAB]&amp;[West Oxfordshire (member)]&amp;[South East]" c="West Oxfordshire (Chipping Norton) CAB">
                <p n="[Local Organisation].[CAB].[Member].&amp;[West Oxfordshire (member)]&amp;[South East]"/>
                <p n="[Local Organisation].[CAB].[Government Region].&amp;[South East]"/>
              </i>
              <i n="[Local Organisation].[CAB].[Bureau].&amp;[West Oxfordshire (Witney) CAB]&amp;[West Oxfordshire (member)]&amp;[South East]" c="West Oxfordshire (Witney) CAB">
                <p n="[Local Organisation].[CAB].[Member].&amp;[West Oxfordshire (member)]&amp;[South East]"/>
                <p n="[Local Organisation].[CAB].[Government Region].&amp;[South East]"/>
              </i>
              <i n="[Local Organisation].[CAB].[Bureau].&amp;[Bishops Waltham Citizens Advice Bureau]&amp;[Winchester District (member)]&amp;[South East]" c="Bishops Waltham Citizens Advice Bureau">
                <p n="[Local Organisation].[CAB].[Member].&amp;[Winchester District (member)]&amp;[South East]"/>
                <p n="[Local Organisation].[CAB].[Government Region].&amp;[South East]"/>
              </i>
              <i n="[Local Organisation].[CAB].[Bureau].&amp;[Winchester Citizens Advice Bureau]&amp;[Winchester District (member)]&amp;[South East]" c="Winchester Citizens Advice Bureau">
                <p n="[Local Organisation].[CAB].[Member].&amp;[Winchester District (member)]&amp;[South East]"/>
                <p n="[Local Organisation].[CAB].[Government Region].&amp;[South East]"/>
              </i>
              <i n="[Local Organisation].[CAB].[Bureau].&amp;[Woking Citizens Advice Bureau]&amp;[Woking Citizens Advice Bureau (member)]&amp;[South East]" c="Woking Citizens Advice Bureau">
                <p n="[Local Organisation].[CAB].[Member].&amp;[Woking Citizens Advice Bureau (member)]&amp;[South East]"/>
                <p n="[Local Organisation].[CAB].[Government Region].&amp;[South East]"/>
              </i>
              <i n="[Local Organisation].[CAB].[Bureau].&amp;[Wokingham CAB]&amp;[Wokingham &amp; District CAB (member)]&amp;[South East]" c="Wokingham CAB">
                <p n="[Local Organisation].[CAB].[Member].&amp;[Wokingham &amp; District CAB (member)]&amp;[South East]"/>
                <p n="[Local Organisation].[CAB].[Government Region].&amp;[South East]"/>
              </i>
              <i n="[Local Organisation].[CAB].[Bureau].&amp;[Woodley CAB]&amp;[Wokingham &amp; District CAB (member)]&amp;[South East]" c="Woodley CAB">
                <p n="[Local Organisation].[CAB].[Member].&amp;[Wokingham &amp; District CAB (member)]&amp;[South East]"/>
                <p n="[Local Organisation].[CAB].[Government Region].&amp;[South East]"/>
              </i>
              <i n="[Local Organisation].[CAB].[Bureau].&amp;[Bath and North East Somerset CAB]&amp;[Bath and North East Somerset CAB (member)]&amp;[South West]" c="Bath and North East Somerset CAB">
                <p n="[Local Organisation].[CAB].[Member].&amp;[Bath and North East Somerset CAB (member)]&amp;[South West]"/>
                <p n="[Local Organisation].[CAB].[Government Region].&amp;[South West]"/>
              </i>
              <i n="[Local Organisation].[CAB].[Bureau].&amp;[Keynsham Citizens Advice Bureau]&amp;[Bath and North East Somerset CAB (member)]&amp;[South West]" c="Keynsham Citizens Advice Bureau">
                <p n="[Local Organisation].[CAB].[Member].&amp;[Bath and North East Somerset CAB (member)]&amp;[South West]"/>
                <p n="[Local Organisation].[CAB].[Government Region].&amp;[South West]"/>
              </i>
              <i n="[Local Organisation].[CAB].[Bureau].&amp;[Midsomer Norton Citizens Advice Bureau]&amp;[Bath and North East Somerset CAB (member)]&amp;[South West]" c="Midsomer Norton Citizens Advice Bureau">
                <p n="[Local Organisation].[CAB].[Member].&amp;[Bath and North East Somerset CAB (member)]&amp;[South West]"/>
                <p n="[Local Organisation].[CAB].[Government Region].&amp;[South West]"/>
              </i>
              <i n="[Local Organisation].[CAB].[Bureau].&amp;[Bournemouth CAB]&amp;[Bournemouth (member)]&amp;[South West]" c="Bournemouth CAB">
                <p n="[Local Organisation].[CAB].[Member].&amp;[Bournemouth (member)]&amp;[South West]"/>
                <p n="[Local Organisation].[CAB].[Government Region].&amp;[South West]"/>
              </i>
              <i n="[Local Organisation].[CAB].[Bureau].&amp;[Bournemouth CAB (Kinson HUB)]&amp;[Bournemouth (member)]&amp;[South West]" c="Bournemouth CAB (Kinson HUB)">
                <p n="[Local Organisation].[CAB].[Member].&amp;[Bournemouth (member)]&amp;[South West]"/>
                <p n="[Local Organisation].[CAB].[Government Region].&amp;[South West]"/>
              </i>
              <i n="[Local Organisation].[CAB].[Bureau].&amp;[Bridport &amp; District Citizens Advice Bureau]&amp;[Bridport &amp; District (member)]&amp;[South West]" c="Bridport &amp; District Citizens Advice Bureau">
                <p n="[Local Organisation].[CAB].[Member].&amp;[Bridport &amp; District (member)]&amp;[South West]"/>
                <p n="[Local Organisation].[CAB].[Government Region].&amp;[South West]"/>
              </i>
              <i n="[Local Organisation].[CAB].[Bureau].&amp;[Bristol Citizens Advice Bureau]&amp;[Bristol (member)]&amp;[South West]" c="Bristol Citizens Advice Bureau">
                <p n="[Local Organisation].[CAB].[Member].&amp;[Bristol (member)]&amp;[South West]"/>
                <p n="[Local Organisation].[CAB].[Government Region].&amp;[South West]"/>
              </i>
              <i n="[Local Organisation].[CAB].[Bureau].&amp;[CAB Cornwall (Bodmin)]&amp;[CAB Cornwall (member)]&amp;[South West]" c="CAB Cornwall (Bodmin)">
                <p n="[Local Organisation].[CAB].[Member].&amp;[CAB Cornwall (member)]&amp;[South West]"/>
                <p n="[Local Organisation].[CAB].[Government Region].&amp;[South West]"/>
              </i>
              <i n="[Local Organisation].[CAB].[Bureau].&amp;[CAB Cornwall (Bude)]&amp;[CAB Cornwall (member)]&amp;[South West]" c="CAB Cornwall (Bude)">
                <p n="[Local Organisation].[CAB].[Member].&amp;[CAB Cornwall (member)]&amp;[South West]"/>
                <p n="[Local Organisation].[CAB].[Government Region].&amp;[South West]"/>
              </i>
              <i n="[Local Organisation].[CAB].[Bureau].&amp;[CAB Cornwall (Camborne)]&amp;[CAB Cornwall (member)]&amp;[South West]" c="CAB Cornwall (Camborne)">
                <p n="[Local Organisation].[CAB].[Member].&amp;[CAB Cornwall (member)]&amp;[South West]"/>
                <p n="[Local Organisation].[CAB].[Government Region].&amp;[South West]"/>
              </i>
              <i n="[Local Organisation].[CAB].[Bureau].&amp;[CAB Cornwall (Falmouth)]&amp;[CAB Cornwall (member)]&amp;[South West]" c="CAB Cornwall (Falmouth)">
                <p n="[Local Organisation].[CAB].[Member].&amp;[CAB Cornwall (member)]&amp;[South West]"/>
                <p n="[Local Organisation].[CAB].[Government Region].&amp;[South West]"/>
              </i>
              <i n="[Local Organisation].[CAB].[Bureau].&amp;[CAB Cornwall (Liskeard)]&amp;[CAB Cornwall (member)]&amp;[South West]" c="CAB Cornwall (Liskeard)">
                <p n="[Local Organisation].[CAB].[Member].&amp;[CAB Cornwall (member)]&amp;[South West]"/>
                <p n="[Local Organisation].[CAB].[Government Region].&amp;[South West]"/>
              </i>
              <i n="[Local Organisation].[CAB].[Bureau].&amp;[CAB Cornwall (Newquay)]&amp;[CAB Cornwall (member)]&amp;[South West]" c="CAB Cornwall (Newquay)">
                <p n="[Local Organisation].[CAB].[Member].&amp;[CAB Cornwall (member)]&amp;[South West]"/>
                <p n="[Local Organisation].[CAB].[Government Region].&amp;[South West]"/>
              </i>
              <i n="[Local Organisation].[CAB].[Bureau].&amp;[CAB Cornwall (Penzance)]&amp;[CAB Cornwall (member)]&amp;[South West]" c="CAB Cornwall (Penzance)">
                <p n="[Local Organisation].[CAB].[Member].&amp;[CAB Cornwall (member)]&amp;[South West]"/>
                <p n="[Local Organisation].[CAB].[Government Region].&amp;[South West]"/>
              </i>
              <i n="[Local Organisation].[CAB].[Bureau].&amp;[CAB Cornwall (Saltash)]&amp;[CAB Cornwall (member)]&amp;[South West]" c="CAB Cornwall (Saltash)">
                <p n="[Local Organisation].[CAB].[Member].&amp;[CAB Cornwall (member)]&amp;[South West]"/>
                <p n="[Local Organisation].[CAB].[Government Region].&amp;[South West]"/>
              </i>
              <i n="[Local Organisation].[CAB].[Bureau].&amp;[CAB Cornwall (St Austell)]&amp;[CAB Cornwall (member)]&amp;[South West]" c="CAB Cornwall (St Austell)">
                <p n="[Local Organisation].[CAB].[Member].&amp;[CAB Cornwall (member)]&amp;[South West]"/>
                <p n="[Local Organisation].[CAB].[Government Region].&amp;[South West]"/>
              </i>
              <i n="[Local Organisation].[CAB].[Bureau].&amp;[CAB Cornwall (Truro)]&amp;[CAB Cornwall (member)]&amp;[South West]" c="CAB Cornwall (Truro)">
                <p n="[Local Organisation].[CAB].[Member].&amp;[CAB Cornwall (member)]&amp;[South West]"/>
                <p n="[Local Organisation].[CAB].[Government Region].&amp;[South West]"/>
              </i>
              <i n="[Local Organisation].[CAB].[Bureau].&amp;[Christchurch Citizens Advice Bureau]&amp;[Christchurch (member)]&amp;[South West]" c="Christchurch Citizens Advice Bureau">
                <p n="[Local Organisation].[CAB].[Member].&amp;[Christchurch (member)]&amp;[South West]"/>
                <p n="[Local Organisation].[CAB].[Government Region].&amp;[South West]"/>
              </i>
              <i n="[Local Organisation].[CAB].[Bureau].&amp;[Newton Abbot (Teignbridge) CAB]&amp;[Citizens Advice Teignbridge (member)]&amp;[South West]" c="Newton Abbot (Teignbridge) CAB">
                <p n="[Local Organisation].[CAB].[Member].&amp;[Citizens Advice Teignbridge (member)]&amp;[South West]"/>
                <p n="[Local Organisation].[CAB].[Government Region].&amp;[South West]"/>
              </i>
              <i n="[Local Organisation].[CAB].[Bureau].&amp;[Teignmouth (Teignbridge) CAB]&amp;[Citizens Advice Teignbridge (member)]&amp;[South West]" c="Teignmouth (Teignbridge) CAB">
                <p n="[Local Organisation].[CAB].[Member].&amp;[Citizens Advice Teignbridge (member)]&amp;[South West]"/>
                <p n="[Local Organisation].[CAB].[Government Region].&amp;[South West]"/>
              </i>
              <i n="[Local Organisation].[CAB].[Bureau].&amp;[Dorchester]&amp;[Dorchester, Sherborne &amp; District (Member)]&amp;[South West]" c="Dorchester">
                <p n="[Local Organisation].[CAB].[Member].&amp;[Dorchester, Sherborne &amp; District (Member)]&amp;[South West]"/>
                <p n="[Local Organisation].[CAB].[Government Region].&amp;[South West]"/>
              </i>
              <i n="[Local Organisation].[CAB].[Bureau].&amp;[Sherborne]&amp;[Dorchester, Sherborne &amp; District (Member)]&amp;[South West]" c="Sherborne">
                <p n="[Local Organisation].[CAB].[Member].&amp;[Dorchester, Sherborne &amp; District (Member)]&amp;[South West]"/>
                <p n="[Local Organisation].[CAB].[Government Region].&amp;[South West]"/>
              </i>
              <i n="[Local Organisation].[CAB].[Bureau].&amp;[East Devon CAB]&amp;[East Devon (member)]&amp;[South West]" c="East Devon CAB">
                <p n="[Local Organisation].[CAB].[Member].&amp;[East Devon (member)]&amp;[South West]"/>
                <p n="[Local Organisation].[CAB].[Government Region].&amp;[South West]"/>
              </i>
              <i n="[Local Organisation].[CAB].[Bureau].&amp;[East Devon CAB Exmouth]&amp;[East Devon (member)]&amp;[South West]" c="East Devon CAB Exmouth">
                <p n="[Local Organisation].[CAB].[Member].&amp;[East Devon (member)]&amp;[South West]"/>
                <p n="[Local Organisation].[CAB].[Government Region].&amp;[South West]"/>
              </i>
              <i n="[Local Organisation].[CAB].[Bureau].&amp;[Ferndown Citizens Advice Bureau]&amp;[East Dorset (member)]&amp;[South West]" c="Ferndown Citizens Advice Bureau">
                <p n="[Local Organisation].[CAB].[Member].&amp;[East Dorset (member)]&amp;[South West]"/>
                <p n="[Local Organisation].[CAB].[Government Region].&amp;[South West]"/>
              </i>
              <i n="[Local Organisation].[CAB].[Bureau].&amp;[Wimborne Citizens Advice Bureau]&amp;[East Dorset (member)]&amp;[South West]" c="Wimborne Citizens Advice Bureau">
                <p n="[Local Organisation].[CAB].[Member].&amp;[East Dorset (member)]&amp;[South West]"/>
                <p n="[Local Organisation].[CAB].[Government Region].&amp;[South West]"/>
              </i>
              <i n="[Local Organisation].[CAB].[Bureau].&amp;[Exeter Citizens Advice Bureau]&amp;[Exeter Citizens Advice Bureau (member)]&amp;[South West]" c="Exeter Citizens Advice Bureau">
                <p n="[Local Organisation].[CAB].[Member].&amp;[Exeter Citizens Advice Bureau (member)]&amp;[South West]"/>
                <p n="[Local Organisation].[CAB].[Government Region].&amp;[South West]"/>
              </i>
              <i n="[Local Organisation].[CAB].[Bureau].&amp;[Forest of Dean Citizens Advice Bureau]&amp;[Forest of Dean (member)]&amp;[South West]" c="Forest of Dean Citizens Advice Bureau">
                <p n="[Local Organisation].[CAB].[Member].&amp;[Forest of Dean (member)]&amp;[South West]"/>
                <p n="[Local Organisation].[CAB].[Government Region].&amp;[South West]"/>
              </i>
              <i n="[Local Organisation].[CAB].[Bureau].&amp;[Cheltenham Citizens Advice Bureau]&amp;[Gloucester &amp; District (member)]&amp;[South West]" c="Cheltenham Citizens Advice Bureau">
                <p n="[Local Organisation].[CAB].[Member].&amp;[Gloucester &amp; District (member)]&amp;[South West]"/>
                <p n="[Local Organisation].[CAB].[Government Region].&amp;[South West]"/>
              </i>
              <i n="[Local Organisation].[CAB].[Bureau].&amp;[Gloucester &amp; District CAB]&amp;[Gloucester &amp; District (member)]&amp;[South West]" c="Gloucester &amp; District CAB">
                <p n="[Local Organisation].[CAB].[Member].&amp;[Gloucester &amp; District (member)]&amp;[South West]"/>
                <p n="[Local Organisation].[CAB].[Government Region].&amp;[South West]"/>
              </i>
              <i n="[Local Organisation].[CAB].[Bureau].&amp;[Tewkesbury Citizens Advice Bureau]&amp;[Gloucester &amp; District (member)]&amp;[South West]" c="Tewkesbury Citizens Advice Bureau">
                <p n="[Local Organisation].[CAB].[Member].&amp;[Gloucester &amp; District (member)]&amp;[South West]"/>
                <p n="[Local Organisation].[CAB].[Government Region].&amp;[South West]"/>
              </i>
              <i n="[Local Organisation].[CAB].[Bureau].&amp;[Frome]&amp;[Mendip (member)]&amp;[South West]" c="Frome">
                <p n="[Local Organisation].[CAB].[Member].&amp;[Mendip (member)]&amp;[South West]"/>
                <p n="[Local Organisation].[CAB].[Government Region].&amp;[South West]"/>
              </i>
              <i n="[Local Organisation].[CAB].[Bureau].&amp;[Glastonbury]&amp;[Mendip (member)]&amp;[South West]" c="Glastonbury">
                <p n="[Local Organisation].[CAB].[Member].&amp;[Mendip (member)]&amp;[South West]"/>
                <p n="[Local Organisation].[CAB].[Government Region].&amp;[South West]"/>
              </i>
              <i n="[Local Organisation].[CAB].[Bureau].&amp;[Mendip (Shepton Mallet) CAB]&amp;[Mendip (member)]&amp;[South West]" c="Mendip (Shepton Mallet) CAB">
                <p n="[Local Organisation].[CAB].[Member].&amp;[Mendip (member)]&amp;[South West]"/>
                <p n="[Local Organisation].[CAB].[Government Region].&amp;[South West]"/>
              </i>
              <i n="[Local Organisation].[CAB].[Bureau].&amp;[Street]&amp;[Mendip (member)]&amp;[South West]" c="Street">
                <p n="[Local Organisation].[CAB].[Member].&amp;[Mendip (member)]&amp;[South West]"/>
                <p n="[Local Organisation].[CAB].[Government Region].&amp;[South West]"/>
              </i>
              <i n="[Local Organisation].[CAB].[Bureau].&amp;[Wells]&amp;[Mendip (member)]&amp;[South West]" c="Wells">
                <p n="[Local Organisation].[CAB].[Member].&amp;[Mendip (member)]&amp;[South West]"/>
                <p n="[Local Organisation].[CAB].[Government Region].&amp;[South West]"/>
              </i>
              <i n="[Local Organisation].[CAB].[Bureau].&amp;[North Dorset Citizens Advice Bureau]&amp;[North Dorset (member)]&amp;[South West]" c="North Dorset Citizens Advice Bureau">
                <p n="[Local Organisation].[CAB].[Member].&amp;[North Dorset (member)]&amp;[South West]"/>
                <p n="[Local Organisation].[CAB].[Government Region].&amp;[South West]"/>
              </i>
              <i n="[Local Organisation].[CAB].[Bureau].&amp;[North Somerset Citizens Advice Bureau]&amp;[North Somerset CAB (member)]&amp;[South West]" c="North Somerset Citizens Advice Bureau">
                <p n="[Local Organisation].[CAB].[Member].&amp;[North Somerset CAB (member)]&amp;[South West]"/>
                <p n="[Local Organisation].[CAB].[Government Region].&amp;[South West]"/>
              </i>
              <i n="[Local Organisation].[CAB].[Bureau].&amp;[Plymouth Citizens Advice Bureau]&amp;[Plymouth Citizens Advice Bureau (member)]&amp;[South West]" c="Plymouth Citizens Advice Bureau">
                <p n="[Local Organisation].[CAB].[Member].&amp;[Plymouth Citizens Advice Bureau (member)]&amp;[South West]"/>
                <p n="[Local Organisation].[CAB].[Government Region].&amp;[South West]"/>
              </i>
              <i n="[Local Organisation].[CAB].[Bureau].&amp;[Poole Citizens Advice Bureau]&amp;[Poole (member)]&amp;[South West]" c="Poole Citizens Advice Bureau">
                <p n="[Local Organisation].[CAB].[Member].&amp;[Poole (member)]&amp;[South West]"/>
                <p n="[Local Organisation].[CAB].[Government Region].&amp;[South West]"/>
              </i>
              <i n="[Local Organisation].[CAB].[Bureau].&amp;[Purbeck Citizens Advice Bureau]&amp;[Purbeck (member)]&amp;[South West]" c="Purbeck Citizens Advice Bureau">
                <p n="[Local Organisation].[CAB].[Member].&amp;[Purbeck (member)]&amp;[South West]"/>
                <p n="[Local Organisation].[CAB].[Government Region].&amp;[South West]"/>
              </i>
              <i n="[Local Organisation].[CAB].[Bureau].&amp;[Sedgemoor Citizens Advice Bureau]&amp;[Sedgemoor (member)]&amp;[South West]" c="Sedgemoor Citizens Advice Bureau">
                <p n="[Local Organisation].[CAB].[Member].&amp;[Sedgemoor (member)]&amp;[South West]"/>
                <p n="[Local Organisation].[CAB].[Government Region].&amp;[South West]"/>
              </i>
              <i n="[Local Organisation].[CAB].[Bureau].&amp;[South Gloucestershire (Yate) CAB]&amp;[South Gloucestershire CAB (member)]&amp;[South West]" c="South Gloucestershire (Yate) CAB">
                <p n="[Local Organisation].[CAB].[Member].&amp;[South Gloucestershire CAB (member)]&amp;[South West]"/>
                <p n="[Local Organisation].[CAB].[Government Region].&amp;[South West]"/>
              </i>
              <i n="[Local Organisation].[CAB].[Bureau].&amp;[South Hams Citizens Advice Bureau]&amp;[South Hams (member)]&amp;[South West]" c="South Hams Citizens Advice Bureau">
                <p n="[Local Organisation].[CAB].[Member].&amp;[South Hams (member)]&amp;[South West]"/>
                <p n="[Local Organisation].[CAB].[Government Region].&amp;[South West]"/>
              </i>
              <i n="[Local Organisation].[CAB].[Bureau].&amp;[South Somerset Citizens Advice Bureau]&amp;[South Somerset (member)]&amp;[South West]" c="South Somerset Citizens Advice Bureau">
                <p n="[Local Organisation].[CAB].[Member].&amp;[South Somerset (member)]&amp;[South West]"/>
                <p n="[Local Organisation].[CAB].[Government Region].&amp;[South West]"/>
              </i>
              <i n="[Local Organisation].[CAB].[Bureau].&amp;[Cotswold District Citizens Advice Bureau]&amp;[Stroud &amp; District (member)]&amp;[South West]" c="Cotswold District Citizens Advice Bureau">
                <p n="[Local Organisation].[CAB].[Member].&amp;[Stroud &amp; District (member)]&amp;[South West]"/>
                <p n="[Local Organisation].[CAB].[Government Region].&amp;[South West]"/>
              </i>
              <i n="[Local Organisation].[CAB].[Bureau].&amp;[Stroud &amp; District Citizens Advice Bureau]&amp;[Stroud &amp; District (member)]&amp;[South West]" c="Stroud &amp; District Citizens Advice Bureau">
                <p n="[Local Organisation].[CAB].[Member].&amp;[Stroud &amp; District (member)]&amp;[South West]"/>
                <p n="[Local Organisation].[CAB].[Government Region].&amp;[South West]"/>
              </i>
              <i n="[Local Organisation].[CAB].[Bureau].&amp;[Swindon Citizens Advice Bureau]&amp;[Swindon (member)]&amp;[South West]" c="Swindon Citizens Advice Bureau">
                <p n="[Local Organisation].[CAB].[Member].&amp;[Swindon (member)]&amp;[South West]"/>
                <p n="[Local Organisation].[CAB].[Government Region].&amp;[South West]"/>
              </i>
              <i n="[Local Organisation].[CAB].[Bureau].&amp;[Taunton Citizens Advice Bureau]&amp;[Taunton (member)]&amp;[South West]" c="Taunton Citizens Advice Bureau">
                <p n="[Local Organisation].[CAB].[Member].&amp;[Taunton (member)]&amp;[South West]"/>
                <p n="[Local Organisation].[CAB].[Government Region].&amp;[South West]"/>
              </i>
              <i n="[Local Organisation].[CAB].[Bureau].&amp;[Paignton Citizens Advice Bureau - Torbay]&amp;[Torbay (member)]&amp;[South West]" c="Paignton Citizens Advice Bureau - Torbay">
                <p n="[Local Organisation].[CAB].[Member].&amp;[Torbay (member)]&amp;[South West]"/>
                <p n="[Local Organisation].[CAB].[Government Region].&amp;[South West]"/>
              </i>
              <i n="[Local Organisation].[CAB].[Bureau].&amp;[Torquay Debt Advice Unit - Torbay]&amp;[Torbay (member)]&amp;[South West]" c="Torquay Debt Advice Unit - Torbay">
                <p n="[Local Organisation].[CAB].[Member].&amp;[Torbay (member)]&amp;[South West]"/>
                <p n="[Local Organisation].[CAB].[Government Region].&amp;[South West]"/>
              </i>
              <i n="[Local Organisation].[CAB].[Bureau].&amp;[Barnstaple CAB]&amp;[Torridge North, Mid &amp; West Devon (member)]&amp;[South West]" c="Barnstaple CAB">
                <p n="[Local Organisation].[CAB].[Member].&amp;[Torridge North, Mid &amp; West Devon (member)]&amp;[South West]"/>
                <p n="[Local Organisation].[CAB].[Government Region].&amp;[South West]"/>
              </i>
              <i n="[Local Organisation].[CAB].[Bureau].&amp;[Bideford CAB]&amp;[Torridge North, Mid &amp; West Devon (member)]&amp;[South West]" c="Bideford CAB">
                <p n="[Local Organisation].[CAB].[Member].&amp;[Torridge North, Mid &amp; West Devon (member)]&amp;[South West]"/>
                <p n="[Local Organisation].[CAB].[Government Region].&amp;[South West]"/>
              </i>
              <i n="[Local Organisation].[CAB].[Bureau].&amp;[Crediton CAB]&amp;[Torridge North, Mid &amp; West Devon (member)]&amp;[South West]" c="Crediton CAB">
                <p n="[Local Organisation].[CAB].[Member].&amp;[Torridge North, Mid &amp; West Devon (member)]&amp;[South West]"/>
                <p n="[Local Organisation].[CAB].[Government Region].&amp;[South West]"/>
              </i>
              <i n="[Local Organisation].[CAB].[Bureau].&amp;[Holsworthy CAB]&amp;[Torridge North, Mid &amp; West Devon (member)]&amp;[South West]" c="Holsworthy CAB">
                <p n="[Local Organisation].[CAB].[Member].&amp;[Torridge North, Mid &amp; West Devon (member)]&amp;[South West]"/>
                <p n="[Local Organisation].[CAB].[Government Region].&amp;[South West]"/>
              </i>
              <i n="[Local Organisation].[CAB].[Bureau].&amp;[Ilfracombe CAB]&amp;[Torridge North, Mid &amp; West Devon (member)]&amp;[South West]" c="Ilfracombe CAB">
                <p n="[Local Organisation].[CAB].[Member].&amp;[Torridge North, Mid &amp; West Devon (member)]&amp;[South West]"/>
                <p n="[Local Organisation].[CAB].[Government Region].&amp;[South West]"/>
              </i>
              <i n="[Local Organisation].[CAB].[Bureau].&amp;[Okehampton CAB]&amp;[Torridge North, Mid &amp; West Devon (member)]&amp;[South West]" c="Okehampton CAB">
                <p n="[Local Organisation].[CAB].[Member].&amp;[Torridge North, Mid &amp; West Devon (member)]&amp;[South West]"/>
                <p n="[Local Organisation].[CAB].[Government Region].&amp;[South West]"/>
              </i>
              <i n="[Local Organisation].[CAB].[Bureau].&amp;[Tavistock CAB]&amp;[Torridge North, Mid &amp; West Devon (member)]&amp;[South West]" c="Tavistock CAB">
                <p n="[Local Organisation].[CAB].[Member].&amp;[Torridge North, Mid &amp; West Devon (member)]&amp;[South West]"/>
                <p n="[Local Organisation].[CAB].[Government Region].&amp;[South West]"/>
              </i>
              <i n="[Local Organisation].[CAB].[Bureau].&amp;[Tiverton CAB]&amp;[Torridge North, Mid &amp; West Devon (member)]&amp;[South West]" c="Tiverton CAB">
                <p n="[Local Organisation].[CAB].[Member].&amp;[Torridge North, Mid &amp; West Devon (member)]&amp;[South West]"/>
                <p n="[Local Organisation].[CAB].[Government Region].&amp;[South West]"/>
              </i>
              <i n="[Local Organisation].[CAB].[Bureau].&amp;[Weymouth &amp; Portland Citizens Advice Bureau]&amp;[Weymouth &amp; Portland (member)]&amp;[South West]" c="Weymouth &amp; Portland Citizens Advice Bureau">
                <p n="[Local Organisation].[CAB].[Member].&amp;[Weymouth &amp; Portland (member)]&amp;[South West]"/>
                <p n="[Local Organisation].[CAB].[Government Region].&amp;[South West]"/>
              </i>
              <i n="[Local Organisation].[CAB].[Bureau].&amp;[Wiltshire Citizens Advice - East]&amp;[Wiltshire (member)]&amp;[South West]" c="Wiltshire Citizens Advice - East">
                <p n="[Local Organisation].[CAB].[Member].&amp;[Wiltshire (member)]&amp;[South West]"/>
                <p n="[Local Organisation].[CAB].[Government Region].&amp;[South West]"/>
              </i>
              <i n="[Local Organisation].[CAB].[Bureau].&amp;[Wiltshire Citizens Advice - North]&amp;[Wiltshire (member)]&amp;[South West]" c="Wiltshire Citizens Advice - North">
                <p n="[Local Organisation].[CAB].[Member].&amp;[Wiltshire (member)]&amp;[South West]"/>
                <p n="[Local Organisation].[CAB].[Government Region].&amp;[South West]"/>
              </i>
              <i n="[Local Organisation].[CAB].[Bureau].&amp;[Wiltshire Citizens Advice - South]&amp;[Wiltshire (member)]&amp;[South West]" c="Wiltshire Citizens Advice - South">
                <p n="[Local Organisation].[CAB].[Member].&amp;[Wiltshire (member)]&amp;[South West]"/>
                <p n="[Local Organisation].[CAB].[Government Region].&amp;[South West]"/>
              </i>
              <i n="[Local Organisation].[CAB].[Bureau].&amp;[Wiltshire Citizens Advice - West]&amp;[Wiltshire (member)]&amp;[South West]" c="Wiltshire Citizens Advice - West">
                <p n="[Local Organisation].[CAB].[Member].&amp;[Wiltshire (member)]&amp;[South West]"/>
                <p n="[Local Organisation].[CAB].[Government Region].&amp;[South West]"/>
              </i>
              <i n="[Local Organisation].[CAB].[Bureau].&amp;[Bridgend Citizens Advice Bureau]&amp;[Bridgend County Borough (member)]&amp;[Wales]" c="Bridgend Citizens Advice Bureau">
                <p n="[Local Organisation].[CAB].[Member].&amp;[Bridgend County Borough (member)]&amp;[Wales]"/>
                <p n="[Local Organisation].[CAB].[Government Region].&amp;[Wales]"/>
              </i>
              <i n="[Local Organisation].[CAB].[Bureau].&amp;[Maesteg Citizens Advice Bureau]&amp;[Bridgend County Borough (member)]&amp;[Wales]" c="Maesteg Citizens Advice Bureau">
                <p n="[Local Organisation].[CAB].[Member].&amp;[Bridgend County Borough (member)]&amp;[Wales]"/>
                <p n="[Local Organisation].[CAB].[Government Region].&amp;[Wales]"/>
              </i>
              <i n="[Local Organisation].[CAB].[Bureau].&amp;[Abergele CAB]&amp;[CAB Cylch Conwy District (member)]&amp;[Wales]" c="Abergele CAB">
                <p n="[Local Organisation].[CAB].[Member].&amp;[CAB Cylch Conwy District (member)]&amp;[Wales]"/>
                <p n="[Local Organisation].[CAB].[Government Region].&amp;[Wales]"/>
              </i>
              <i n="[Local Organisation].[CAB].[Bureau].&amp;[CAB Cylch Conwy District CAB]&amp;[CAB Cylch Conwy District (member)]&amp;[Wales]" c="CAB Cylch Conwy District CAB">
                <p n="[Local Organisation].[CAB].[Member].&amp;[CAB Cylch Conwy District (member)]&amp;[Wales]"/>
                <p n="[Local Organisation].[CAB].[Government Region].&amp;[Wales]"/>
              </i>
              <i n="[Local Organisation].[CAB].[Bureau].&amp;[Bargoed Citizens Advice Bureau]&amp;[Caerphilly County (member)]&amp;[Wales]" c="Bargoed Citizens Advice Bureau">
                <p n="[Local Organisation].[CAB].[Member].&amp;[Caerphilly County (member)]&amp;[Wales]"/>
                <p n="[Local Organisation].[CAB].[Government Region].&amp;[Wales]"/>
              </i>
              <i n="[Local Organisation].[CAB].[Bureau].&amp;[Blaenau Gwent Citizens Advice Bureau]&amp;[Caerphilly County (member)]&amp;[Wales]" c="Blaenau Gwent Citizens Advice Bureau">
                <p n="[Local Organisation].[CAB].[Member].&amp;[Caerphilly County (member)]&amp;[Wales]"/>
                <p n="[Local Organisation].[CAB].[Government Region].&amp;[Wales]"/>
              </i>
              <i n="[Local Organisation].[CAB].[Bureau].&amp;[Caerphilly Citizens Advice Bureau]&amp;[Caerphilly County (member)]&amp;[Wales]" c="Caerphilly Citizens Advice Bureau">
                <p n="[Local Organisation].[CAB].[Member].&amp;[Caerphilly County (member)]&amp;[Wales]"/>
                <p n="[Local Organisation].[CAB].[Government Region].&amp;[Wales]"/>
              </i>
              <i n="[Local Organisation].[CAB].[Bureau].&amp;[Risca Citizens Advice Bureau]&amp;[Caerphilly County (member)]&amp;[Wales]" c="Risca Citizens Advice Bureau">
                <p n="[Local Organisation].[CAB].[Member].&amp;[Caerphilly County (member)]&amp;[Wales]"/>
                <p n="[Local Organisation].[CAB].[Government Region].&amp;[Wales]"/>
              </i>
              <i n="[Local Organisation].[CAB].[Bureau].&amp;[Amlwch Citizens Advice Bureau]&amp;[Canolfan Cynghori Ynys Mon (member)]&amp;[Wales]" c="Amlwch Citizens Advice Bureau">
                <p n="[Local Organisation].[CAB].[Member].&amp;[Canolfan Cynghori Ynys Mon (member)]&amp;[Wales]"/>
                <p n="[Local Organisation].[CAB].[Government Region].&amp;[Wales]"/>
              </i>
              <i n="[Local Organisation].[CAB].[Bureau].&amp;[Holyhead Citizens Advice Bureau]&amp;[Canolfan Cynghori Ynys Mon (member)]&amp;[Wales]" c="Holyhead Citizens Advice Bureau">
                <p n="[Local Organisation].[CAB].[Member].&amp;[Canolfan Cynghori Ynys Mon (member)]&amp;[Wales]"/>
                <p n="[Local Organisation].[CAB].[Government Region].&amp;[Wales]"/>
              </i>
              <i n="[Local Organisation].[CAB].[Bureau].&amp;[Llangefni Citizens Advice Bureau]&amp;[Canolfan Cynghori Ynys Mon (member)]&amp;[Wales]" c="Llangefni Citizens Advice Bureau">
                <p n="[Local Organisation].[CAB].[Member].&amp;[Canolfan Cynghori Ynys Mon (member)]&amp;[Wales]"/>
                <p n="[Local Organisation].[CAB].[Government Region].&amp;[Wales]"/>
              </i>
              <i n="[Local Organisation].[CAB].[Bureau].&amp;[Cardiff]&amp;[Cardiff and Vale (member)]&amp;[Wales]" c="Cardiff">
                <p n="[Local Organisation].[CAB].[Member].&amp;[Cardiff and Vale (member)]&amp;[Wales]"/>
                <p n="[Local Organisation].[CAB].[Government Region].&amp;[Wales]"/>
              </i>
              <i n="[Local Organisation].[CAB].[Bureau].&amp;[Vale of Glamorgan Citizens Advice Bureau]&amp;[Cardiff and Vale (member)]&amp;[Wales]" c="Vale of Glamorgan Citizens Advice Bureau">
                <p n="[Local Organisation].[CAB].[Member].&amp;[Cardiff and Vale (member)]&amp;[Wales]"/>
                <p n="[Local Organisation].[CAB].[Government Region].&amp;[Wales]"/>
              </i>
              <i n="[Local Organisation].[CAB].[Bureau].&amp;[Ammanford Citizens Advice Bureau]&amp;[Carmarthenshire (member)]&amp;[Wales]" c="Ammanford Citizens Advice Bureau">
                <p n="[Local Organisation].[CAB].[Member].&amp;[Carmarthenshire (member)]&amp;[Wales]"/>
                <p n="[Local Organisation].[CAB].[Government Region].&amp;[Wales]"/>
              </i>
              <i n="[Local Organisation].[CAB].[Bureau].&amp;[Carmarthen Citizens Advice Bureau]&amp;[Carmarthenshire (member)]&amp;[Wales]" c="Carmarthen Citizens Advice Bureau">
                <p n="[Local Organisation].[CAB].[Member].&amp;[Carmarthenshire (member)]&amp;[Wales]"/>
                <p n="[Local Organisation].[CAB].[Government Region].&amp;[Wales]"/>
              </i>
              <i n="[Local Organisation].[CAB].[Bureau].&amp;[Llanelli Citizens Advice Bureau]&amp;[Carmarthenshire (member)]&amp;[Wales]" c="Llanelli Citizens Advice Bureau">
                <p n="[Local Organisation].[CAB].[Member].&amp;[Carmarthenshire (member)]&amp;[Wales]"/>
                <p n="[Local Organisation].[CAB].[Government Region].&amp;[Wales]"/>
              </i>
              <i n="[Local Organisation].[CAB].[Bureau].&amp;[Cyngor Ar Bopeth Ceredigion Aberystwyth CAB]&amp;[Cyngor Ar Bopeth Ceredigion (member)]&amp;[Wales]" c="Cyngor Ar Bopeth Ceredigion Aberystwyth CAB">
                <p n="[Local Organisation].[CAB].[Member].&amp;[Cyngor Ar Bopeth Ceredigion (member)]&amp;[Wales]"/>
                <p n="[Local Organisation].[CAB].[Government Region].&amp;[Wales]"/>
              </i>
              <i n="[Local Organisation].[CAB].[Bureau].&amp;[Cyngor Ar Bopeth Ceredigion Cardigan CAB]&amp;[Cyngor Ar Bopeth Ceredigion (member)]&amp;[Wales]" c="Cyngor Ar Bopeth Ceredigion Cardigan CAB">
                <p n="[Local Organisation].[CAB].[Member].&amp;[Cyngor Ar Bopeth Ceredigion (member)]&amp;[Wales]"/>
                <p n="[Local Organisation].[CAB].[Government Region].&amp;[Wales]"/>
              </i>
              <i n="[Local Organisation].[CAB].[Bureau].&amp;[Denbigh Citizens Advice Bureau]&amp;[Denbighshire (member)]&amp;[Wales]" c="Denbigh Citizens Advice Bureau">
                <p n="[Local Organisation].[CAB].[Member].&amp;[Denbighshire (member)]&amp;[Wales]"/>
                <p n="[Local Organisation].[CAB].[Government Region].&amp;[Wales]"/>
              </i>
              <i n="[Local Organisation].[CAB].[Bureau].&amp;[Llangollen Citizens Advice Bureau]&amp;[Denbighshire (member)]&amp;[Wales]" c="Llangollen Citizens Advice Bureau">
                <p n="[Local Organisation].[CAB].[Member].&amp;[Denbighshire (member)]&amp;[Wales]"/>
                <p n="[Local Organisation].[CAB].[Government Region].&amp;[Wales]"/>
              </i>
              <i n="[Local Organisation].[CAB].[Bureau].&amp;[Rhyl Citizens Advice Bureau]&amp;[Denbighshire (member)]&amp;[Wales]" c="Rhyl Citizens Advice Bureau">
                <p n="[Local Organisation].[CAB].[Member].&amp;[Denbighshire (member)]&amp;[Wales]"/>
                <p n="[Local Organisation].[CAB].[Government Region].&amp;[Wales]"/>
              </i>
              <i n="[Local Organisation].[CAB].[Bureau].&amp;[Ruthin Citizens Advice Bureau]&amp;[Denbighshire (member)]&amp;[Wales]" c="Ruthin Citizens Advice Bureau">
                <p n="[Local Organisation].[CAB].[Member].&amp;[Denbighshire (member)]&amp;[Wales]"/>
                <p n="[Local Organisation].[CAB].[Government Region].&amp;[Wales]"/>
              </i>
              <i n="[Local Organisation].[CAB].[Bureau].&amp;[Deeside Citizens Advice Bureau]&amp;[Flintshire (member)]&amp;[Wales]" c="Deeside Citizens Advice Bureau">
                <p n="[Local Organisation].[CAB].[Member].&amp;[Flintshire (member)]&amp;[Wales]"/>
                <p n="[Local Organisation].[CAB].[Government Region].&amp;[Wales]"/>
              </i>
              <i n="[Local Organisation].[CAB].[Bureau].&amp;[Holywell Citizens Advice Bureau]&amp;[Flintshire (member)]&amp;[Wales]" c="Holywell Citizens Advice Bureau">
                <p n="[Local Organisation].[CAB].[Member].&amp;[Flintshire (member)]&amp;[Wales]"/>
                <p n="[Local Organisation].[CAB].[Government Region].&amp;[Wales]"/>
              </i>
              <i n="[Local Organisation].[CAB].[Bureau].&amp;[Mold Citizens Advice Bureau]&amp;[Flintshire (member)]&amp;[Wales]" c="Mold Citizens Advice Bureau">
                <p n="[Local Organisation].[CAB].[Member].&amp;[Flintshire (member)]&amp;[Wales]"/>
                <p n="[Local Organisation].[CAB].[Government Region].&amp;[Wales]"/>
              </i>
              <i n="[Local Organisation].[CAB].[Bureau].&amp;[Gwynedd CAB (Bangor Advice Centre)]&amp;[Gwynedd &amp; De Ynys Mon (member)]&amp;[Wales]" c="Gwynedd CAB (Bangor Advice Centre)">
                <p n="[Local Organisation].[CAB].[Member].&amp;[Gwynedd &amp; De Ynys Mon (member)]&amp;[Wales]"/>
                <p n="[Local Organisation].[CAB].[Government Region].&amp;[Wales]"/>
              </i>
              <i n="[Local Organisation].[CAB].[Bureau].&amp;[Gwynedd CAB (Caernarfon)]&amp;[Gwynedd &amp; De Ynys Mon (member)]&amp;[Wales]" c="Gwynedd CAB (Caernarfon)">
                <p n="[Local Organisation].[CAB].[Member].&amp;[Gwynedd &amp; De Ynys Mon (member)]&amp;[Wales]"/>
                <p n="[Local Organisation].[CAB].[Government Region].&amp;[Wales]"/>
              </i>
              <i n="[Local Organisation].[CAB].[Bureau].&amp;[Gwynedd CAB (Dwyfor)]&amp;[Gwynedd &amp; De Ynys Mon (member)]&amp;[Wales]" c="Gwynedd CAB (Dwyfor)">
                <p n="[Local Organisation].[CAB].[Member].&amp;[Gwynedd &amp; De Ynys Mon (member)]&amp;[Wales]"/>
                <p n="[Local Organisation].[CAB].[Government Region].&amp;[Wales]"/>
              </i>
              <i n="[Local Organisation].[CAB].[Bureau].&amp;[Gwynedd CAB (Meirionnydd Advice Centre)]&amp;[Gwynedd &amp; De Ynys Mon (member)]&amp;[Wales]" c="Gwynedd CAB (Meirionnydd Advice Centre)">
                <p n="[Local Organisation].[CAB].[Member].&amp;[Gwynedd &amp; De Ynys Mon (member)]&amp;[Wales]"/>
                <p n="[Local Organisation].[CAB].[Government Region].&amp;[Wales]"/>
              </i>
              <i n="[Local Organisation].[CAB].[Bureau].&amp;[Merthyr Tydfil Citizens Advice Bureau]&amp;[Merthyr Tydfil (member)]&amp;[Wales]" c="Merthyr Tydfil Citizens Advice Bureau">
                <p n="[Local Organisation].[CAB].[Member].&amp;[Merthyr Tydfil (member)]&amp;[Wales]"/>
                <p n="[Local Organisation].[CAB].[Government Region].&amp;[Wales]"/>
              </i>
              <i n="[Local Organisation].[CAB].[Bureau].&amp;[Abergavenny Citizens Advice Bureau]&amp;[Monmouthshire County (member)]&amp;[Wales]" c="Abergavenny Citizens Advice Bureau">
                <p n="[Local Organisation].[CAB].[Member].&amp;[Monmouthshire County (member)]&amp;[Wales]"/>
                <p n="[Local Organisation].[CAB].[Government Region].&amp;[Wales]"/>
              </i>
              <i n="[Local Organisation].[CAB].[Bureau].&amp;[Caldicot Citizens Advice Bureau]&amp;[Monmouthshire County (member)]&amp;[Wales]" c="Caldicot Citizens Advice Bureau">
                <p n="[Local Organisation].[CAB].[Member].&amp;[Monmouthshire County (member)]&amp;[Wales]"/>
                <p n="[Local Organisation].[CAB].[Government Region].&amp;[Wales]"/>
              </i>
              <i n="[Local Organisation].[CAB].[Bureau].&amp;[Chepstow Citizens Advice Bureau]&amp;[Monmouthshire County (member)]&amp;[Wales]" c="Chepstow Citizens Advice Bureau">
                <p n="[Local Organisation].[CAB].[Member].&amp;[Monmouthshire County (member)]&amp;[Wales]"/>
                <p n="[Local Organisation].[CAB].[Government Region].&amp;[Wales]"/>
              </i>
              <i n="[Local Organisation].[CAB].[Bureau].&amp;[Monmouth Citizens Advice Bureau]&amp;[Monmouthshire County (member)]&amp;[Wales]" c="Monmouth Citizens Advice Bureau">
                <p n="[Local Organisation].[CAB].[Member].&amp;[Monmouthshire County (member)]&amp;[Wales]"/>
                <p n="[Local Organisation].[CAB].[Government Region].&amp;[Wales]"/>
              </i>
              <i n="[Local Organisation].[CAB].[Bureau].&amp;[Newport Citizens Advice Bureau]&amp;[Newport (member)]&amp;[Wales]" c="Newport Citizens Advice Bureau">
                <p n="[Local Organisation].[CAB].[Member].&amp;[Newport (member)]&amp;[Wales]"/>
                <p n="[Local Organisation].[CAB].[Government Region].&amp;[Wales]"/>
              </i>
              <i n="[Local Organisation].[CAB].[Bureau].&amp;[Newport Resource Centre]&amp;[Newport (member)]&amp;[Wales]" c="Newport Resource Centre">
                <p n="[Local Organisation].[CAB].[Member].&amp;[Newport (member)]&amp;[Wales]"/>
                <p n="[Local Organisation].[CAB].[Government Region].&amp;[Wales]"/>
              </i>
              <i n="[Local Organisation].[CAB].[Bureau].&amp;[Pembrokeshire (Haverfordwest) CAB]&amp;[Pembrokeshire (member)]&amp;[Wales]" c="Pembrokeshire (Haverfordwest) CAB">
                <p n="[Local Organisation].[CAB].[Member].&amp;[Pembrokeshire (member)]&amp;[Wales]"/>
                <p n="[Local Organisation].[CAB].[Government Region].&amp;[Wales]"/>
              </i>
              <i n="[Local Organisation].[CAB].[Bureau].&amp;[Pembrokeshire (Pembroke Dock) CAB]&amp;[Pembrokeshire (member)]&amp;[Wales]" c="Pembrokeshire (Pembroke Dock) CAB">
                <p n="[Local Organisation].[CAB].[Member].&amp;[Pembrokeshire (member)]&amp;[Wales]"/>
                <p n="[Local Organisation].[CAB].[Government Region].&amp;[Wales]"/>
              </i>
              <i n="[Local Organisation].[CAB].[Bureau].&amp;[Powys CAB - Brecon]&amp;[Powys (member)]&amp;[Wales]" c="Powys CAB - Brecon">
                <p n="[Local Organisation].[CAB].[Member].&amp;[Powys (member)]&amp;[Wales]"/>
                <p n="[Local Organisation].[CAB].[Government Region].&amp;[Wales]"/>
              </i>
              <i n="[Local Organisation].[CAB].[Bureau].&amp;[Powys CAB - Newtown Advice Centre]&amp;[Powys (member)]&amp;[Wales]" c="Powys CAB - Newtown Advice Centre">
                <p n="[Local Organisation].[CAB].[Member].&amp;[Powys (member)]&amp;[Wales]"/>
                <p n="[Local Organisation].[CAB].[Government Region].&amp;[Wales]"/>
              </i>
              <i n="[Local Organisation].[CAB].[Bureau].&amp;[Powys CAB - Ystradgynlais]&amp;[Powys (member)]&amp;[Wales]" c="Powys CAB - Ystradgynlais">
                <p n="[Local Organisation].[CAB].[Member].&amp;[Powys (member)]&amp;[Wales]"/>
                <p n="[Local Organisation].[CAB].[Government Region].&amp;[Wales]"/>
              </i>
              <i n="[Local Organisation].[CAB].[Bureau].&amp;[Mountain Ash CAB]&amp;[Rhondda Cynon Taff (member)]&amp;[Wales]" c="Mountain Ash CAB">
                <p n="[Local Organisation].[CAB].[Member].&amp;[Rhondda Cynon Taff (member)]&amp;[Wales]"/>
                <p n="[Local Organisation].[CAB].[Government Region].&amp;[Wales]"/>
              </i>
              <i n="[Local Organisation].[CAB].[Bureau].&amp;[Pontypridd CAB]&amp;[Rhondda Cynon Taff (member)]&amp;[Wales]" c="Pontypridd CAB">
                <p n="[Local Organisation].[CAB].[Member].&amp;[Rhondda Cynon Taff (member)]&amp;[Wales]"/>
                <p n="[Local Organisation].[CAB].[Government Region].&amp;[Wales]"/>
              </i>
              <i n="[Local Organisation].[CAB].[Bureau].&amp;[Rhondda Taff Citizens Advice Bureau]&amp;[Rhondda Taff (member)]&amp;[Wales]" c="Rhondda Taff Citizens Advice Bureau">
                <p n="[Local Organisation].[CAB].[Member].&amp;[Rhondda Taff (member)]&amp;[Wales]"/>
                <p n="[Local Organisation].[CAB].[Government Region].&amp;[Wales]"/>
              </i>
              <i n="[Local Organisation].[CAB].[Bureau].&amp;[Swansea Neath Port Talbot CAB]&amp;[Swansea Neath Port Talbot (member)]&amp;[Wales]" c="Swansea Neath Port Talbot CAB">
                <p n="[Local Organisation].[CAB].[Member].&amp;[Swansea Neath Port Talbot (member)]&amp;[Wales]"/>
                <p n="[Local Organisation].[CAB].[Government Region].&amp;[Wales]"/>
              </i>
              <i n="[Local Organisation].[CAB].[Bureau].&amp;[Torfaen Citizens Advice Bureau (Cwmbran)]&amp;[Torfaen (member)]&amp;[Wales]" c="Torfaen Citizens Advice Bureau (Cwmbran)">
                <p n="[Local Organisation].[CAB].[Member].&amp;[Torfaen (member)]&amp;[Wales]"/>
                <p n="[Local Organisation].[CAB].[Government Region].&amp;[Wales]"/>
              </i>
              <i n="[Local Organisation].[CAB].[Bureau].&amp;[Torfaen Citizens Advice Bureau (Pontypool)]&amp;[Torfaen (member)]&amp;[Wales]" c="Torfaen Citizens Advice Bureau (Pontypool)">
                <p n="[Local Organisation].[CAB].[Member].&amp;[Torfaen (member)]&amp;[Wales]"/>
                <p n="[Local Organisation].[CAB].[Government Region].&amp;[Wales]"/>
              </i>
              <i n="[Local Organisation].[CAB].[Bureau].&amp;[Wrexham &amp; District Citizens Advice Bureaux]&amp;[Wrexham &amp; District (member)]&amp;[Wales]" c="Wrexham &amp; District Citizens Advice Bureaux">
                <p n="[Local Organisation].[CAB].[Member].&amp;[Wrexham &amp; District (member)]&amp;[Wales]"/>
                <p n="[Local Organisation].[CAB].[Government Region].&amp;[Wales]"/>
              </i>
              <i n="[Local Organisation].[CAB].[Bureau].&amp;[Bedworth Citizens Advice Bureau]&amp;[Bedworth, Rugby and Nuneaton (member)]&amp;[West Midlands]" c="Bedworth Citizens Advice Bureau">
                <p n="[Local Organisation].[CAB].[Member].&amp;[Bedworth, Rugby and Nuneaton (member)]&amp;[West Midlands]"/>
                <p n="[Local Organisation].[CAB].[Government Region].&amp;[West Midlands]"/>
              </i>
              <i n="[Local Organisation].[CAB].[Bureau].&amp;[Nuneaton Citizens Advice Bureau]&amp;[Bedworth, Rugby and Nuneaton (member)]&amp;[West Midlands]" c="Nuneaton Citizens Advice Bureau">
                <p n="[Local Organisation].[CAB].[Member].&amp;[Bedworth, Rugby and Nuneaton (member)]&amp;[West Midlands]"/>
                <p n="[Local Organisation].[CAB].[Government Region].&amp;[West Midlands]"/>
              </i>
              <i n="[Local Organisation].[CAB].[Bureau].&amp;[Rugby Citizens Advice Bureau]&amp;[Bedworth, Rugby and Nuneaton (member)]&amp;[West Midlands]" c="Rugby Citizens Advice Bureau">
                <p n="[Local Organisation].[CAB].[Member].&amp;[Bedworth, Rugby and Nuneaton (member)]&amp;[West Midlands]"/>
                <p n="[Local Organisation].[CAB].[Government Region].&amp;[West Midlands]"/>
              </i>
              <i n="[Local Organisation].[CAB].[Bureau].&amp;[Tamworth CAB]&amp;[Bedworth, Rugby and Nuneaton (member)]&amp;[West Midlands]" c="Tamworth CAB">
                <p n="[Local Organisation].[CAB].[Member].&amp;[Bedworth, Rugby and Nuneaton (member)]&amp;[West Midlands]"/>
                <p n="[Local Organisation].[CAB].[Government Region].&amp;[West Midlands]"/>
              </i>
              <i n="[Local Organisation].[CAB].[Bureau].&amp;[Birmingham (City Centre) CAB]&amp;[Birmingham (member)]&amp;[West Midlands]" c="Birmingham (City Centre) CAB">
                <p n="[Local Organisation].[CAB].[Member].&amp;[Birmingham (member)]&amp;[West Midlands]"/>
                <p n="[Local Organisation].[CAB].[Government Region].&amp;[West Midlands]"/>
              </i>
              <i n="[Local Organisation].[CAB].[Bureau].&amp;[Birmingham (County Court Welfare Office) CAB]&amp;[Birmingham (member)]&amp;[West Midlands]" c="Birmingham (County Court Welfare Office) CAB">
                <p n="[Local Organisation].[CAB].[Member].&amp;[Birmingham (member)]&amp;[West Midlands]"/>
                <p n="[Local Organisation].[CAB].[Government Region].&amp;[West Midlands]"/>
              </i>
              <i n="[Local Organisation].[CAB].[Bureau].&amp;[Birmingham (Kingstanding) CAB]&amp;[Birmingham (member)]&amp;[West Midlands]" c="Birmingham (Kingstanding) CAB">
                <p n="[Local Organisation].[CAB].[Member].&amp;[Birmingham (member)]&amp;[West Midlands]"/>
                <p n="[Local Organisation].[CAB].[Government Region].&amp;[West Midlands]"/>
              </i>
              <i n="[Local Organisation].[CAB].[Bureau].&amp;[Birmingham (Northfield) CAB]&amp;[Birmingham (member)]&amp;[West Midlands]" c="Birmingham (Northfield) CAB">
                <p n="[Local Organisation].[CAB].[Member].&amp;[Birmingham (member)]&amp;[West Midlands]"/>
                <p n="[Local Organisation].[CAB].[Government Region].&amp;[West Midlands]"/>
              </i>
              <i n="[Local Organisation].[CAB].[Bureau].&amp;[Birmingham (Tyseley) CAB]&amp;[Birmingham (member)]&amp;[West Midlands]" c="Birmingham (Tyseley) CAB">
                <p n="[Local Organisation].[CAB].[Member].&amp;[Birmingham (member)]&amp;[West Midlands]"/>
                <p n="[Local Organisation].[CAB].[Government Region].&amp;[West Midlands]"/>
              </i>
              <i n="[Local Organisation].[CAB].[Bureau].&amp;[Bromsgrove &amp; District CAB]&amp;[Bromsgrove &amp; District (member)]&amp;[West Midlands]" c="Bromsgrove &amp; District CAB">
                <p n="[Local Organisation].[CAB].[Member].&amp;[Bromsgrove &amp; District (member)]&amp;[West Midlands]"/>
                <p n="[Local Organisation].[CAB].[Government Region].&amp;[West Midlands]"/>
              </i>
              <i n="[Local Organisation].[CAB].[Bureau].&amp;[Cheadle]&amp;[Cheadle (member)]&amp;[West Midlands]" c="Cheadle">
                <p n="[Local Organisation].[CAB].[Member].&amp;[Cheadle (member)]&amp;[West Midlands]"/>
                <p n="[Local Organisation].[CAB].[Government Region].&amp;[West Midlands]"/>
              </i>
              <i n="[Local Organisation].[CAB].[Bureau].&amp;[Coventry Citizens Advice Bureau]&amp;[Coventry (member)]&amp;[West Midlands]" c="Coventry Citizens Advice Bureau">
                <p n="[Local Organisation].[CAB].[Member].&amp;[Coventry (member)]&amp;[West Midlands]"/>
                <p n="[Local Organisation].[CAB].[Government Region].&amp;[West Midlands]"/>
              </i>
              <i n="[Local Organisation].[CAB].[Bureau].&amp;[Dudley (Brierley Hill) CAB]&amp;[Dudley District (member)]&amp;[West Midlands]" c="Dudley (Brierley Hill) CAB">
                <p n="[Local Organisation].[CAB].[Member].&amp;[Dudley District (member)]&amp;[West Midlands]"/>
                <p n="[Local Organisation].[CAB].[Government Region].&amp;[West Midlands]"/>
              </i>
              <i n="[Local Organisation].[CAB].[Bureau].&amp;[Dudley (Halesowen) CAB]&amp;[Dudley District (member)]&amp;[West Midlands]" c="Dudley (Halesowen) CAB">
                <p n="[Local Organisation].[CAB].[Member].&amp;[Dudley District (member)]&amp;[West Midlands]"/>
                <p n="[Local Organisation].[CAB].[Government Region].&amp;[West Midlands]"/>
              </i>
              <i n="[Local Organisation].[CAB].[Bureau].&amp;[Dudley (Stourbridge) CAB]&amp;[Dudley District (member)]&amp;[West Midlands]" c="Dudley (Stourbridge) CAB">
                <p n="[Local Organisation].[CAB].[Member].&amp;[Dudley District (member)]&amp;[West Midlands]"/>
                <p n="[Local Organisation].[CAB].[Government Region].&amp;[West Midlands]"/>
              </i>
              <i n="[Local Organisation].[CAB].[Bureau].&amp;[Dudley CAB]&amp;[Dudley District (member)]&amp;[West Midlands]" c="Dudley CAB">
                <p n="[Local Organisation].[CAB].[Member].&amp;[Dudley District (member)]&amp;[West Midlands]"/>
                <p n="[Local Organisation].[CAB].[Government Region].&amp;[West Midlands]"/>
              </i>
              <i n="[Local Organisation].[CAB].[Bureau].&amp;[Dudley District Projects Office]&amp;[Dudley District (member)]&amp;[West Midlands]" c="Dudley District Projects Office">
                <p n="[Local Organisation].[CAB].[Member].&amp;[Dudley District (member)]&amp;[West Midlands]"/>
                <p n="[Local Organisation].[CAB].[Government Region].&amp;[West Midlands]"/>
              </i>
              <i n="[Local Organisation].[CAB].[Bureau].&amp;[East Staffordshire CAB]&amp;[East Staffordshire (member)]&amp;[West Midlands]" c="East Staffordshire CAB">
                <p n="[Local Organisation].[CAB].[Member].&amp;[East Staffordshire (member)]&amp;[West Midlands]"/>
                <p n="[Local Organisation].[CAB].[Government Region].&amp;[West Midlands]"/>
              </i>
              <i n="[Local Organisation].[CAB].[Bureau].&amp;[Herefordshire (Hereford) CAB]&amp;[Herefordshire (member)]&amp;[West Midlands]" c="Herefordshire (Hereford) CAB">
                <p n="[Local Organisation].[CAB].[Member].&amp;[Herefordshire (member)]&amp;[West Midlands]"/>
                <p n="[Local Organisation].[CAB].[Government Region].&amp;[West Midlands]"/>
              </i>
              <i n="[Local Organisation].[CAB].[Bureau].&amp;[Herefordshire (Leominster) CAB]&amp;[Herefordshire (member)]&amp;[West Midlands]" c="Herefordshire (Leominster) CAB">
                <p n="[Local Organisation].[CAB].[Member].&amp;[Herefordshire (member)]&amp;[West Midlands]"/>
                <p n="[Local Organisation].[CAB].[Government Region].&amp;[West Midlands]"/>
              </i>
              <i n="[Local Organisation].[CAB].[Bureau].&amp;[Leek Citizens Advice Bureau]&amp;[Leek Citizens Advice Bureau (member)]&amp;[West Midlands]" c="Leek Citizens Advice Bureau">
                <p n="[Local Organisation].[CAB].[Member].&amp;[Leek Citizens Advice Bureau (member)]&amp;[West Midlands]"/>
                <p n="[Local Organisation].[CAB].[Government Region].&amp;[West Midlands]"/>
              </i>
              <i n="[Local Organisation].[CAB].[Bureau].&amp;[North Warwickshire Citizens Advice Bureau]&amp;[North Warwickshire (member)]&amp;[West Midlands]" c="North Warwickshire Citizens Advice Bureau">
                <p n="[Local Organisation].[CAB].[Member].&amp;[North Warwickshire (member)]&amp;[West Midlands]"/>
                <p n="[Local Organisation].[CAB].[Government Region].&amp;[West Midlands]"/>
              </i>
              <i n="[Local Organisation].[CAB].[Bureau].&amp;[Redditch Citizens Advice Bureau]&amp;[Redditch (member)]&amp;[West Midlands]" c="Redditch Citizens Advice Bureau">
                <p n="[Local Organisation].[CAB].[Member].&amp;[Redditch (member)]&amp;[West Midlands]"/>
                <p n="[Local Organisation].[CAB].[Government Region].&amp;[West Midlands]"/>
              </i>
              <i n="[Local Organisation].[CAB].[Bureau].&amp;[Sandwell (Cradley Heath) CAB]&amp;[Sandwell (member)]&amp;[West Midlands]" c="Sandwell (Cradley Heath) CAB">
                <p n="[Local Organisation].[CAB].[Member].&amp;[Sandwell (member)]&amp;[West Midlands]"/>
                <p n="[Local Organisation].[CAB].[Government Region].&amp;[West Midlands]"/>
              </i>
              <i n="[Local Organisation].[CAB].[Bureau].&amp;[Sandwell (Oldbury) CAB]&amp;[Sandwell (member)]&amp;[West Midlands]" c="Sandwell (Oldbury) CAB">
                <p n="[Local Organisation].[CAB].[Member].&amp;[Sandwell (member)]&amp;[West Midlands]"/>
                <p n="[Local Organisation].[CAB].[Government Region].&amp;[West Midlands]"/>
              </i>
              <i n="[Local Organisation].[CAB].[Bureau].&amp;[Sandwell (Outreach Project Office)]&amp;[Sandwell (member)]&amp;[West Midlands]" c="Sandwell (Outreach Project Office)">
                <p n="[Local Organisation].[CAB].[Member].&amp;[Sandwell (member)]&amp;[West Midlands]"/>
                <p n="[Local Organisation].[CAB].[Government Region].&amp;[West Midlands]"/>
              </i>
              <i n="[Local Organisation].[CAB].[Bureau].&amp;[Sandwell (Smethwick) CAB]&amp;[Sandwell (member)]&amp;[West Midlands]" c="Sandwell (Smethwick) CAB">
                <p n="[Local Organisation].[CAB].[Member].&amp;[Sandwell (member)]&amp;[West Midlands]"/>
                <p n="[Local Organisation].[CAB].[Government Region].&amp;[West Midlands]"/>
              </i>
              <i n="[Local Organisation].[CAB].[Bureau].&amp;[Sandwell (Telephone Bureau)]&amp;[Sandwell (member)]&amp;[West Midlands]" c="Sandwell (Telephone Bureau)">
                <p n="[Local Organisation].[CAB].[Member].&amp;[Sandwell (member)]&amp;[West Midlands]"/>
                <p n="[Local Organisation].[CAB].[Government Region].&amp;[West Midlands]"/>
              </i>
              <i n="[Local Organisation].[CAB].[Bureau].&amp;[Sandwell (Tipton) CAB]&amp;[Sandwell (member)]&amp;[West Midlands]" c="Sandwell (Tipton) CAB">
                <p n="[Local Organisation].[CAB].[Member].&amp;[Sandwell (member)]&amp;[West Midlands]"/>
                <p n="[Local Organisation].[CAB].[Government Region].&amp;[West Midlands]"/>
              </i>
              <i n="[Local Organisation].[CAB].[Bureau].&amp;[Sandwell (Wednesbury) CAB]&amp;[Sandwell (member)]&amp;[West Midlands]" c="Sandwell (Wednesbury) CAB">
                <p n="[Local Organisation].[CAB].[Member].&amp;[Sandwell (member)]&amp;[West Midlands]"/>
                <p n="[Local Organisation].[CAB].[Government Region].&amp;[West Midlands]"/>
              </i>
              <i n="[Local Organisation].[CAB].[Bureau].&amp;[Sandwell (West Bromwich) CAB]&amp;[Sandwell (member)]&amp;[West Midlands]" c="Sandwell (West Bromwich) CAB">
                <p n="[Local Organisation].[CAB].[Member].&amp;[Sandwell (member)]&amp;[West Midlands]"/>
                <p n="[Local Organisation].[CAB].[Government Region].&amp;[West Midlands]"/>
              </i>
              <i n="[Local Organisation].[CAB].[Bureau].&amp;[Shropshire (Oswestry)]&amp;[Shropshire (member)]&amp;[West Midlands]" c="Shropshire (Oswestry)">
                <p n="[Local Organisation].[CAB].[Member].&amp;[Shropshire (member)]&amp;[West Midlands]"/>
                <p n="[Local Organisation].[CAB].[Government Region].&amp;[West Midlands]"/>
              </i>
              <i n="[Local Organisation].[CAB].[Bureau].&amp;[Shropshire (Projects Office)]&amp;[Shropshire (member)]&amp;[West Midlands]" c="Shropshire (Projects Office)">
                <p n="[Local Organisation].[CAB].[Member].&amp;[Shropshire (member)]&amp;[West Midlands]"/>
                <p n="[Local Organisation].[CAB].[Government Region].&amp;[West Midlands]"/>
              </i>
              <i n="[Local Organisation].[CAB].[Bureau].&amp;[Shropshire (Shrewsbury)]&amp;[Shropshire (member)]&amp;[West Midlands]" c="Shropshire (Shrewsbury)">
                <p n="[Local Organisation].[CAB].[Member].&amp;[Shropshire (member)]&amp;[West Midlands]"/>
                <p n="[Local Organisation].[CAB].[Government Region].&amp;[West Midlands]"/>
              </i>
              <i n="[Local Organisation].[CAB].[Bureau].&amp;[Shropshire (South Shropshire)]&amp;[Shropshire (member)]&amp;[West Midlands]" c="Shropshire (South Shropshire)">
                <p n="[Local Organisation].[CAB].[Member].&amp;[Shropshire (member)]&amp;[West Midlands]"/>
                <p n="[Local Organisation].[CAB].[Government Region].&amp;[West Midlands]"/>
              </i>
              <i n="[Local Organisation].[CAB].[Bureau].&amp;[Solihull Borough (Chelmsley Wood)]&amp;[Solihull Borough (member)]&amp;[West Midlands]" c="Solihull Borough (Chelmsley Wood)">
                <p n="[Local Organisation].[CAB].[Member].&amp;[Solihull Borough (member)]&amp;[West Midlands]"/>
                <p n="[Local Organisation].[CAB].[Government Region].&amp;[West Midlands]"/>
              </i>
              <i n="[Local Organisation].[CAB].[Bureau].&amp;[Solihull Borough (Shirley)]&amp;[Solihull Borough (member)]&amp;[West Midlands]" c="Solihull Borough (Shirley)">
                <p n="[Local Organisation].[CAB].[Member].&amp;[Solihull Borough (member)]&amp;[West Midlands]"/>
                <p n="[Local Organisation].[CAB].[Government Region].&amp;[West Midlands]"/>
              </i>
              <i n="[Local Organisation].[CAB].[Bureau].&amp;[Solihull Borough (Solihull)]&amp;[Solihull Borough (member)]&amp;[West Midlands]" c="Solihull Borough (Solihull)">
                <p n="[Local Organisation].[CAB].[Member].&amp;[Solihull Borough (member)]&amp;[West Midlands]"/>
                <p n="[Local Organisation].[CAB].[Government Region].&amp;[West Midlands]"/>
              </i>
              <i n="[Local Organisation].[CAB].[Bureau].&amp;[Burntwood CAB]&amp;[South East Staffordshire (member)]&amp;[West Midlands]" c="Burntwood CAB">
                <p n="[Local Organisation].[CAB].[Member].&amp;[South East Staffordshire (member)]&amp;[West Midlands]"/>
                <p n="[Local Organisation].[CAB].[Government Region].&amp;[West Midlands]"/>
              </i>
              <i n="[Local Organisation].[CAB].[Bureau].&amp;[Lichfield CAB]&amp;[South East Staffordshire (member)]&amp;[West Midlands]" c="Lichfield CAB">
                <p n="[Local Organisation].[CAB].[Member].&amp;[South East Staffordshire (member)]&amp;[West Midlands]"/>
                <p n="[Local Organisation].[CAB].[Government Region].&amp;[West Midlands]"/>
              </i>
              <i n="[Local Organisation].[CAB].[Bureau].&amp;[South Staffordshire Citizens Advice Bureau]&amp;[South Staffordshire (member)]&amp;[West Midlands]" c="South Staffordshire Citizens Advice Bureau">
                <p n="[Local Organisation].[CAB].[Member].&amp;[South Staffordshire (member)]&amp;[West Midlands]"/>
                <p n="[Local Organisation].[CAB].[Government Region].&amp;[West Midlands]"/>
              </i>
              <i n="[Local Organisation].[CAB].[Bureau].&amp;[Malvern Hills District CAB]&amp;[South Worcestershire (member)]&amp;[West Midlands]" c="Malvern Hills District CAB">
                <p n="[Local Organisation].[CAB].[Member].&amp;[South Worcestershire (member)]&amp;[West Midlands]"/>
                <p n="[Local Organisation].[CAB].[Government Region].&amp;[West Midlands]"/>
              </i>
              <i n="[Local Organisation].[CAB].[Bureau].&amp;[Wychavon CAB]&amp;[South Worcestershire (member)]&amp;[West Midlands]" c="Wychavon CAB">
                <p n="[Local Organisation].[CAB].[Member].&amp;[South Worcestershire (member)]&amp;[West Midlands]"/>
                <p n="[Local Organisation].[CAB].[Government Region].&amp;[West Midlands]"/>
              </i>
              <i n="[Local Organisation].[CAB].[Bureau].&amp;[Biddulph CAB]&amp;[Staffordshire North &amp; Stoke on Trent (member)]&amp;[West Midlands]" c="Biddulph CAB">
                <p n="[Local Organisation].[CAB].[Member].&amp;[Staffordshire North &amp; Stoke on Trent (member)]&amp;[West Midlands]"/>
                <p n="[Local Organisation].[CAB].[Government Region].&amp;[West Midlands]"/>
              </i>
              <i n="[Local Organisation].[CAB].[Bureau].&amp;[Newcastle Under Lyme CAB]&amp;[Staffordshire North &amp; Stoke on Trent (member)]&amp;[West Midlands]" c="Newcastle Under Lyme CAB">
                <p n="[Local Organisation].[CAB].[Member].&amp;[Staffordshire North &amp; Stoke on Trent (member)]&amp;[West Midlands]"/>
                <p n="[Local Organisation].[CAB].[Government Region].&amp;[West Midlands]"/>
              </i>
              <i n="[Local Organisation].[CAB].[Bureau].&amp;[Stoke on Trent District CAB]&amp;[Staffordshire North &amp; Stoke on Trent (member)]&amp;[West Midlands]" c="Stoke on Trent District CAB">
                <p n="[Local Organisation].[CAB].[Member].&amp;[Staffordshire North &amp; Stoke on Trent (member)]&amp;[West Midlands]"/>
                <p n="[Local Organisation].[CAB].[Government Region].&amp;[West Midlands]"/>
              </i>
              <i n="[Local Organisation].[CAB].[Bureau].&amp;[Staffordshire SW (Cannock)]&amp;[Staffordshire SW (member)]&amp;[West Midlands]" c="Staffordshire SW (Cannock)">
                <p n="[Local Organisation].[CAB].[Member].&amp;[Staffordshire SW (member)]&amp;[West Midlands]"/>
                <p n="[Local Organisation].[CAB].[Government Region].&amp;[West Midlands]"/>
              </i>
              <i n="[Local Organisation].[CAB].[Bureau].&amp;[Staffordshire SW (Rugeley)]&amp;[Staffordshire SW (member)]&amp;[West Midlands]" c="Staffordshire SW (Rugeley)">
                <p n="[Local Organisation].[CAB].[Member].&amp;[Staffordshire SW (member)]&amp;[West Midlands]"/>
                <p n="[Local Organisation].[CAB].[Government Region].&amp;[West Midlands]"/>
              </i>
              <i n="[Local Organisation].[CAB].[Bureau].&amp;[Staffordshire SW (Stafford)]&amp;[Staffordshire SW (member)]&amp;[West Midlands]" c="Staffordshire SW (Stafford)">
                <p n="[Local Organisation].[CAB].[Member].&amp;[Staffordshire SW (member)]&amp;[West Midlands]"/>
                <p n="[Local Organisation].[CAB].[Government Region].&amp;[West Midlands]"/>
              </i>
              <i n="[Local Organisation].[CAB].[Bureau].&amp;[Staffordshire SW (Stone)]&amp;[Staffordshire SW (member)]&amp;[West Midlands]" c="Staffordshire SW (Stone)">
                <p n="[Local Organisation].[CAB].[Member].&amp;[Staffordshire SW (member)]&amp;[West Midlands]"/>
                <p n="[Local Organisation].[CAB].[Government Region].&amp;[West Midlands]"/>
              </i>
              <i n="[Local Organisation].[CAB].[Bureau].&amp;[Staffordshire SW (Telephone Hub)]&amp;[Staffordshire SW (member)]&amp;[West Midlands]" c="Staffordshire SW (Telephone Hub)">
                <p n="[Local Organisation].[CAB].[Member].&amp;[Staffordshire SW (member)]&amp;[West Midlands]"/>
                <p n="[Local Organisation].[CAB].[Government Region].&amp;[West Midlands]"/>
              </i>
              <i n="[Local Organisation].[CAB].[Bureau].&amp;[Stratford upon Avon &amp; District CAB]&amp;[Stratford upon Avon &amp; District (member)]&amp;[West Midlands]" c="Stratford upon Avon &amp; District CAB">
                <p n="[Local Organisation].[CAB].[Member].&amp;[Stratford upon Avon &amp; District (member)]&amp;[West Midlands]"/>
                <p n="[Local Organisation].[CAB].[Government Region].&amp;[West Midlands]"/>
              </i>
              <i n="[Local Organisation].[CAB].[Bureau].&amp;[Telford &amp; The Wrekin]&amp;[Telford &amp; The Wrekin (member)]&amp;[West Midlands]" c="Telford &amp; The Wrekin">
                <p n="[Local Organisation].[CAB].[Member].&amp;[Telford &amp; The Wrekin (member)]&amp;[West Midlands]"/>
                <p n="[Local Organisation].[CAB].[Government Region].&amp;[West Midlands]"/>
              </i>
              <i n="[Local Organisation].[CAB].[Bureau].&amp;[Walsall Citizens Advice Bureau]&amp;[Walsall (member)]&amp;[West Midlands]" c="Walsall Citizens Advice Bureau">
                <p n="[Local Organisation].[CAB].[Member].&amp;[Walsall (member)]&amp;[West Midlands]"/>
                <p n="[Local Organisation].[CAB].[Government Region].&amp;[West Midlands]"/>
              </i>
              <i n="[Local Organisation].[CAB].[Bureau].&amp;[Warwick District Citizens Advice Bureau]&amp;[Warwick District (member)]&amp;[West Midlands]" c="Warwick District Citizens Advice Bureau">
                <p n="[Local Organisation].[CAB].[Member].&amp;[Warwick District (member)]&amp;[West Midlands]"/>
                <p n="[Local Organisation].[CAB].[Government Region].&amp;[West Midlands]"/>
              </i>
              <i n="[Local Organisation].[CAB].[Bureau].&amp;[Wolverhampton District (Bilston) CAB]&amp;[Wolverhampton District (member)]&amp;[West Midlands]" c="Wolverhampton District (Bilston) CAB">
                <p n="[Local Organisation].[CAB].[Member].&amp;[Wolverhampton District (member)]&amp;[West Midlands]"/>
                <p n="[Local Organisation].[CAB].[Government Region].&amp;[West Midlands]"/>
              </i>
              <i n="[Local Organisation].[CAB].[Bureau].&amp;[Wolverhampton District (City Centre) CAB]&amp;[Wolverhampton District (member)]&amp;[West Midlands]" c="Wolverhampton District (City Centre) CAB">
                <p n="[Local Organisation].[CAB].[Member].&amp;[Wolverhampton District (member)]&amp;[West Midlands]"/>
                <p n="[Local Organisation].[CAB].[Government Region].&amp;[West Midlands]"/>
              </i>
              <i n="[Local Organisation].[CAB].[Bureau].&amp;[Wolverhampton District (Low Hill) CAB]&amp;[Wolverhampton District (member)]&amp;[West Midlands]" c="Wolverhampton District (Low Hill) CAB">
                <p n="[Local Organisation].[CAB].[Member].&amp;[Wolverhampton District (member)]&amp;[West Midlands]"/>
                <p n="[Local Organisation].[CAB].[Government Region].&amp;[West Midlands]"/>
              </i>
              <i n="[Local Organisation].[CAB].[Bureau].&amp;[Worcester]&amp;[Worcester (member)]&amp;[West Midlands]" c="Worcester">
                <p n="[Local Organisation].[CAB].[Member].&amp;[Worcester (member)]&amp;[West Midlands]"/>
                <p n="[Local Organisation].[CAB].[Government Region].&amp;[West Midlands]"/>
              </i>
              <i n="[Local Organisation].[CAB].[Bureau].&amp;[Wyre Forest Citizens Advice Bureau]&amp;[Wyre Forest (member)]&amp;[West Midlands]" c="Wyre Forest Citizens Advice Bureau">
                <p n="[Local Organisation].[CAB].[Member].&amp;[Wyre Forest (member)]&amp;[West Midlands]"/>
                <p n="[Local Organisation].[CAB].[Government Region].&amp;[West Midlands]"/>
              </i>
              <i n="[Local Organisation].[CAB].[Bureau].&amp;[Barnsley Citizens Advice Bureau]&amp;[Barnsley (member)]&amp;[Yorkshire &amp; the Humber]" c="Barnsley Citizens Advice Bureau">
                <p n="[Local Organisation].[CAB].[Member].&amp;[Barnsley (member)]&amp;[Yorkshire &amp; the Humber]"/>
                <p n="[Local Organisation].[CAB].[Government Region].&amp;[Yorkshire &amp; the Humber]"/>
              </i>
              <i n="[Local Organisation].[CAB].[Bureau].&amp;[Bradford Citizens Advice Bureau]&amp;[Bradford and Airedale (member)]&amp;[Yorkshire &amp; the Humber]" c="Bradford Citizens Advice Bureau">
                <p n="[Local Organisation].[CAB].[Member].&amp;[Bradford and Airedale (member)]&amp;[Yorkshire &amp; the Humber]"/>
                <p n="[Local Organisation].[CAB].[Government Region].&amp;[Yorkshire &amp; the Humber]"/>
              </i>
              <i n="[Local Organisation].[CAB].[Bureau].&amp;[Citizens Advice Bradford &amp; Airedale]&amp;[Bradford and Airedale (member)]&amp;[Yorkshire &amp; the Humber]" c="Citizens Advice Bradford &amp; Airedale">
                <p n="[Local Organisation].[CAB].[Member].&amp;[Bradford and Airedale (member)]&amp;[Yorkshire &amp; the Humber]"/>
                <p n="[Local Organisation].[CAB].[Government Region].&amp;[Yorkshire &amp; the Humber]"/>
              </i>
              <i n="[Local Organisation].[CAB].[Bureau].&amp;[Keighley Citizens Advice Bureau]&amp;[Bradford and Airedale (member)]&amp;[Yorkshire &amp; the Humber]" c="Keighley Citizens Advice Bureau">
                <p n="[Local Organisation].[CAB].[Member].&amp;[Bradford and Airedale (member)]&amp;[Yorkshire &amp; the Humber]"/>
                <p n="[Local Organisation].[CAB].[Government Region].&amp;[Yorkshire &amp; the Humber]"/>
              </i>
              <i n="[Local Organisation].[CAB].[Bureau].&amp;[Shipley Citizens Advice Bureau]&amp;[Bradford and Airedale (member)]&amp;[Yorkshire &amp; the Humber]" c="Shipley Citizens Advice Bureau">
                <p n="[Local Organisation].[CAB].[Member].&amp;[Bradford and Airedale (member)]&amp;[Yorkshire &amp; the Humber]"/>
                <p n="[Local Organisation].[CAB].[Government Region].&amp;[Yorkshire &amp; the Humber]"/>
              </i>
              <i n="[Local Organisation].[CAB].[Bureau].&amp;[Elland Citizens Advice Bureau]&amp;[Calderdale District (member)]&amp;[Yorkshire &amp; the Humber]" c="Elland Citizens Advice Bureau">
                <p n="[Local Organisation].[CAB].[Member].&amp;[Calderdale District (member)]&amp;[Yorkshire &amp; the Humber]"/>
                <p n="[Local Organisation].[CAB].[Government Region].&amp;[Yorkshire &amp; the Humber]"/>
              </i>
              <i n="[Local Organisation].[CAB].[Bureau].&amp;[Halifax Citizens Advice Bureau]&amp;[Calderdale District (member)]&amp;[Yorkshire &amp; the Humber]" c="Halifax Citizens Advice Bureau">
                <p n="[Local Organisation].[CAB].[Member].&amp;[Calderdale District (member)]&amp;[Yorkshire &amp; the Humber]"/>
                <p n="[Local Organisation].[CAB].[Government Region].&amp;[Yorkshire &amp; the Humber]"/>
              </i>
              <i n="[Local Organisation].[CAB].[Bureau].&amp;[Hebden Bridge Citizens Advice Bureau]&amp;[Calderdale District (member)]&amp;[Yorkshire &amp; the Humber]" c="Hebden Bridge Citizens Advice Bureau">
                <p n="[Local Organisation].[CAB].[Member].&amp;[Calderdale District (member)]&amp;[Yorkshire &amp; the Humber]"/>
                <p n="[Local Organisation].[CAB].[Government Region].&amp;[Yorkshire &amp; the Humber]"/>
              </i>
              <i n="[Local Organisation].[CAB].[Bureau].&amp;[Todmorden Citizens Advice Bureau]&amp;[Calderdale District (member)]&amp;[Yorkshire &amp; the Humber]" c="Todmorden Citizens Advice Bureau">
                <p n="[Local Organisation].[CAB].[Member].&amp;[Calderdale District (member)]&amp;[Yorkshire &amp; the Humber]"/>
                <p n="[Local Organisation].[CAB].[Government Region].&amp;[Yorkshire &amp; the Humber]"/>
              </i>
              <i n="[Local Organisation].[CAB].[Bureau].&amp;[Chapeltown Citizens Advice Bureau]&amp;[Chapeltown (member)]&amp;[Yorkshire &amp; the Humber]" c="Chapeltown Citizens Advice Bureau">
                <p n="[Local Organisation].[CAB].[Member].&amp;[Chapeltown (member)]&amp;[Yorkshire &amp; the Humber]"/>
                <p n="[Local Organisation].[CAB].[Government Region].&amp;[Yorkshire &amp; the Humber]"/>
              </i>
              <i n="[Local Organisation].[CAB].[Bureau].&amp;[Craven CAB]&amp;[Craven and Harrogate Districts (member)]&amp;[Yorkshire &amp; the Humber]" c="Craven CAB">
                <p n="[Local Organisation].[CAB].[Member].&amp;[Craven and Harrogate Districts (member)]&amp;[Yorkshire &amp; the Humber]"/>
                <p n="[Local Organisation].[CAB].[Government Region].&amp;[Yorkshire &amp; the Humber]"/>
              </i>
              <i n="[Local Organisation].[CAB].[Bureau].&amp;[Harrogate CAB]&amp;[Craven and Harrogate Districts (member)]&amp;[Yorkshire &amp; the Humber]" c="Harrogate CAB">
                <p n="[Local Organisation].[CAB].[Member].&amp;[Craven and Harrogate Districts (member)]&amp;[Yorkshire &amp; the Humber]"/>
                <p n="[Local Organisation].[CAB].[Government Region].&amp;[Yorkshire &amp; the Humber]"/>
              </i>
              <i n="[Local Organisation].[CAB].[Bureau].&amp;[Ripon CAB]&amp;[Craven and Harrogate Districts (member)]&amp;[Yorkshire &amp; the Humber]" c="Ripon CAB">
                <p n="[Local Organisation].[CAB].[Member].&amp;[Craven and Harrogate Districts (member)]&amp;[Yorkshire &amp; the Humber]"/>
                <p n="[Local Organisation].[CAB].[Government Region].&amp;[Yorkshire &amp; the Humber]"/>
              </i>
              <i n="[Local Organisation].[CAB].[Bureau].&amp;[Grimsby, Cleethorpes &amp; District CAB]&amp;[Grimsby, Cleethorpes &amp; District (member)]&amp;[Yorkshire &amp; the Humber]" c="Grimsby, Cleethorpes &amp; District CAB">
                <p n="[Local Organisation].[CAB].[Member].&amp;[Grimsby, Cleethorpes &amp; District (member)]&amp;[Yorkshire &amp; the Humber]"/>
                <p n="[Local Organisation].[CAB].[Government Region].&amp;[Yorkshire &amp; the Humber]"/>
              </i>
              <i n="[Local Organisation].[CAB].[Bureau].&amp;[Hambleton CAB]&amp;[Hambleton &amp; Richmondshire (member)]&amp;[Yorkshire &amp; the Humber]" c="Hambleton CAB">
                <p n="[Local Organisation].[CAB].[Member].&amp;[Hambleton &amp; Richmondshire (member)]&amp;[Yorkshire &amp; the Humber]"/>
                <p n="[Local Organisation].[CAB].[Government Region].&amp;[Yorkshire &amp; the Humber]"/>
              </i>
              <i n="[Local Organisation].[CAB].[Bureau].&amp;[Richmondshire CAB]&amp;[Hambleton &amp; Richmondshire (member)]&amp;[Yorkshire &amp; the Humber]" c="Richmondshire CAB">
                <p n="[Local Organisation].[CAB].[Member].&amp;[Hambleton &amp; Richmondshire (member)]&amp;[Yorkshire &amp; the Humber]"/>
                <p n="[Local Organisation].[CAB].[Government Region].&amp;[Yorkshire &amp; the Humber]"/>
              </i>
              <i n="[Local Organisation].[CAB].[Bureau].&amp;[Selby District CAB]&amp;[Hambleton &amp; Richmondshire (member)]&amp;[Yorkshire &amp; the Humber]" c="Selby District CAB">
                <p n="[Local Organisation].[CAB].[Member].&amp;[Hambleton &amp; Richmondshire (member)]&amp;[Yorkshire &amp; the Humber]"/>
                <p n="[Local Organisation].[CAB].[Government Region].&amp;[Yorkshire &amp; the Humber]"/>
              </i>
              <i n="[Local Organisation].[CAB].[Bureau].&amp;[Hull and East Riding (Beverley) CAB]&amp;[Hull and East Riding (member)]&amp;[Yorkshire &amp; the Humber]" c="Hull and East Riding (Beverley) CAB">
                <p n="[Local Organisation].[CAB].[Member].&amp;[Hull and East Riding (member)]&amp;[Yorkshire &amp; the Humber]"/>
                <p n="[Local Organisation].[CAB].[Government Region].&amp;[Yorkshire &amp; the Humber]"/>
              </i>
              <i n="[Local Organisation].[CAB].[Bureau].&amp;[Hull and East Riding (Bridlington) CAB]&amp;[Hull and East Riding (member)]&amp;[Yorkshire &amp; the Humber]" c="Hull and East Riding (Bridlington) CAB">
                <p n="[Local Organisation].[CAB].[Member].&amp;[Hull and East Riding (member)]&amp;[Yorkshire &amp; the Humber]"/>
                <p n="[Local Organisation].[CAB].[Government Region].&amp;[Yorkshire &amp; the Humber]"/>
              </i>
              <i n="[Local Organisation].[CAB].[Bureau].&amp;[Hull and East Riding (Goole) CAB]&amp;[Hull and East Riding (member)]&amp;[Yorkshire &amp; the Humber]" c="Hull and East Riding (Goole) CAB">
                <p n="[Local Organisation].[CAB].[Member].&amp;[Hull and East Riding (member)]&amp;[Yorkshire &amp; the Humber]"/>
                <p n="[Local Organisation].[CAB].[Government Region].&amp;[Yorkshire &amp; the Humber]"/>
              </i>
              <i n="[Local Organisation].[CAB].[Bureau].&amp;[Hull and East Riding (Hull) CAB]&amp;[Hull and East Riding (member)]&amp;[Yorkshire &amp; the Humber]" c="Hull and East Riding (Hull) CAB">
                <p n="[Local Organisation].[CAB].[Member].&amp;[Hull and East Riding (member)]&amp;[Yorkshire &amp; the Humber]"/>
                <p n="[Local Organisation].[CAB].[Government Region].&amp;[Yorkshire &amp; the Humber]"/>
              </i>
              <i n="[Local Organisation].[CAB].[Bureau].&amp;[Kirklees - Dewsbury]&amp;[Kirklees (member)]&amp;[Yorkshire &amp; the Humber]" c="Kirklees - Dewsbury">
                <p n="[Local Organisation].[CAB].[Member].&amp;[Kirklees (member)]&amp;[Yorkshire &amp; the Humber]"/>
                <p n="[Local Organisation].[CAB].[Government Region].&amp;[Yorkshire &amp; the Humber]"/>
              </i>
              <i n="[Local Organisation].[CAB].[Bureau].&amp;[Kirklees - Huddersfield]&amp;[Kirklees (member)]&amp;[Yorkshire &amp; the Humber]" c="Kirklees - Huddersfield">
                <p n="[Local Organisation].[CAB].[Member].&amp;[Kirklees (member)]&amp;[Yorkshire &amp; the Humber]"/>
                <p n="[Local Organisation].[CAB].[Government Region].&amp;[Yorkshire &amp; the Humber]"/>
              </i>
              <i n="[Local Organisation].[CAB].[Bureau].&amp;[Leeds (City Centre) Citizens Advice Bureau]&amp;[Leeds (member)]&amp;[Yorkshire &amp; the Humber]" c="Leeds (City Centre) Citizens Advice Bureau">
                <p n="[Local Organisation].[CAB].[Member].&amp;[Leeds (member)]&amp;[Yorkshire &amp; the Humber]"/>
                <p n="[Local Organisation].[CAB].[Government Region].&amp;[Yorkshire &amp; the Humber]"/>
              </i>
              <i n="[Local Organisation].[CAB].[Bureau].&amp;[Leeds (North – Otley) Citizens Advice Bureau]&amp;[Leeds (member)]&amp;[Yorkshire &amp; the Humber]" c="Leeds (North – Otley) Citizens Advice Bureau">
                <p n="[Local Organisation].[CAB].[Member].&amp;[Leeds (member)]&amp;[Yorkshire &amp; the Humber]"/>
                <p n="[Local Organisation].[CAB].[Government Region].&amp;[Yorkshire &amp; the Humber]"/>
              </i>
              <i n="[Local Organisation].[CAB].[Bureau].&amp;[Mexborough &amp; District CAB]&amp;[Mexborough &amp; District (member)]&amp;[Yorkshire &amp; the Humber]" c="Mexborough &amp; District CAB">
                <p n="[Local Organisation].[CAB].[Member].&amp;[Mexborough &amp; District (member)]&amp;[Yorkshire &amp; the Humber]"/>
                <p n="[Local Organisation].[CAB].[Government Region].&amp;[Yorkshire &amp; the Humber]"/>
              </i>
              <i n="[Local Organisation].[CAB].[Bureau].&amp;[North East Doncaster CAB - The Hope Centre]&amp;[North East Doncaster (member)]&amp;[Yorkshire &amp; the Humber]" c="North East Doncaster CAB - The Hope Centre">
                <p n="[Local Organisation].[CAB].[Member].&amp;[North East Doncaster (member)]&amp;[Yorkshire &amp; the Humber]"/>
                <p n="[Local Organisation].[CAB].[Government Region].&amp;[Yorkshire &amp; the Humber]"/>
              </i>
              <i n="[Local Organisation].[CAB].[Bureau].&amp;[North East Doncaster CAB - Thorne]&amp;[North East Doncaster (member)]&amp;[Yorkshire &amp; the Humber]" c="North East Doncaster CAB - Thorne">
                <p n="[Local Organisation].[CAB].[Member].&amp;[North East Doncaster (member)]&amp;[Yorkshire &amp; the Humber]"/>
                <p n="[Local Organisation].[CAB].[Government Region].&amp;[Yorkshire &amp; the Humber]"/>
              </i>
              <i n="[Local Organisation].[CAB].[Bureau].&amp;[Rotherham &amp; District CAB]&amp;[Rotherham &amp; District (member)]&amp;[Yorkshire &amp; the Humber]" c="Rotherham &amp; District CAB">
                <p n="[Local Organisation].[CAB].[Member].&amp;[Rotherham &amp; District (member)]&amp;[Yorkshire &amp; the Humber]"/>
                <p n="[Local Organisation].[CAB].[Government Region].&amp;[Yorkshire &amp; the Humber]"/>
              </i>
              <i n="[Local Organisation].[CAB].[Bureau].&amp;[Ryedale Citizens Advice Bureau]&amp;[Ryedale (member)]&amp;[Yorkshire &amp; the Humber]" c="Ryedale Citizens Advice Bureau">
                <p n="[Local Organisation].[CAB].[Member].&amp;[Ryedale (member)]&amp;[Yorkshire &amp; the Humber]"/>
                <p n="[Local Organisation].[CAB].[Government Region].&amp;[Yorkshire &amp; the Humber]"/>
              </i>
              <i n="[Local Organisation].[CAB].[Bureau].&amp;[Scarborough CAB]&amp;[Scarborough &amp; District (member)]&amp;[Yorkshire &amp; the Humber]" c="Scarborough CAB">
                <p n="[Local Organisation].[CAB].[Member].&amp;[Scarborough &amp; District (member)]&amp;[Yorkshire &amp; the Humber]"/>
                <p n="[Local Organisation].[CAB].[Government Region].&amp;[Yorkshire &amp; the Humber]"/>
              </i>
              <i n="[Local Organisation].[CAB].[Bureau].&amp;[Whitby CAB]&amp;[Scarborough &amp; District (member)]&amp;[Yorkshire &amp; the Humber]" c="Whitby CAB">
                <p n="[Local Organisation].[CAB].[Member].&amp;[Scarborough &amp; District (member)]&amp;[Yorkshire &amp; the Humber]"/>
                <p n="[Local Organisation].[CAB].[Government Region].&amp;[Yorkshire &amp; the Humber]"/>
              </i>
              <i n="[Local Organisation].[CAB].[Bureau].&amp;[Scunthorpe &amp; District CAB]&amp;[Scunthorpe &amp; District (member)]&amp;[Yorkshire &amp; the Humber]" c="Scunthorpe &amp; District CAB">
                <p n="[Local Organisation].[CAB].[Member].&amp;[Scunthorpe &amp; District (member)]&amp;[Yorkshire &amp; the Humber]"/>
                <p n="[Local Organisation].[CAB].[Government Region].&amp;[Yorkshire &amp; the Humber]"/>
              </i>
              <i n="[Local Organisation].[CAB].[Bureau].&amp;[Sheffield - Bawtry Road]&amp;[Sheffield Citizens Advice (member)]&amp;[Yorkshire &amp; the Humber]" c="Sheffield - Bawtry Road">
                <p n="[Local Organisation].[CAB].[Member].&amp;[Sheffield Citizens Advice (member)]&amp;[Yorkshire &amp; the Humber]"/>
                <p n="[Local Organisation].[CAB].[Government Region].&amp;[Yorkshire &amp; the Humber]"/>
              </i>
              <i n="[Local Organisation].[CAB].[Bureau].&amp;[Sheffield - Broadfield Road]&amp;[Sheffield Citizens Advice (member)]&amp;[Yorkshire &amp; the Humber]" c="Sheffield - Broadfield Road">
                <p n="[Local Organisation].[CAB].[Member].&amp;[Sheffield Citizens Advice (member)]&amp;[Yorkshire &amp; the Humber]"/>
                <p n="[Local Organisation].[CAB].[Government Region].&amp;[Yorkshire &amp; the Humber]"/>
              </i>
              <i n="[Local Organisation].[CAB].[Bureau].&amp;[Sheffield - Duke Street]&amp;[Sheffield Citizens Advice (member)]&amp;[Yorkshire &amp; the Humber]" c="Sheffield - Duke Street">
                <p n="[Local Organisation].[CAB].[Member].&amp;[Sheffield Citizens Advice (member)]&amp;[Yorkshire &amp; the Humber]"/>
                <p n="[Local Organisation].[CAB].[Government Region].&amp;[Yorkshire &amp; the Humber]"/>
              </i>
              <i n="[Local Organisation].[CAB].[Bureau].&amp;[Sheffield - London Road]&amp;[Sheffield Citizens Advice (member)]&amp;[Yorkshire &amp; the Humber]" c="Sheffield - London Road">
                <p n="[Local Organisation].[CAB].[Member].&amp;[Sheffield Citizens Advice (member)]&amp;[Yorkshire &amp; the Humber]"/>
                <p n="[Local Organisation].[CAB].[Government Region].&amp;[Yorkshire &amp; the Humber]"/>
              </i>
              <i n="[Local Organisation].[CAB].[Bureau].&amp;[Sheffield - Mental Health Unit]&amp;[Sheffield Citizens Advice (member)]&amp;[Yorkshire &amp; the Humber]" c="Sheffield - Mental Health Unit">
                <p n="[Local Organisation].[CAB].[Member].&amp;[Sheffield Citizens Advice (member)]&amp;[Yorkshire &amp; the Humber]"/>
                <p n="[Local Organisation].[CAB].[Government Region].&amp;[Yorkshire &amp; the Humber]"/>
              </i>
              <i n="[Local Organisation].[CAB].[Bureau].&amp;[Sheffield - Proctor Place]&amp;[Sheffield Citizens Advice (member)]&amp;[Yorkshire &amp; the Humber]" c="Sheffield - Proctor Place">
                <p n="[Local Organisation].[CAB].[Member].&amp;[Sheffield Citizens Advice (member)]&amp;[Yorkshire &amp; the Humber]"/>
                <p n="[Local Organisation].[CAB].[Government Region].&amp;[Yorkshire &amp; the Humber]"/>
              </i>
              <i n="[Local Organisation].[CAB].[Bureau].&amp;[Sheffield - Spital Hill]&amp;[Sheffield Citizens Advice (member)]&amp;[Yorkshire &amp; the Humber]" c="Sheffield - Spital Hill">
                <p n="[Local Organisation].[CAB].[Member].&amp;[Sheffield Citizens Advice (member)]&amp;[Yorkshire &amp; the Humber]"/>
                <p n="[Local Organisation].[CAB].[Government Region].&amp;[Yorkshire &amp; the Humber]"/>
              </i>
              <i n="[Local Organisation].[CAB].[Bureau].&amp;[Sheffield - Stubbin Lane]&amp;[Sheffield Citizens Advice (member)]&amp;[Yorkshire &amp; the Humber]" c="Sheffield - Stubbin Lane">
                <p n="[Local Organisation].[CAB].[Member].&amp;[Sheffield Citizens Advice (member)]&amp;[Yorkshire &amp; the Humber]"/>
                <p n="[Local Organisation].[CAB].[Government Region].&amp;[Yorkshire &amp; the Humber]"/>
              </i>
              <i n="[Local Organisation].[CAB].[Bureau].&amp;[Sheffield – The Circle]&amp;[Sheffield Citizens Advice (member)]&amp;[Yorkshire &amp; the Humber]" c="Sheffield – The Circle">
                <p n="[Local Organisation].[CAB].[Member].&amp;[Sheffield Citizens Advice (member)]&amp;[Yorkshire &amp; the Humber]"/>
                <p n="[Local Organisation].[CAB].[Government Region].&amp;[Yorkshire &amp; the Humber]"/>
              </i>
              <i n="[Local Organisation].[CAB].[Bureau].&amp;[Sheffield - Woodhouse]&amp;[Sheffield Citizens Advice (member)]&amp;[Yorkshire &amp; the Humber]" c="Sheffield - Woodhouse">
                <p n="[Local Organisation].[CAB].[Member].&amp;[Sheffield Citizens Advice (member)]&amp;[Yorkshire &amp; the Humber]"/>
                <p n="[Local Organisation].[CAB].[Government Region].&amp;[Yorkshire &amp; the Humber]"/>
              </i>
              <i n="[Local Organisation].[CAB].[Bureau].&amp;[Sheffield - Wordsworth Avenue]&amp;[Sheffield Citizens Advice (member)]&amp;[Yorkshire &amp; the Humber]" c="Sheffield - Wordsworth Avenue">
                <p n="[Local Organisation].[CAB].[Member].&amp;[Sheffield Citizens Advice (member)]&amp;[Yorkshire &amp; the Humber]"/>
                <p n="[Local Organisation].[CAB].[Government Region].&amp;[Yorkshire &amp; the Humber]"/>
              </i>
              <i n="[Local Organisation].[CAB].[Bureau].&amp;[Wakefield Citizens Advice Bureau]&amp;[Wakefield (member)]&amp;[Yorkshire &amp; the Humber]" c="Wakefield Citizens Advice Bureau">
                <p n="[Local Organisation].[CAB].[Member].&amp;[Wakefield (member)]&amp;[Yorkshire &amp; the Humber]"/>
                <p n="[Local Organisation].[CAB].[Government Region].&amp;[Yorkshire &amp; the Humber]"/>
              </i>
              <i n="[Local Organisation].[CAB].[Bureau].&amp;[York &amp; District Citizens Advice Bureau]&amp;[York (member)]&amp;[Yorkshire &amp; the Humber]" c="York &amp; District Citizens Advice Bureau">
                <p n="[Local Organisation].[CAB].[Member].&amp;[York (member)]&amp;[Yorkshire &amp; the Humber]"/>
                <p n="[Local Organisation].[CAB].[Government Region].&amp;[Yorkshire &amp; the Humber]"/>
              </i>
              <i n="[Local Organisation].[CAB].[Bureau].&amp;[Advice Derbyshire]&amp;[Advice Derbyshire (member)]&amp;[East Midlands]" c="Advice Derbyshire" nd="1">
                <p n="[Local Organisation].[CAB].[Member].&amp;[Advice Derbyshire (member)]&amp;[East Midlands]"/>
                <p n="[Local Organisation].[CAB].[Government Region].&amp;[East Midlands]"/>
              </i>
              <i n="[Local Organisation].[CAB].[Bureau].&amp;[Attleborough Citizens Advice Bureau]&amp;[Yare Valley &amp; District (member)]&amp;[Eastern]" c="Attleborough Citizens Advice Bureau" nd="1">
                <p n="[Local Organisation].[CAB].[Member].&amp;[Yare Valley &amp; District (member)]&amp;[Eastern]"/>
                <p n="[Local Organisation].[CAB].[Government Region].&amp;[Eastern]"/>
              </i>
              <i n="[Local Organisation].[CAB].[Bureau].&amp;[Greenwich (Eltham)]&amp;[Greenwich District (member)]&amp;[London]" c="Greenwich (Eltham)" nd="1">
                <p n="[Local Organisation].[CAB].[Member].&amp;[Greenwich District (member)]&amp;[London]"/>
                <p n="[Local Organisation].[CAB].[Government Region].&amp;[London]"/>
              </i>
              <i n="[Local Organisation].[CAB].[Bureau].&amp;[Hillingdon Yiewsley CAB]&amp;[Hillingdon (member)]&amp;[London]" c="Hillingdon Yiewsley CAB" nd="1">
                <p n="[Local Organisation].[CAB].[Member].&amp;[Hillingdon (member)]&amp;[London]"/>
                <p n="[Local Organisation].[CAB].[Government Region].&amp;[London]"/>
              </i>
              <i n="[Local Organisation].[CAB].[Bureau].&amp;[Royal Courts of Justice (Irving Street)]&amp;[Royal Courts of Justice (member)]&amp;[London]" c="Royal Courts of Justice (Irving Street)" nd="1">
                <p n="[Local Organisation].[CAB].[Member].&amp;[Royal Courts of Justice (member)]&amp;[London]"/>
                <p n="[Local Organisation].[CAB].[Government Region].&amp;[London]"/>
              </i>
              <i n="[Local Organisation].[CAB].[Bureau].&amp;[Wandsworth (KLS)]&amp;[Wandsworth (member)]&amp;[London]" c="Wandsworth (KLS)" nd="1">
                <p n="[Local Organisation].[CAB].[Member].&amp;[Wandsworth (member)]&amp;[London]"/>
                <p n="[Local Organisation].[CAB].[Government Region].&amp;[London]"/>
              </i>
              <i n="[Local Organisation].[CAB].[Bureau].&amp;[Alnwick Citizens Advice Bureau]&amp;[Alnwick &amp; District (member)]&amp;[North East]" c="Alnwick Citizens Advice Bureau" nd="1">
                <p n="[Local Organisation].[CAB].[Member].&amp;[Alnwick &amp; District (member)]&amp;[North East]"/>
                <p n="[Local Organisation].[CAB].[Government Region].&amp;[North East]"/>
              </i>
              <i n="[Local Organisation].[CAB].[Bureau].&amp;[Amble Citizens Advice Bureau]&amp;[Alnwick &amp; District (member)]&amp;[North East]" c="Amble Citizens Advice Bureau" nd="1">
                <p n="[Local Organisation].[CAB].[Member].&amp;[Alnwick &amp; District (member)]&amp;[North East]"/>
                <p n="[Local Organisation].[CAB].[Government Region].&amp;[North East]"/>
              </i>
              <i n="[Local Organisation].[CAB].[Bureau].&amp;[Berwick Citizens Advice Bureau]&amp;[Berwick (member)]&amp;[North East]" c="Berwick Citizens Advice Bureau" nd="1">
                <p n="[Local Organisation].[CAB].[Member].&amp;[Berwick (member)]&amp;[North East]"/>
                <p n="[Local Organisation].[CAB].[Government Region].&amp;[North East]"/>
              </i>
              <i n="[Local Organisation].[CAB].[Bureau].&amp;[Blyth Valley CAB]&amp;[Blyth Valley (member)]&amp;[North East]" c="Blyth Valley CAB" nd="1">
                <p n="[Local Organisation].[CAB].[Member].&amp;[Blyth Valley (member)]&amp;[North East]"/>
                <p n="[Local Organisation].[CAB].[Government Region].&amp;[North East]"/>
              </i>
              <i n="[Local Organisation].[CAB].[Bureau].&amp;[Cramlington CAB]&amp;[Blyth Valley (member)]&amp;[North East]" c="Cramlington CAB" nd="1">
                <p n="[Local Organisation].[CAB].[Member].&amp;[Blyth Valley (member)]&amp;[North East]"/>
                <p n="[Local Organisation].[CAB].[Government Region].&amp;[North East]"/>
              </i>
              <i n="[Local Organisation].[CAB].[Bureau].&amp;[East Durham Citizens Advice Bureau]&amp;[County Durham (member)]&amp;[North East]" c="East Durham Citizens Advice Bureau" nd="1">
                <p n="[Local Organisation].[CAB].[Member].&amp;[County Durham (member)]&amp;[North East]"/>
                <p n="[Local Organisation].[CAB].[Government Region].&amp;[North East]"/>
              </i>
              <i n="[Local Organisation].[CAB].[Bureau].&amp;[Spennymoor Citizens Advice Bureau]&amp;[Sedgefield &amp; District (member)]&amp;[North East]" c="Spennymoor Citizens Advice Bureau" nd="1">
                <p n="[Local Organisation].[CAB].[Member].&amp;[Sedgefield &amp; District (member)]&amp;[North East]"/>
                <p n="[Local Organisation].[CAB].[Government Region].&amp;[North East]"/>
              </i>
              <i n="[Local Organisation].[CAB].[Bureau].&amp;[Stockton - Redcar]&amp;[Stockton &amp; District AIS (member)]&amp;[North East]" c="Stockton - Redcar" nd="1">
                <p n="[Local Organisation].[CAB].[Member].&amp;[Stockton &amp; District AIS (member)]&amp;[North East]"/>
                <p n="[Local Organisation].[CAB].[Government Region].&amp;[North East]"/>
              </i>
              <i n="[Local Organisation].[CAB].[Bureau].&amp;[Teesdale CAB]&amp;[Teesdale (member)]&amp;[North East]" c="Teesdale CAB" nd="1">
                <p n="[Local Organisation].[CAB].[Member].&amp;[Teesdale (member)]&amp;[North East]"/>
                <p n="[Local Organisation].[CAB].[Government Region].&amp;[North East]"/>
              </i>
              <i n="[Local Organisation].[CAB].[Bureau].&amp;[Wansbeck Citizens Advice Bureau]&amp;[Wansbeck (member)]&amp;[North East]" c="Wansbeck Citizens Advice Bureau" nd="1">
                <p n="[Local Organisation].[CAB].[Member].&amp;[Wansbeck (member)]&amp;[North East]"/>
                <p n="[Local Organisation].[CAB].[Government Region].&amp;[North East]"/>
              </i>
              <i n="[Local Organisation].[CAB].[Bureau].&amp;[West Northumberland CAB (Haltwhistle)]&amp;[West Northumberland (member)]&amp;[North East]" c="West Northumberland CAB (Haltwhistle)" nd="1">
                <p n="[Local Organisation].[CAB].[Member].&amp;[West Northumberland (member)]&amp;[North East]"/>
                <p n="[Local Organisation].[CAB].[Government Region].&amp;[North East]"/>
              </i>
              <i n="[Local Organisation].[CAB].[Bureau].&amp;[West Northumberland CAB (Hexham)]&amp;[West Northumberland (member)]&amp;[North East]" c="West Northumberland CAB (Hexham)" nd="1">
                <p n="[Local Organisation].[CAB].[Member].&amp;[West Northumberland (member)]&amp;[North East]"/>
                <p n="[Local Organisation].[CAB].[Government Region].&amp;[North East]"/>
              </i>
              <i n="[Local Organisation].[CAB].[Bureau].&amp;[West Northumberland CAB (Prudhoe)]&amp;[West Northumberland (member)]&amp;[North East]" c="West Northumberland CAB (Prudhoe)" nd="1">
                <p n="[Local Organisation].[CAB].[Member].&amp;[West Northumberland (member)]&amp;[North East]"/>
                <p n="[Local Organisation].[CAB].[Government Region].&amp;[North East]"/>
              </i>
              <i n="[Local Organisation].[CAB].[Bureau].&amp;[Longsight Citizens Advice Bureau]&amp;[Manchester District (member)]&amp;[North West]" c="Longsight Citizens Advice Bureau" nd="1">
                <p n="[Local Organisation].[CAB].[Member].&amp;[Manchester District (member)]&amp;[North West]"/>
                <p n="[Local Organisation].[CAB].[Government Region].&amp;[North West]"/>
              </i>
              <i n="[Local Organisation].[CAB].[Bureau].&amp;[Salford MHS CAB]&amp;[Salford MHS (member)]&amp;[North West]" c="Salford MHS CAB" nd="1">
                <p n="[Local Organisation].[CAB].[Member].&amp;[Salford MHS (member)]&amp;[North West]"/>
                <p n="[Local Organisation].[CAB].[Government Region].&amp;[North West]"/>
              </i>
              <i n="[Local Organisation].[CAB].[Bureau].&amp;[Altrincham Citizens Advice Bureau]&amp;[Trafford Citizens Advice Bureau (member)]&amp;[North West]" c="Altrincham Citizens Advice Bureau" nd="1">
                <p n="[Local Organisation].[CAB].[Member].&amp;[Trafford Citizens Advice Bureau (member)]&amp;[North West]"/>
                <p n="[Local Organisation].[CAB].[Government Region].&amp;[North West]"/>
              </i>
              <i n="[Local Organisation].[CAB].[Bureau].&amp;[Partington Citizens Advice Bureau]&amp;[Trafford Citizens Advice Bureau (member)]&amp;[North West]" c="Partington Citizens Advice Bureau" nd="1">
                <p n="[Local Organisation].[CAB].[Member].&amp;[Trafford Citizens Advice Bureau (member)]&amp;[North West]"/>
                <p n="[Local Organisation].[CAB].[Government Region].&amp;[North West]"/>
              </i>
              <i n="[Local Organisation].[CAB].[Bureau].&amp;[Urmston Citizens Advice Bureau]&amp;[Trafford Citizens Advice Bureau (member)]&amp;[North West]" c="Urmston Citizens Advice Bureau" nd="1">
                <p n="[Local Organisation].[CAB].[Member].&amp;[Trafford Citizens Advice Bureau (member)]&amp;[North West]"/>
                <p n="[Local Organisation].[CAB].[Government Region].&amp;[North West]"/>
              </i>
              <i n="[Local Organisation].[CAB].[Bureau].&amp;[New Ferry Advice Centre]&amp;[Wirral (member)]&amp;[North West]" c="New Ferry Advice Centre" nd="1">
                <p n="[Local Organisation].[CAB].[Member].&amp;[Wirral (member)]&amp;[North West]"/>
                <p n="[Local Organisation].[CAB].[Government Region].&amp;[North West]"/>
              </i>
              <i n="[Local Organisation].[CAB].[Bureau].&amp;[Telephony Proof of Concept]&amp;[Agilisys]&amp;[Not recorded/not applicable]" c="Telephony Proof of Concept" nd="1">
                <p n="[Local Organisation].[CAB].[Member].&amp;[Agilisys]&amp;[Not recorded/not applicable]"/>
                <p n="[Local Organisation].[CAB].[Government Region].&amp;[Not recorded/not applicable]"/>
              </i>
              <i n="[Local Organisation].[CAB].[Bureau].&amp;[PCC Cheshire West CAB]&amp;[Citizens Advice PCCs]&amp;[Not recorded/not applicable]" c="PCC Cheshire West CAB" nd="1">
                <p n="[Local Organisation].[CAB].[Member].&amp;[Citizens Advice PCCs]&amp;[Not recorded/not applicable]"/>
                <p n="[Local Organisation].[CAB].[Government Region].&amp;[Not recorded/not applicable]"/>
              </i>
              <i n="[Local Organisation].[CAB].[Bureau].&amp;[LRTest Bureau]&amp;[LRTest Member]&amp;[Not recorded/not applicable]" c="LRTest Bureau" nd="1">
                <p n="[Local Organisation].[CAB].[Member].&amp;[LRTest Member]&amp;[Not recorded/not applicable]"/>
                <p n="[Local Organisation].[CAB].[Government Region].&amp;[Not recorded/not applicable]"/>
              </i>
              <i n="[Local Organisation].[CAB].[Bureau].&amp;[Proof of Concept Merton and Lambeth]&amp;[Proof of Concept Caerphilly/Merton]&amp;[Not recorded/not applicable]" c="Proof of Concept Merton and Lambeth" nd="1">
                <p n="[Local Organisation].[CAB].[Member].&amp;[Proof of Concept Caerphilly/Merton]&amp;[Not recorded/not applicable]"/>
                <p n="[Local Organisation].[CAB].[Government Region].&amp;[Not recorded/not applicable]"/>
              </i>
              <i n="[Local Organisation].[CAB].[Bureau].&amp;[Hedge End]&amp;[Eastleigh (member)]&amp;[South East]" c="Hedge End" nd="1">
                <p n="[Local Organisation].[CAB].[Member].&amp;[Eastleigh (member)]&amp;[South East]"/>
                <p n="[Local Organisation].[CAB].[Government Region].&amp;[South East]"/>
              </i>
              <i n="[Local Organisation].[CAB].[Bureau].&amp;[Gravesham Citizens Advice Bureau]&amp;[Gravesham (member)]&amp;[South East]" c="Gravesham Citizens Advice Bureau" nd="1">
                <p n="[Local Organisation].[CAB].[Member].&amp;[Gravesham (member)]&amp;[South East]"/>
                <p n="[Local Organisation].[CAB].[Government Region].&amp;[South East]"/>
              </i>
              <i n="[Local Organisation].[CAB].[Bureau].&amp;[Hants Macmillan (Eastleigh)]&amp;[Hampshire Macmillan (member)]&amp;[South East]" c="Hants Macmillan (Eastleigh)" nd="1">
                <p n="[Local Organisation].[CAB].[Member].&amp;[Hampshire Macmillan (member)]&amp;[South East]"/>
                <p n="[Local Organisation].[CAB].[Government Region].&amp;[South East]"/>
              </i>
              <i n="[Local Organisation].[CAB].[Bureau].&amp;[Rushmoor North Barn]&amp;[Rushmoor (member)]&amp;[South East]" c="Rushmoor North Barn" nd="1">
                <p n="[Local Organisation].[CAB].[Member].&amp;[Rushmoor (member)]&amp;[South East]"/>
                <p n="[Local Organisation].[CAB].[Government Region].&amp;[South East]"/>
              </i>
              <i n="[Local Organisation].[CAB].[Bureau].&amp;[Sevenoaks Citizens Advice Bureau]&amp;[Sevenoaks &amp; Swanley (member)]&amp;[South East]" c="Sevenoaks Citizens Advice Bureau" nd="1">
                <p n="[Local Organisation].[CAB].[Member].&amp;[Sevenoaks &amp; Swanley (member)]&amp;[South East]"/>
                <p n="[Local Organisation].[CAB].[Government Region].&amp;[South East]"/>
              </i>
              <i n="[Local Organisation].[CAB].[Bureau].&amp;[Swanley Advice Centre]&amp;[Sevenoaks &amp; Swanley (member)]&amp;[South East]" c="Swanley Advice Centre" nd="1">
                <p n="[Local Organisation].[CAB].[Member].&amp;[Sevenoaks &amp; Swanley (member)]&amp;[South East]"/>
                <p n="[Local Organisation].[CAB].[Government Region].&amp;[South East]"/>
              </i>
              <i n="[Local Organisation].[CAB].[Bureau].&amp;[Paddock Wood Citizens Advice Bureau]&amp;[Tunbridge Wells and District (member)]&amp;[South East]" c="Paddock Wood Citizens Advice Bureau" nd="1">
                <p n="[Local Organisation].[CAB].[Member].&amp;[Tunbridge Wells and District (member)]&amp;[South East]"/>
                <p n="[Local Organisation].[CAB].[Government Region].&amp;[South East]"/>
              </i>
              <i n="[Local Organisation].[CAB].[Bureau].&amp;[CAB Cornwall (Redruth)]&amp;[CAB Cornwall (member)]&amp;[South West]" c="CAB Cornwall (Redruth)" nd="1">
                <p n="[Local Organisation].[CAB].[Member].&amp;[CAB Cornwall (member)]&amp;[South West]"/>
                <p n="[Local Organisation].[CAB].[Government Region].&amp;[South West]"/>
              </i>
              <i n="[Local Organisation].[CAB].[Bureau].&amp;[Devon Welfare Rights Unit]&amp;[Devon Welfare Rights Unit (member)]&amp;[South West]" c="Devon Welfare Rights Unit" nd="1">
                <p n="[Local Organisation].[CAB].[Member].&amp;[Devon Welfare Rights Unit (member)]&amp;[South West]"/>
                <p n="[Local Organisation].[CAB].[Government Region].&amp;[South West]"/>
              </i>
              <i n="[Local Organisation].[CAB].[Bureau].&amp;[Llandudno CAB]&amp;[CAB Cylch Conwy District (member)]&amp;[Wales]" c="Llandudno CAB" nd="1">
                <p n="[Local Organisation].[CAB].[Member].&amp;[CAB Cylch Conwy District (member)]&amp;[Wales]"/>
                <p n="[Local Organisation].[CAB].[Government Region].&amp;[Wales]"/>
              </i>
              <i n="[Local Organisation].[CAB].[Bureau].&amp;[Cynon Valley Citizens Advice Bureau]&amp;[Cynon Valley (member)]&amp;[Wales]" c="Cynon Valley Citizens Advice Bureau" nd="1">
                <p n="[Local Organisation].[CAB].[Member].&amp;[Cynon Valley (member)]&amp;[Wales]"/>
                <p n="[Local Organisation].[CAB].[Government Region].&amp;[Wales]"/>
              </i>
              <i n="[Local Organisation].[CAB].[Bureau].&amp;[Powys CAB - Machynlleth Advice Centre]&amp;[Powys (member)]&amp;[Wales]" c="Powys CAB - Machynlleth Advice Centre" nd="1">
                <p n="[Local Organisation].[CAB].[Member].&amp;[Powys (member)]&amp;[Wales]"/>
                <p n="[Local Organisation].[CAB].[Government Region].&amp;[Wales]"/>
              </i>
              <i n="[Local Organisation].[CAB].[Bureau].&amp;[Shropshire (Bridgnorth)]&amp;[Shropshire (member)]&amp;[West Midlands]" c="Shropshire (Bridgnorth)" nd="1">
                <p n="[Local Organisation].[CAB].[Member].&amp;[Shropshire (member)]&amp;[West Midlands]"/>
                <p n="[Local Organisation].[CAB].[Government Region].&amp;[West Midlands]"/>
              </i>
              <i n="[Local Organisation].[CAB].[Bureau].&amp;[Shropshire (North Shropshire)]&amp;[Shropshire (member)]&amp;[West Midlands]" c="Shropshire (North Shropshire)" nd="1">
                <p n="[Local Organisation].[CAB].[Member].&amp;[Shropshire (member)]&amp;[West Midlands]"/>
                <p n="[Local Organisation].[CAB].[Government Region].&amp;[West Midlands]"/>
              </i>
              <i n="[Local Organisation].[CAB].[Bureau].&amp;[Doncaster Citizens Advice Bureau]&amp;[Doncaster (member)]&amp;[Yorkshire &amp; the Humber]" c="Doncaster Citizens Advice Bureau" nd="1">
                <p n="[Local Organisation].[CAB].[Member].&amp;[Doncaster (member)]&amp;[Yorkshire &amp; the Humber]"/>
                <p n="[Local Organisation].[CAB].[Government Region].&amp;[Yorkshire &amp; the Humber]"/>
              </i>
              <i n="[Local Organisation].[CAB].[Bureau].&amp;[Leeds (East - Crossgates) Citizens Advice Bureau]&amp;[Leeds (member)]&amp;[Yorkshire &amp; the Humber]" c="Leeds (East - Crossgates) Citizens Advice Bureau" nd="1">
                <p n="[Local Organisation].[CAB].[Member].&amp;[Leeds (member)]&amp;[Yorkshire &amp; the Humber]"/>
                <p n="[Local Organisation].[CAB].[Government Region].&amp;[Yorkshire &amp; the Humber]"/>
              </i>
              <i n="[Local Organisation].[CAB].[Bureau].&amp;[Leeds (South - Morley) Citizens Advice Bureau]&amp;[Leeds (member)]&amp;[Yorkshire &amp; the Humber]" c="Leeds (South - Morley) Citizens Advice Bureau" nd="1">
                <p n="[Local Organisation].[CAB].[Member].&amp;[Leeds (member)]&amp;[Yorkshire &amp; the Humber]"/>
                <p n="[Local Organisation].[CAB].[Government Region].&amp;[Yorkshire &amp; the Humber]"/>
              </i>
              <i n="[Local Organisation].[CAB].[Bureau].&amp;[Leeds (West - Pudsey) Citizens Advice Bureau]&amp;[Leeds (member)]&amp;[Yorkshire &amp; the Humber]" c="Leeds (West - Pudsey) Citizens Advice Bureau" nd="1">
                <p n="[Local Organisation].[CAB].[Member].&amp;[Leeds (member)]&amp;[Yorkshire &amp; the Humber]"/>
                <p n="[Local Organisation].[CAB].[Government Region].&amp;[Yorkshire &amp; the Humber]"/>
              </i>
              <i n="[Local Organisation].[CAB].[Bureau].&amp;[Ripon &amp; District CAB]&amp;[Ripon &amp; District (member)]&amp;[Yorkshire &amp; the Humber]" c="Ripon &amp; District CAB" nd="1">
                <p n="[Local Organisation].[CAB].[Member].&amp;[Ripon &amp; District (member)]&amp;[Yorkshire &amp; the Humber]"/>
                <p n="[Local Organisation].[CAB].[Government Region].&amp;[Yorkshire &amp; the Humber]"/>
              </i>
            </range>
          </ranges>
        </level>
        <level uniqueName="[Local Organisation].[CAB].[Outreach]" sourceCaption="Outreach" count="6289">
          <ranges>
            <range startItem="0">
              <i n="[Local Organisation].[CAB].[Outreach].&amp;[Ashfield Citizens Advice Bureau]&amp;[Ashfield Citizens Advice Bureau Kirkby GP NG17 7AE *DO NOT USE*]&amp;[Ashfield (member)]&amp;[East Midlands]" c="Ashfield Citizens Advice Bureau Kirkby GP NG17 7AE *DO NOT USE*">
                <p n="[Local Organisation].[CAB].[Bureau].&amp;[Ashfield Citizens Advice Bureau]&amp;[Ashfield (member)]&amp;[East Midlands]"/>
                <p n="[Local Organisation].[CAB].[Member].&amp;[Ashfield (member)]&amp;[East Midlands]"/>
                <p n="[Local Organisation].[CAB].[Government Region].&amp;[East Midlands]"/>
              </i>
              <i n="[Local Organisation].[CAB].[Outreach].&amp;[Ashfield Citizens Advice Bureau]&amp;[Ashfield Citizens Advice Mobile Service]&amp;[Ashfield (member)]&amp;[East Midlands]" c="Ashfield Citizens Advice Mobile Service">
                <p n="[Local Organisation].[CAB].[Bureau].&amp;[Ashfield Citizens Advice Bureau]&amp;[Ashfield (member)]&amp;[East Midlands]"/>
                <p n="[Local Organisation].[CAB].[Member].&amp;[Ashfield (member)]&amp;[East Midlands]"/>
                <p n="[Local Organisation].[CAB].[Government Region].&amp;[East Midlands]"/>
              </i>
              <i n="[Local Organisation].[CAB].[Outreach].&amp;[Ashfield Citizens Advice Bureau]&amp;[Not recorded/not applicable]&amp;[Ashfield (member)]&amp;[East Midlands]" c="Not recorded/not applicable">
                <p n="[Local Organisation].[CAB].[Bureau].&amp;[Ashfield Citizens Advice Bureau]&amp;[Ashfield (member)]&amp;[East Midlands]"/>
                <p n="[Local Organisation].[CAB].[Member].&amp;[Ashfield (member)]&amp;[East Midlands]"/>
                <p n="[Local Organisation].[CAB].[Government Region].&amp;[East Midlands]"/>
              </i>
              <i n="[Local Organisation].[CAB].[Outreach].&amp;[Bassetlaw Citizens Advice Bureau]&amp;[Bassetlaw - Debt Drop-in session]&amp;[Bassetlaw (member)]&amp;[East Midlands]" c="Bassetlaw - Debt Drop-in session">
                <p n="[Local Organisation].[CAB].[Bureau].&amp;[Bassetlaw Citizens Advice Bureau]&amp;[Bassetlaw (member)]&amp;[East Midlands]"/>
                <p n="[Local Organisation].[CAB].[Member].&amp;[Bassetlaw (member)]&amp;[East Midlands]"/>
                <p n="[Local Organisation].[CAB].[Government Region].&amp;[East Midlands]"/>
              </i>
              <i n="[Local Organisation].[CAB].[Outreach].&amp;[Bassetlaw Citizens Advice Bureau]&amp;[Bassetlaw - Outreach Energy]&amp;[Bassetlaw (member)]&amp;[East Midlands]" c="Bassetlaw - Outreach Energy">
                <p n="[Local Organisation].[CAB].[Bureau].&amp;[Bassetlaw Citizens Advice Bureau]&amp;[Bassetlaw (member)]&amp;[East Midlands]"/>
                <p n="[Local Organisation].[CAB].[Member].&amp;[Bassetlaw (member)]&amp;[East Midlands]"/>
                <p n="[Local Organisation].[CAB].[Government Region].&amp;[East Midlands]"/>
              </i>
              <i n="[Local Organisation].[CAB].[Outreach].&amp;[Bassetlaw Citizens Advice Bureau]&amp;[Bassetlaw - Retford]&amp;[Bassetlaw (member)]&amp;[East Midlands]" c="Bassetlaw - Retford">
                <p n="[Local Organisation].[CAB].[Bureau].&amp;[Bassetlaw Citizens Advice Bureau]&amp;[Bassetlaw (member)]&amp;[East Midlands]"/>
                <p n="[Local Organisation].[CAB].[Member].&amp;[Bassetlaw (member)]&amp;[East Midlands]"/>
                <p n="[Local Organisation].[CAB].[Government Region].&amp;[East Midlands]"/>
              </i>
              <i n="[Local Organisation].[CAB].[Outreach].&amp;[Bassetlaw Citizens Advice Bureau]&amp;[Not recorded/not applicable]&amp;[Bassetlaw (member)]&amp;[East Midlands]" c="Not recorded/not applicable">
                <p n="[Local Organisation].[CAB].[Bureau].&amp;[Bassetlaw Citizens Advice Bureau]&amp;[Bassetlaw (member)]&amp;[East Midlands]"/>
                <p n="[Local Organisation].[CAB].[Member].&amp;[Bassetlaw (member)]&amp;[East Midlands]"/>
                <p n="[Local Organisation].[CAB].[Government Region].&amp;[East Midlands]"/>
              </i>
              <i n="[Local Organisation].[CAB].[Outreach].&amp;[Charnwood CAB (Loughborough)]&amp;[Charnwood Community Medical Group]&amp;[Charnwood (member)]&amp;[East Midlands]" c="Charnwood Community Medical Group">
                <p n="[Local Organisation].[CAB].[Bureau].&amp;[Charnwood CAB (Loughborough)]&amp;[Charnwood (member)]&amp;[East Midlands]"/>
                <p n="[Local Organisation].[CAB].[Member].&amp;[Charnwood (member)]&amp;[East Midlands]"/>
                <p n="[Local Organisation].[CAB].[Government Region].&amp;[East Midlands]"/>
              </i>
              <i n="[Local Organisation].[CAB].[Outreach].&amp;[Charnwood CAB (Loughborough)]&amp;[Not recorded/not applicable]&amp;[Charnwood (member)]&amp;[East Midlands]" c="Not recorded/not applicable">
                <p n="[Local Organisation].[CAB].[Bureau].&amp;[Charnwood CAB (Loughborough)]&amp;[Charnwood (member)]&amp;[East Midlands]"/>
                <p n="[Local Organisation].[CAB].[Member].&amp;[Charnwood (member)]&amp;[East Midlands]"/>
                <p n="[Local Organisation].[CAB].[Government Region].&amp;[East Midlands]"/>
              </i>
              <i n="[Local Organisation].[CAB].[Outreach].&amp;[Charnwood CAB (Shepshed)]&amp;[Not recorded/not applicable]&amp;[Charnwood (member)]&amp;[East Midlands]" c="Not recorded/not applicable">
                <p n="[Local Organisation].[CAB].[Bureau].&amp;[Charnwood CAB (Shepshed)]&amp;[Charnwood (member)]&amp;[East Midlands]"/>
                <p n="[Local Organisation].[CAB].[Member].&amp;[Charnwood (member)]&amp;[East Midlands]"/>
                <p n="[Local Organisation].[CAB].[Government Region].&amp;[East Midlands]"/>
              </i>
              <i n="[Local Organisation].[CAB].[Outreach].&amp;[Chesterfield Citizens Advice Bureau]&amp;[Chesterfield - Avenue House]&amp;[Chesterfield (member)]&amp;[East Midlands]" c="Chesterfield - Avenue Hous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Avondale Surgery]&amp;[Chesterfield (member)]&amp;[East Midlands]" c="Chesterfield - Avondale Surger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Barrow Hill Medical Centre]&amp;[Chesterfield (member)]&amp;[East Midlands]" c="Chesterfield - Barrow Hill Medical Centr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Brimington Medical]&amp;[Chesterfield (member)]&amp;[East Midlands]" c="Chesterfield - Brimington Medical">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Brimington Surgery]&amp;[Chesterfield (member)]&amp;[East Midlands]" c="Chesterfield - Brimington Surger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Calow Medical Centre]&amp;[Chesterfield (member)]&amp;[East Midlands]" c="Chesterfield - Calow Medical Centr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CC Birdholme]&amp;[Chesterfield (member)]&amp;[East Midlands]" c="Chesterfield - CC Birdholm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CC Boythorpe]&amp;[Chesterfield (member)]&amp;[East Midlands]" c="Chesterfield - CC Boythorp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CC Brampton]&amp;[Chesterfield (member)]&amp;[East Midlands]" c="Chesterfield - CC Brampton">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CC Brimington]&amp;[Chesterfield (member)]&amp;[East Midlands]" c="Chesterfield - CC Brimington">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CC Hasland]&amp;[Chesterfield (member)]&amp;[East Midlands]" c="Chesterfield - CC Hasland">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CC Holme Hall]&amp;[Chesterfield (member)]&amp;[East Midlands]" c="Chesterfield - CC Holme Hall">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CC Old Whittington]&amp;[Chesterfield (member)]&amp;[East Midlands]" c="Chesterfield - CC Old Whittington">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CC Staveley]&amp;[Chesterfield (member)]&amp;[East Midlands]" c="Chesterfield - CC Stavele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Hartington Wing Mental Health Advocacy Service]&amp;[Chesterfield (member)]&amp;[East Midlands]" c="Chesterfield - Hartington Wing Mental Health Advocacy Servic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Hasland Medical Centre]&amp;[Chesterfield (member)]&amp;[East Midlands]" c="Chesterfield - Hasland Medical Centr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Hasland Surgery]&amp;[Chesterfield (member)]&amp;[East Midlands]" c="Chesterfield - Hasland Surger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Holme Hall Surgery]&amp;[Chesterfield (member)]&amp;[East Midlands]" c="Chesterfield - Holme Hall Surger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Newbold Surgery]&amp;[Chesterfield (member)]&amp;[East Midlands]" c="Chesterfield - Newbold Surger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Rectory Road Surgery]&amp;[Chesterfield (member)]&amp;[East Midlands]" c="Chesterfield - Rectory Road Surger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The Grange]&amp;[Chesterfield (member)]&amp;[East Midlands]" c="Chesterfield - The Grang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The Maples]&amp;[Chesterfield (member)]&amp;[East Midlands]" c="Chesterfield  The Maples">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Wheatbridge Surgery]&amp;[Chesterfield (member)]&amp;[East Midlands]" c="Chesterfield - Wheatbridge Surger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Whittington Medical Centre]&amp;[Chesterfield (member)]&amp;[East Midlands]" c="Chesterfield - Whittington Medical Centr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 Whittington Moor Surgery]&amp;[Chesterfield (member)]&amp;[East Midlands]" c="Chesterfield - Whittington Moor Surger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Mental Health Advocacy in the Community]&amp;[Chesterfield (member)]&amp;[East Midlands]" c="Chesterfield- Mental Health Advocacy in the Community">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Project MA]&amp;[Chesterfield (member)]&amp;[East Midlands]" c="Chesterfield- Project MA">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 Sure Start Centres]&amp;[Chesterfield (member)]&amp;[East Midlands]" c="Chesterfield Sure Start Centres">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Chatsworth Road Medical Centre]&amp;[Chesterfield (member)]&amp;[East Midlands]" c="Chesterfield-Chatsworth Road Medical Centr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Chesterfield-Life limiting long term illness Project (BLf)]&amp;[Chesterfield (member)]&amp;[East Midlands]" c="Chesterfield-Life limiting long term illness Project (BLf)">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Not recorded/not applicable]&amp;[Chesterfield (member)]&amp;[East Midlands]" c="Not recorded/not applicable">
                <p n="[Local Organisation].[CAB].[Bureau].&amp;[Chesterfield Citizens Advice Bureau]&amp;[Chesterfield (member)]&amp;[East Midlands]"/>
                <p n="[Local Organisation].[CAB].[Member].&amp;[Chesterfield (member)]&amp;[East Midlands]"/>
                <p n="[Local Organisation].[CAB].[Government Region].&amp;[East Midlands]"/>
              </i>
              <i n="[Local Organisation].[CAB].[Outreach].&amp;[Chesterfield Citizens Advice Bureau]&amp;[Other]&amp;[Chesterfield (member)]&amp;[East Midlands]" c="Other">
                <p n="[Local Organisation].[CAB].[Bureau].&amp;[Chesterfield Citizens Advice Bureau]&amp;[Chesterfield (member)]&amp;[East Midlands]"/>
                <p n="[Local Organisation].[CAB].[Member].&amp;[Chesterfield (member)]&amp;[East Midlands]"/>
                <p n="[Local Organisation].[CAB].[Government Region].&amp;[East Midlands]"/>
              </i>
              <i n="[Local Organisation].[CAB].[Outreach].&amp;[Citizens Advice Broxtowe (Beeston)]&amp;[Citizens Advice Broxtowe - Stapleford]&amp;[Citizens Advice Broxtowe (member)]&amp;[East Midlands]" c="Citizens Advice Broxtowe - Stapleford">
                <p n="[Local Organisation].[CAB].[Bureau].&amp;[Citizens Advice Broxtowe (Beeston)]&amp;[Citizens Advice Broxtowe (member)]&amp;[East Midlands]"/>
                <p n="[Local Organisation].[CAB].[Member].&amp;[Citizens Advice Broxtowe (member)]&amp;[East Midlands]"/>
                <p n="[Local Organisation].[CAB].[Government Region].&amp;[East Midlands]"/>
              </i>
              <i n="[Local Organisation].[CAB].[Outreach].&amp;[Citizens Advice Broxtowe (Beeston)]&amp;[Not recorded/not applicable]&amp;[Citizens Advice Broxtowe (member)]&amp;[East Midlands]" c="Not recorded/not applicable">
                <p n="[Local Organisation].[CAB].[Bureau].&amp;[Citizens Advice Broxtowe (Beeston)]&amp;[Citizens Advice Broxtowe (member)]&amp;[East Midlands]"/>
                <p n="[Local Organisation].[CAB].[Member].&amp;[Citizens Advice Broxtowe (member)]&amp;[East Midlands]"/>
                <p n="[Local Organisation].[CAB].[Government Region].&amp;[East Midlands]"/>
              </i>
              <i n="[Local Organisation].[CAB].[Outreach].&amp;[Citizens Advice Broxtowe (Eastwood)]&amp;[Not recorded/not applicable]&amp;[Citizens Advice Broxtowe (member)]&amp;[East Midlands]" c="Not recorded/not applicable">
                <p n="[Local Organisation].[CAB].[Bureau].&amp;[Citizens Advice Broxtowe (Eastwood)]&amp;[Citizens Advice Broxtowe (member)]&amp;[East Midlands]"/>
                <p n="[Local Organisation].[CAB].[Member].&amp;[Citizens Advice Broxtowe (member)]&amp;[East Midlands]"/>
                <p n="[Local Organisation].[CAB].[Government Region].&amp;[East Midlands]"/>
              </i>
              <i n="[Local Organisation].[CAB].[Outreach].&amp;[Adviceline Lincolnshire Call Centre]&amp;[Not recorded/not applicable]&amp;[Citizens Advice Mid Lincolnshire (member)]&amp;[East Midlands]" c="Not recorded/not applicable">
                <p n="[Local Organisation].[CAB].[Bureau].&amp;[Adviceline Lincolnshire Call Centre]&amp;[Citizens Advice Mid Lincolnshire (member)]&amp;[East Midlands]"/>
                <p n="[Local Organisation].[CAB].[Member].&amp;[Citizens Advice Mid Lincolnshire (member)]&amp;[East Midlands]"/>
                <p n="[Local Organisation].[CAB].[Government Region].&amp;[East Midlands]"/>
              </i>
              <i n="[Local Organisation].[CAB].[Outreach].&amp;[Boston Citizens Advice Bureau]&amp;[Not recorded/not applicable]&amp;[Citizens Advice Mid Lincolnshire (member)]&amp;[East Midlands]" c="Not recorded/not applicable">
                <p n="[Local Organisation].[CAB].[Bureau].&amp;[Boston Citizens Advice Bureau]&amp;[Citizens Advice Mid Lincolnshire (member)]&amp;[East Midlands]"/>
                <p n="[Local Organisation].[CAB].[Member].&amp;[Citizens Advice Mid Lincolnshire (member)]&amp;[East Midlands]"/>
                <p n="[Local Organisation].[CAB].[Government Region].&amp;[East Midlands]"/>
              </i>
              <i n="[Local Organisation].[CAB].[Outreach].&amp;[Sleaford &amp; District Citizens Advice Bureau]&amp;[Not recorded/not applicable]&amp;[Citizens Advice Mid Lincolnshire (member)]&amp;[East Midlands]" c="Not recorded/not applicable">
                <p n="[Local Organisation].[CAB].[Bureau].&amp;[Sleaford &amp; District Citizens Advice Bureau]&amp;[Citizens Advice Mid Lincolnshire (member)]&amp;[East Midlands]"/>
                <p n="[Local Organisation].[CAB].[Member].&amp;[Citizens Advice Mid Lincolnshire (member)]&amp;[East Midlands]"/>
                <p n="[Local Organisation].[CAB].[Government Region].&amp;[East Midlands]"/>
              </i>
              <i n="[Local Organisation].[CAB].[Outreach].&amp;[Grantham Citizens Advice Bureau]&amp;[Not recorded/not applicable]&amp;[Citizens Advice South Lincolnshire (member)]&amp;[East Midlands]" c="Not recorded/not applicable">
                <p n="[Local Organisation].[CAB].[Bureau].&amp;[Grantham Citizens Advice Bureau]&amp;[Citizens Advice South Lincolnshire (member)]&amp;[East Midlands]"/>
                <p n="[Local Organisation].[CAB].[Member].&amp;[Citizens Advice South Lincolnshire (member)]&amp;[East Midlands]"/>
                <p n="[Local Organisation].[CAB].[Government Region].&amp;[East Midlands]"/>
              </i>
              <i n="[Local Organisation].[CAB].[Outreach].&amp;[South Holland (Spalding) CAB]&amp;[Not recorded/not applicable]&amp;[Citizens Advice South Lincolnshire (member)]&amp;[East Midlands]" c="Not recorded/not applicable">
                <p n="[Local Organisation].[CAB].[Bureau].&amp;[South Holland (Spalding) CAB]&amp;[Citizens Advice South Lincolnshire (member)]&amp;[East Midlands]"/>
                <p n="[Local Organisation].[CAB].[Member].&amp;[Citizens Advice South Lincolnshire (member)]&amp;[East Midlands]"/>
                <p n="[Local Organisation].[CAB].[Government Region].&amp;[East Midlands]"/>
              </i>
              <i n="[Local Organisation].[CAB].[Outreach].&amp;[South Holland (Spalding) CAB]&amp;[South Holland Holbeach Parish Offices]&amp;[Citizens Advice South Lincolnshire (member)]&amp;[East Midlands]" c="South Holland Holbeach Parish Offices">
                <p n="[Local Organisation].[CAB].[Bureau].&amp;[South Holland (Spalding) CAB]&amp;[Citizens Advice South Lincolnshire (member)]&amp;[East Midlands]"/>
                <p n="[Local Organisation].[CAB].[Member].&amp;[Citizens Advice South Lincolnshire (member)]&amp;[East Midlands]"/>
                <p n="[Local Organisation].[CAB].[Government Region].&amp;[East Midlands]"/>
              </i>
              <i n="[Local Organisation].[CAB].[Outreach].&amp;[South Holland (Spalding) CAB]&amp;[South Holland Long Sutton Markethouse]&amp;[Citizens Advice South Lincolnshire (member)]&amp;[East Midlands]" c="South Holland Long Sutton Markethouse">
                <p n="[Local Organisation].[CAB].[Bureau].&amp;[South Holland (Spalding) CAB]&amp;[Citizens Advice South Lincolnshire (member)]&amp;[East Midlands]"/>
                <p n="[Local Organisation].[CAB].[Member].&amp;[Citizens Advice South Lincolnshire (member)]&amp;[East Midlands]"/>
                <p n="[Local Organisation].[CAB].[Government Region].&amp;[East Midlands]"/>
              </i>
              <i n="[Local Organisation].[CAB].[Outreach].&amp;[South Holland (Spalding) CAB]&amp;[South Holland Sutton Bridge Curlew Centre]&amp;[Citizens Advice South Lincolnshire (member)]&amp;[East Midlands]" c="South Holland Sutton Bridge Curlew Centre">
                <p n="[Local Organisation].[CAB].[Bureau].&amp;[South Holland (Spalding) CAB]&amp;[Citizens Advice South Lincolnshire (member)]&amp;[East Midlands]"/>
                <p n="[Local Organisation].[CAB].[Member].&amp;[Citizens Advice South Lincolnshire (member)]&amp;[East Midlands]"/>
                <p n="[Local Organisation].[CAB].[Government Region].&amp;[East Midlands]"/>
              </i>
              <i n="[Local Organisation].[CAB].[Outreach].&amp;[Stamford Citizens Advice Bureau]&amp;[Not recorded/not applicable]&amp;[Citizens Advice South Lincolnshire (member)]&amp;[East Midlands]" c="Not recorded/not applicable">
                <p n="[Local Organisation].[CAB].[Bureau].&amp;[Stamford Citizens Advice Bureau]&amp;[Citizens Advice South Lincolnshire (member)]&amp;[East Midlands]"/>
                <p n="[Local Organisation].[CAB].[Member].&amp;[Citizens Advice South Lincolnshire (member)]&amp;[East Midlands]"/>
                <p n="[Local Organisation].[CAB].[Government Region].&amp;[East Midlands]"/>
              </i>
              <i n="[Local Organisation].[CAB].[Outreach].&amp;[Stamford Citizens Advice Bureau]&amp;[Stamford Bourne]&amp;[Citizens Advice South Lincolnshire (member)]&amp;[East Midlands]" c="Stamford Bourne">
                <p n="[Local Organisation].[CAB].[Bureau].&amp;[Stamford Citizens Advice Bureau]&amp;[Citizens Advice South Lincolnshire (member)]&amp;[East Midlands]"/>
                <p n="[Local Organisation].[CAB].[Member].&amp;[Citizens Advice South Lincolnshire (member)]&amp;[East Midlands]"/>
                <p n="[Local Organisation].[CAB].[Government Region].&amp;[East Midlands]"/>
              </i>
              <i n="[Local Organisation].[CAB].[Outreach].&amp;[Stamford Citizens Advice Bureau]&amp;[Stamford Market Deeping Outreach]&amp;[Citizens Advice South Lincolnshire (member)]&amp;[East Midlands]" c="Stamford Market Deeping Outreach">
                <p n="[Local Organisation].[CAB].[Bureau].&amp;[Stamford Citizens Advice Bureau]&amp;[Citizens Advice South Lincolnshire (member)]&amp;[East Midlands]"/>
                <p n="[Local Organisation].[CAB].[Member].&amp;[Citizens Advice South Lincolnshire (member)]&amp;[East Midlands]"/>
                <p n="[Local Organisation].[CAB].[Government Region].&amp;[East Midlands]"/>
              </i>
              <i n="[Local Organisation].[CAB].[Outreach].&amp;[Corby CAB]&amp;[Not recorded/not applicable]&amp;[Corby and Kettering (member)]&amp;[East Midlands]" c="Not recorded/not applicable">
                <p n="[Local Organisation].[CAB].[Bureau].&amp;[Corby CAB]&amp;[Corby and Kettering (member)]&amp;[East Midlands]"/>
                <p n="[Local Organisation].[CAB].[Member].&amp;[Corby and Kettering (member)]&amp;[East Midlands]"/>
                <p n="[Local Organisation].[CAB].[Government Region].&amp;[East Midlands]"/>
              </i>
              <i n="[Local Organisation].[CAB].[Outreach].&amp;[Kettering CAB]&amp;[Not recorded/not applicable]&amp;[Corby and Kettering (member)]&amp;[East Midlands]" c="Not recorded/not applicable">
                <p n="[Local Organisation].[CAB].[Bureau].&amp;[Kettering CAB]&amp;[Corby and Kettering (member)]&amp;[East Midlands]"/>
                <p n="[Local Organisation].[CAB].[Member].&amp;[Corby and Kettering (member)]&amp;[East Midlands]"/>
                <p n="[Local Organisation].[CAB].[Government Region].&amp;[East Midlands]"/>
              </i>
              <i n="[Local Organisation].[CAB].[Outreach].&amp;[Daventry and District CAB]&amp;[Not recorded/not applicable]&amp;[Daventry and District (member)]&amp;[East Midlands]" c="Not recorded/not applicable">
                <p n="[Local Organisation].[CAB].[Bureau].&amp;[Daventry and District CAB]&amp;[Daventry and District (member)]&amp;[East Midlands]"/>
                <p n="[Local Organisation].[CAB].[Member].&amp;[Daventry and District (member)]&amp;[East Midlands]"/>
                <p n="[Local Organisation].[CAB].[Government Region].&amp;[East Midlands]"/>
              </i>
              <i n="[Local Organisation].[CAB].[Outreach].&amp;[Derby Citizens Advice and Law Centre]&amp;[Derby - (CALC)]&amp;[Derby CALC (member)]&amp;[East Midlands]" c="Derby - (CALC)">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Brook Medical Centre]&amp;[Derby CALC (member)]&amp;[East Midlands]" c="Derby - Brook Medical Centre">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Friar Gate Surgery]&amp;[Derby CALC (member)]&amp;[East Midlands]" c="Derby - Friar Gate Surgery">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Lister House]&amp;[Derby CALC (member)]&amp;[East Midlands]" c="Derby - Lister House">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Mackworth Surgery]&amp;[Derby CALC (member)]&amp;[East Midlands]" c="Derby - Mackworth Surgery">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Mayfield Medical (Chapel Street)]&amp;[Derby CALC (member)]&amp;[East Midlands]" c="Derby - Mayfield Medical (Chapel Street)">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Mayfield Medical Centre]&amp;[Derby CALC (member)]&amp;[East Midlands]" c="Derby - Mayfield Medical Centre">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Meadowfields Practice Chellaston]&amp;[Derby CALC (member)]&amp;[East Midlands]" c="Derby - Meadowfields Practice Chellaston">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Oakwood Medical Centre]&amp;[Derby CALC (member)]&amp;[East Midlands]" c="Derby - Oakwood Medical Centre">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Park Farm Medical Centre]&amp;[Derby CALC (member)]&amp;[East Midlands]" c="Derby - Park Farm Medical Centre">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Parkfields Surgery]&amp;[Derby CALC (member)]&amp;[East Midlands]" c="Derby - Parkfields Surgery">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Vernon Street Medical Centre]&amp;[Derby CALC (member)]&amp;[East Midlands]" c="Derby - Vernon Street Medical Centre">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Derby - Vernon Street Surgery]&amp;[Derby CALC (member)]&amp;[East Midlands]" c="Derby - Vernon Street Surgery">
                <p n="[Local Organisation].[CAB].[Bureau].&amp;[Derby Citizens Advice and Law Centre]&amp;[Derby CALC (member)]&amp;[East Midlands]"/>
                <p n="[Local Organisation].[CAB].[Member].&amp;[Derby CALC (member)]&amp;[East Midlands]"/>
                <p n="[Local Organisation].[CAB].[Government Region].&amp;[East Midlands]"/>
              </i>
              <i n="[Local Organisation].[CAB].[Outreach].&amp;[Derby Citizens Advice and Law Centre]&amp;[Not recorded/not applicable]&amp;[Derby CALC (member)]&amp;[East Midlands]" c="Not recorded/not applicable">
                <p n="[Local Organisation].[CAB].[Bureau].&amp;[Derby Citizens Advice and Law Centre]&amp;[Derby CALC (member)]&amp;[East Midlands]"/>
                <p n="[Local Organisation].[CAB].[Member].&amp;[Derby CALC (member)]&amp;[East Midlands]"/>
                <p n="[Local Organisation].[CAB].[Government Region].&amp;[East Midlands]"/>
              </i>
              <i n="[Local Organisation].[CAB].[Outreach].&amp;[BBO Derbyshire Districts]&amp;[Not recorded/not applicable]&amp;[Derbyshire Districts (member)]&amp;[East Midlands]" c="Not recorded/not applicable">
                <p n="[Local Organisation].[CAB].[Bureau].&amp;[BBO Derbyshire Districts]&amp;[Derbyshire Districts (member)]&amp;[East Midlands]"/>
                <p n="[Local Organisation].[CAB].[Member].&amp;[Derbyshire Districts (member)]&amp;[East Midlands]"/>
                <p n="[Local Organisation].[CAB].[Government Region].&amp;[East Midlands]"/>
              </i>
              <i n="[Local Organisation].[CAB].[Outreach].&amp;[Belper Citizens Advice Bureau]&amp;[Not recorded/not applicable]&amp;[Derbyshire Districts (member)]&amp;[East Midlands]" c="Not recorded/not applicable">
                <p n="[Local Organisation].[CAB].[Bureau].&amp;[Belper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Baslow GP surgery]&amp;[Derbyshire Districts (member)]&amp;[East Midlands]" c="Buxton - Baslow GP surgery">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Bradwell Surgery]&amp;[Derbyshire Districts (member)]&amp;[East Midlands]" c="Buxton - Bradwell Surgery">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Chapel Children's Centre]&amp;[Derbyshire Districts (member)]&amp;[East Midlands]" c="Buxton - Chapel Children's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Chapel-en-le-Frith Thornbrook Medical Centre]&amp;[Derbyshire Districts (member)]&amp;[East Midlands]" c="Buxton - Chapel-en-le-Frith Thornbrook Medical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Court Desk]&amp;[Derbyshire Districts (member)]&amp;[East Midlands]" c="Buxton - Court Desk">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Elmwood Medical Centre]&amp;[Derbyshire Districts (member)]&amp;[East Midlands]" c="Buxton - Elmwood Medical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Eyam GP surgery]&amp;[Derbyshire Districts (member)]&amp;[East Midlands]" c="Buxton - Eyam GP surgery">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Fairfield Childrens Centre]&amp;[Derbyshire Districts (member)]&amp;[East Midlands]" c="Buxton - Fairfield Childrens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Gamesley Childrens Centre]&amp;[Derbyshire Districts (member)]&amp;[East Midlands]" c="Buxton - Gamesley Childrens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Gamesley Cottage Lane Surgery]&amp;[Derbyshire Districts (member)]&amp;[East Midlands]" c="Buxton - Gamesley Cottage Lane Surgery">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Glossop Children's Centre]&amp;[Derbyshire Districts (member)]&amp;[East Midlands]" c="Buxton - Glossop Children's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Hadfield Children's Centre]&amp;[Derbyshire Districts (member)]&amp;[East Midlands]" c="Buxton - Hadfield Children's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Hadfield Lambsgate Surgery]&amp;[Derbyshire Districts (member)]&amp;[East Midlands]" c="Buxton - Hadfield Lambsgate Surgery">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Hadfield Medical Centre]&amp;[Derbyshire Districts (member)]&amp;[East Midlands]" c="Buxton - Hadfield Medical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Harpur Hill Childrens Centre]&amp;[Derbyshire Districts (member)]&amp;[East Midlands]" c="Buxton - Harpur Hill Childrens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Hartington GP surgery]&amp;[Derbyshire Districts (member)]&amp;[East Midlands]" c="Buxton - Hartington GP surgery">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Hayfield Arden House GP surgery]&amp;[Derbyshire Districts (member)]&amp;[East Midlands]" c="Buxton - Hayfield Arden House GP surgery">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Hope Valley Medical Centre]&amp;[Derbyshire Districts (member)]&amp;[East Midlands]" c="Buxton - Hope Valley Medical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Howard Medical Practice]&amp;[Derbyshire Districts (member)]&amp;[East Midlands]" c="Buxton - Howard Medical Practic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Medical Practice]&amp;[Derbyshire Districts (member)]&amp;[East Midlands]" c="Buxton - Medical Practic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New Mills Children's Centre]&amp;[Derbyshire Districts (member)]&amp;[East Midlands]" c="Buxton - New Mills Children's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Sett Valley Medical Centre]&amp;[Derbyshire Districts (member)]&amp;[East Midlands]" c="Buxton - Sett Valley Medical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Simmondley GP]&amp;[Derbyshire Districts (member)]&amp;[East Midlands]" c="Buxton - Simmondley GP">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The Stewart Medical Centre]&amp;[Derbyshire Districts (member)]&amp;[East Midlands]" c="Buxton - The Stewart Medical Centr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Tideswell GP surgery]&amp;[Derbyshire Districts (member)]&amp;[East Midlands]" c="Buxton - Tideswell GP surgery">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Tintwistle Foodbank Outreach]&amp;[Derbyshire Districts (member)]&amp;[East Midlands]" c="Buxton - Tintwistle Foodbank Outreach">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University of Derby College]&amp;[Derbyshire Districts (member)]&amp;[East Midlands]" c="Buxton - University of Derby Colleg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Buxton - Whaley Bridge Mechanics Institute]&amp;[Derbyshire Districts (member)]&amp;[East Midlands]" c="Buxton - Whaley Bridge Mechanics Institut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Buxton Citizens Advice Bureau]&amp;[Not recorded/not applicable]&amp;[Derbyshire Districts (member)]&amp;[East Midlands]" c="Not recorded/not applicable">
                <p n="[Local Organisation].[CAB].[Bureau].&amp;[Buxton Citizens Advice Bureau]&amp;[Derbyshire Districts (member)]&amp;[East Midlands]"/>
                <p n="[Local Organisation].[CAB].[Member].&amp;[Derbyshire Districts (member)]&amp;[East Midlands]"/>
                <p n="[Local Organisation].[CAB].[Government Region].&amp;[East Midlands]"/>
              </i>
              <i n="[Local Organisation].[CAB].[Outreach].&amp;[Derbyshire Districts Telephone Service]&amp;[Not recorded/not applicable]&amp;[Derbyshire Districts (member)]&amp;[East Midlands]" c="Not recorded/not applicable">
                <p n="[Local Organisation].[CAB].[Bureau].&amp;[Derbyshire Districts Telephone Service]&amp;[Derbyshire Districts (member)]&amp;[East Midlands]"/>
                <p n="[Local Organisation].[CAB].[Member].&amp;[Derbyshire Districts (member)]&amp;[East Midlands]"/>
                <p n="[Local Organisation].[CAB].[Government Region].&amp;[East Midlands]"/>
              </i>
              <i n="[Local Organisation].[CAB].[Outreach].&amp;[Glossop Citizens Advice Bureau]&amp;[Glossop - Over 65's]&amp;[Derbyshire Districts (member)]&amp;[East Midlands]" c="Glossop - Over 65's">
                <p n="[Local Organisation].[CAB].[Bureau].&amp;[Glossop Citizens Advice Bureau]&amp;[Derbyshire Districts (member)]&amp;[East Midlands]"/>
                <p n="[Local Organisation].[CAB].[Member].&amp;[Derbyshire Districts (member)]&amp;[East Midlands]"/>
                <p n="[Local Organisation].[CAB].[Government Region].&amp;[East Midlands]"/>
              </i>
              <i n="[Local Organisation].[CAB].[Outreach].&amp;[Glossop Citizens Advice Bureau]&amp;[Not recorded/not applicable]&amp;[Derbyshire Districts (member)]&amp;[East Midlands]" c="Not recorded/not applicable">
                <p n="[Local Organisation].[CAB].[Bureau].&amp;[Glossop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Alfreton Children's Centre]&amp;[Derbyshire Districts (member)]&amp;[East Midlands]" c="Heanor - Alfreton Children's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Appletree Medical Practice, Duffield]&amp;[Derbyshire Districts (member)]&amp;[East Midlands]" c="Heanor - Appletree Medical Practice, Duffield">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Arthur Medical Centre, Horsley Woodhouse]&amp;[Derbyshire Districts (member)]&amp;[East Midlands]" c="Heanor - Arthur Medical Centre, Horsley Woodhous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Belper Children's Centre]&amp;[Derbyshire Districts (member)]&amp;[East Midlands]" c="Heanor - Belper Children's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Brooklyn Medical Practice @ Heanor bureau]&amp;[Derbyshire Districts (member)]&amp;[East Midlands]" c="Heanor - Brooklyn Medical Practice @ Heanor bureau">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Crich Children's Centre]&amp;[Derbyshire Districts (member)]&amp;[East Midlands]" c="Heanor - Crich Children's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Crich Medical Practice, South Wingfield]&amp;[Derbyshire Districts (member)]&amp;[East Midlands]" c="Heanor - Crich Medical Practice, South Wingfield">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Heanor Childrens Centre]&amp;[Derbyshire Districts (member)]&amp;[East Midlands]" c="Heanor - Heanor Childrens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Ironville Children's Centre]&amp;[Derbyshire Districts (member)]&amp;[East Midlands]" c="Heanor - Ironville Children's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Ivy Grove Surgery Ripley]&amp;[Derbyshire Districts (member)]&amp;[East Midlands]" c="Heanor - Ivy Grove Surgery Ripley">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Kelvingrove Surgery, Heanor @ Heanor bureau]&amp;[Derbyshire Districts (member)]&amp;[East Midlands]" c="Heanor - Kelvingrove Surgery, Heanor @ Heanor bureau">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Langley Mill Childrens Centre]&amp;[Derbyshire Districts (member)]&amp;[East Midlands]" c="Heanor - Langley Mill Childrens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Leabrooks Medical Centre]&amp;[Derbyshire Districts (member)]&amp;[East Midlands]" c="Heanor - Leabrooks Medical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Limes Medical Centre Alfreton]&amp;[Derbyshire Districts (member)]&amp;[East Midlands]" c="Heanor - Limes Medical Centre Alfreton">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Parkside Surgery]&amp;[Derbyshire Districts (member)]&amp;[East Midlands]" c="Heanor - Parkside Surgery">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Ripley Childrens Centre]&amp;[Derbyshire Districts (member)]&amp;[East Midlands]" c="Heanor - Ripley Childrens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Ripley Jessop Medical Practice]&amp;[Derbyshire Districts (member)]&amp;[East Midlands]" c="Heanor - Ripley Jessop Medical Practic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Ripley Library]&amp;[Derbyshire Districts (member)]&amp;[East Midlands]" c="Heanor - Ripley Library">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Ripley Medical Centre]&amp;[Derbyshire Districts (member)]&amp;[East Midlands]" c="Heanor - Ripley Medical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Riversdale Surgery]&amp;[Derbyshire Districts (member)]&amp;[East Midlands]" c="Heanor - Riversdale Surgery">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Somercotes Children's Centre]&amp;[Derbyshire Districts (member)]&amp;[East Midlands]" c="Heanor - Somercotes Children's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Somercotes Medical Centre]&amp;[Derbyshire Districts (member)]&amp;[East Midlands]" c="Heanor - Somercotes Medical Centr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The Park Surgery, Heanor @ Heanor bureau]&amp;[Derbyshire Districts (member)]&amp;[East Midlands]" c="Heanor - The Park Surgery, Heanor @ Heanor bureau">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Heanor - Whitemoor Medical Centre, Belper]&amp;[Derbyshire Districts (member)]&amp;[East Midlands]" c="Heanor - Whitemoor Medical Centre, Belper">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Heanor Citizens Advice Bureau]&amp;[Not recorded/not applicable]&amp;[Derbyshire Districts (member)]&amp;[East Midlands]" c="Not recorded/not applicable">
                <p n="[Local Organisation].[CAB].[Bureau].&amp;[Heanor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Adam House Surgery @ LEHC]&amp;[Derbyshire Districts (member)]&amp;[East Midlands]" c="Ilkeston - Adam House Surgery @ LEHC">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Aitune Medical Centre]&amp;[Derbyshire Districts (member)]&amp;[East Midlands]" c="Ilkeston - Aitune Medical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College Street Medical Practice @ LEHC]&amp;[Derbyshire Districts (member)]&amp;[East Midlands]" c="Ilkeston - College Street Medical Practice @ LEHC">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Cotmanhay Childrens Centre]&amp;[Derbyshire Districts (member)]&amp;[East Midlands]" c="Ilkeston - Cotmanhay Childrens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Eden Surgery]&amp;[Derbyshire Districts (member)]&amp;[East Midlands]" c="Ilkeston - Eden Surgery">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Gladstone House Surgery]&amp;[Derbyshire Districts (member)]&amp;[East Midlands]" c="Ilkeston - Gladstone House Surgery">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Goldenbrook Practice]&amp;[Derbyshire Districts (member)]&amp;[East Midlands]" c="Ilkeston - Goldenbrook Practic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Ilkeston Health Centre]&amp;[Derbyshire Districts (member)]&amp;[East Midlands]" c="Ilkeston - Ilkeston Health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Kirk Hallam Childrens Centre]&amp;[Derbyshire Districts (member)]&amp;[East Midlands]" c="Ilkeston - Kirk Hallam Childrens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Littlewick Medical Centre]&amp;[Derbyshire Districts (member)]&amp;[East Midlands]" c="Ilkeston - Littlewick Medical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Long Eaton Children's Centre]&amp;[Derbyshire Districts (member)]&amp;[East Midlands]" c="Ilkeston - Long Eaton Children's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Long Eaton Health Centre]&amp;[Derbyshire Districts (member)]&amp;[East Midlands]" c="Ilkeston - Long Eaton Health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Long Eaton Town Hall]&amp;[Derbyshire Districts (member)]&amp;[East Midlands]" c="Ilkeston - Long Eaton Town Hall">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Moir Medical Centre @ LEHC]&amp;[Derbyshire Districts (member)]&amp;[East Midlands]" c="Ilkeston - Moir Medical Centre @ LEHC">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Old Station Surgery]&amp;[Derbyshire Districts (member)]&amp;[East Midlands]" c="Ilkeston - Old Station Surgery">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Park View Medical Centre]&amp;[Derbyshire Districts (member)]&amp;[East Midlands]" c="Ilkeston - Park View Medical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Sandiacre Childrens Centre]&amp;[Derbyshire Districts (member)]&amp;[East Midlands]" c="Ilkeston - Sandiacre Childrens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Sandiacre Library]&amp;[Derbyshire Districts (member)]&amp;[East Midlands]" c="Ilkeston - Sandiacre Library">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Ilkeston - West Hallam Medical Centre]&amp;[Derbyshire Districts (member)]&amp;[East Midlands]" c="Ilkeston - West Hallam Medical Centr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Ilkeston Citizens Advice Bureau]&amp;[Not recorded/not applicable]&amp;[Derbyshire Districts (member)]&amp;[East Midlands]" c="Not recorded/not applicable">
                <p n="[Local Organisation].[CAB].[Bureau].&amp;[Ilkeston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Ashbourne Medical Practice]&amp;[Derbyshire Districts (member)]&amp;[East Midlands]" c="Matlock - Ashbourne Medical Practice">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Ashbourne, The Surgery]&amp;[Derbyshire Districts (member)]&amp;[East Midlands]" c="Matlock - Ashbourne, The Surgery">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Bakewell Children's Centre]&amp;[Derbyshire Districts (member)]&amp;[East Midlands]" c="Matlock - Bakewell Children's Centre">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Bakewell Medical Centre]&amp;[Derbyshire Districts (member)]&amp;[East Midlands]" c="Matlock - Bakewell Medical Centre">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Darley Dale Medical Centre]&amp;[Derbyshire Districts (member)]&amp;[East Midlands]" c="Matlock - Darley Dale Medical Centre">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Hannage Brook, Wirksworth]&amp;[Derbyshire Districts (member)]&amp;[East Midlands]" c="Matlock - Hannage Brook, Wirksworth">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Imperial Road]&amp;[Derbyshire Districts (member)]&amp;[East Midlands]" c="Matlock - Imperial Road">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Lime Grove Medical Centre, Matlock]&amp;[Derbyshire Districts (member)]&amp;[East Midlands]" c="Matlock - Lime Grove Medical Centre, Matlock">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Matlock Children's Centre]&amp;[Derbyshire Districts (member)]&amp;[East Midlands]" c="Matlock - Matlock Children's Centre">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Winster Medical Centre]&amp;[Derbyshire Districts (member)]&amp;[East Midlands]" c="Matlock - Winster Medical Centre">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Wirksworth Childrens Centre]&amp;[Derbyshire Districts (member)]&amp;[East Midlands]" c="Matlock - Wirksworth Childrens Centre">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Matlock - Youlgreave Medical Centre]&amp;[Derbyshire Districts (member)]&amp;[East Midlands]" c="Matlock - Youlgreave Medical Centre">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Matlock Citizens Advice Bureau]&amp;[Not recorded/not applicable]&amp;[Derbyshire Districts (member)]&amp;[East Midlands]" c="Not recorded/not applicable">
                <p n="[Local Organisation].[CAB].[Bureau].&amp;[Matlock Citizens Advice Bureau]&amp;[Derbyshire Districts (member)]&amp;[East Midlands]"/>
                <p n="[Local Organisation].[CAB].[Member].&amp;[Derbyshire Districts (member)]&amp;[East Midlands]"/>
                <p n="[Local Organisation].[CAB].[Government Region].&amp;[East Midlands]"/>
              </i>
              <i n="[Local Organisation].[CAB].[Outreach].&amp;[New Mills Citizens Advice Bureau]&amp;[Not recorded/not applicable]&amp;[Derbyshire Districts (member)]&amp;[East Midlands]" c="Not recorded/not applicable">
                <p n="[Local Organisation].[CAB].[Bureau].&amp;[New Mills Citizens Advice Bureau]&amp;[Derbyshire Districts (member)]&amp;[East Midlands]"/>
                <p n="[Local Organisation].[CAB].[Member].&amp;[Derbyshire Districts (member)]&amp;[East Midlands]"/>
                <p n="[Local Organisation].[CAB].[Government Region].&amp;[East Midlands]"/>
              </i>
              <i n="[Local Organisation].[CAB].[Outreach].&amp;[Pension Wise Derbyshire Districts]&amp;[Not recorded/not applicable]&amp;[Derbyshire Districts (member)]&amp;[East Midlands]" c="Not recorded/not applicable">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Buxton]&amp;[Derbyshire Districts (member)]&amp;[East Midlands]" c="Pension Wise - Buxton">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Chesterfield (Not In Use)]&amp;[Derbyshire Districts (member)]&amp;[East Midlands]" c="Pension Wise - Chesterfield (Not In Use)">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Chesterfield Library]&amp;[Derbyshire Districts (member)]&amp;[East Midlands]" c="Pension Wise - Chesterfield Library">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Derby]&amp;[Derbyshire Districts (member)]&amp;[East Midlands]" c="Pension Wise - Derby">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Glossop (Not In Use)]&amp;[Derbyshire Districts (member)]&amp;[East Midlands]" c="Pension Wise - Glossop (Not In Use)">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Ilkeston]&amp;[Derbyshire Districts (member)]&amp;[East Midlands]" c="Pension Wise - Ilkeston">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Mansfield]&amp;[Derbyshire Districts (member)]&amp;[East Midlands]" c="Pension Wise - Mansfield">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Matlock(Not In Use)]&amp;[Derbyshire Districts (member)]&amp;[East Midlands]" c="Pension Wise - Matlock(Not In Use)">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North East Derbyshire (Not in use)]&amp;[Derbyshire Districts (member)]&amp;[East Midlands]" c="Pension Wise - North East Derbyshire (Not in use)">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Nottingham]&amp;[Derbyshire Districts (member)]&amp;[East Midlands]" c="Pension Wise - Nottingham">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Pension Wise Derbyshire Districts]&amp;[Pension Wise - South Derbyshire (Not In Use)]&amp;[Derbyshire Districts (member)]&amp;[East Midlands]" c="Pension Wise - South Derbyshire (Not In Use)">
                <p n="[Local Organisation].[CAB].[Bureau].&amp;[Pension Wise Derbyshire Districts]&amp;[Derbyshire Districts (member)]&amp;[East Midlands]"/>
                <p n="[Local Organisation].[CAB].[Member].&amp;[Derbyshire Districts (member)]&amp;[East Midlands]"/>
                <p n="[Local Organisation].[CAB].[Government Region].&amp;[East Midlands]"/>
              </i>
              <i n="[Local Organisation].[CAB].[Outreach].&amp;[Louth Citizens Advice Bureau]&amp;[Not recorded/not applicable]&amp;[East Lindsey (member)]&amp;[East Midlands]" c="Not recorded/not applicable">
                <p n="[Local Organisation].[CAB].[Bureau].&amp;[Louth Citizens Advice Bureau]&amp;[East Lindsey (member)]&amp;[East Midlands]"/>
                <p n="[Local Organisation].[CAB].[Member].&amp;[East Lindsey (member)]&amp;[East Midlands]"/>
                <p n="[Local Organisation].[CAB].[Government Region].&amp;[East Midlands]"/>
              </i>
              <i n="[Local Organisation].[CAB].[Outreach].&amp;[Mablethorpe Citizens Advice Bureau]&amp;[Not recorded/not applicable]&amp;[East Lindsey (member)]&amp;[East Midlands]" c="Not recorded/not applicable">
                <p n="[Local Organisation].[CAB].[Bureau].&amp;[Mablethorpe Citizens Advice Bureau]&amp;[East Lindsey (member)]&amp;[East Midlands]"/>
                <p n="[Local Organisation].[CAB].[Member].&amp;[East Lindsey (member)]&amp;[East Midlands]"/>
                <p n="[Local Organisation].[CAB].[Government Region].&amp;[East Midlands]"/>
              </i>
              <i n="[Local Organisation].[CAB].[Outreach].&amp;[Skegness Citizens Advice Bureau]&amp;[Not recorded/not applicable]&amp;[East Lindsey (member)]&amp;[East Midlands]" c="Not recorded/not applicable">
                <p n="[Local Organisation].[CAB].[Bureau].&amp;[Skegness Citizens Advice Bureau]&amp;[East Lindsey (member)]&amp;[East Midlands]"/>
                <p n="[Local Organisation].[CAB].[Member].&amp;[East Lindsey (member)]&amp;[East Midlands]"/>
                <p n="[Local Organisation].[CAB].[Government Region].&amp;[East Midlands]"/>
              </i>
              <i n="[Local Organisation].[CAB].[Outreach].&amp;[Blaby CAB]&amp;[Braunstone Civic Centre]&amp;[Leicestershire (member)]&amp;[East Midlands]" c="Braunstone Civic Centre">
                <p n="[Local Organisation].[CAB].[Bureau].&amp;[Blaby CAB]&amp;[Leicestershire (member)]&amp;[East Midlands]"/>
                <p n="[Local Organisation].[CAB].[Member].&amp;[Leicestershire (member)]&amp;[East Midlands]"/>
                <p n="[Local Organisation].[CAB].[Government Region].&amp;[East Midlands]"/>
              </i>
              <i n="[Local Organisation].[CAB].[Outreach].&amp;[Blaby CAB]&amp;[Glenfield]&amp;[Leicestershire (member)]&amp;[East Midlands]" c="Glenfield">
                <p n="[Local Organisation].[CAB].[Bureau].&amp;[Blaby CAB]&amp;[Leicestershire (member)]&amp;[East Midlands]"/>
                <p n="[Local Organisation].[CAB].[Member].&amp;[Leicestershire (member)]&amp;[East Midlands]"/>
                <p n="[Local Organisation].[CAB].[Government Region].&amp;[East Midlands]"/>
              </i>
              <i n="[Local Organisation].[CAB].[Outreach].&amp;[Blaby CAB]&amp;[Narborough]&amp;[Leicestershire (member)]&amp;[East Midlands]" c="Narborough">
                <p n="[Local Organisation].[CAB].[Bureau].&amp;[Blaby CAB]&amp;[Leicestershire (member)]&amp;[East Midlands]"/>
                <p n="[Local Organisation].[CAB].[Member].&amp;[Leicestershire (member)]&amp;[East Midlands]"/>
                <p n="[Local Organisation].[CAB].[Government Region].&amp;[East Midlands]"/>
              </i>
              <i n="[Local Organisation].[CAB].[Outreach].&amp;[Blaby CAB]&amp;[Not recorded/not applicable]&amp;[Leicestershire (member)]&amp;[East Midlands]" c="Not recorded/not applicable">
                <p n="[Local Organisation].[CAB].[Bureau].&amp;[Blaby CAB]&amp;[Leicestershire (member)]&amp;[East Midlands]"/>
                <p n="[Local Organisation].[CAB].[Member].&amp;[Leicestershire (member)]&amp;[East Midlands]"/>
                <p n="[Local Organisation].[CAB].[Government Region].&amp;[East Midlands]"/>
              </i>
              <i n="[Local Organisation].[CAB].[Outreach].&amp;[Blaby CAB]&amp;[Stoney Stanton]&amp;[Leicestershire (member)]&amp;[East Midlands]" c="Stoney Stanton">
                <p n="[Local Organisation].[CAB].[Bureau].&amp;[Blaby CAB]&amp;[Leicestershire (member)]&amp;[East Midlands]"/>
                <p n="[Local Organisation].[CAB].[Member].&amp;[Leicestershire (member)]&amp;[East Midlands]"/>
                <p n="[Local Organisation].[CAB].[Government Region].&amp;[East Midlands]"/>
              </i>
              <i n="[Local Organisation].[CAB].[Outreach].&amp;[Coalville CAB]&amp;[Coalville Ashby Outreach]&amp;[Leicestershire (member)]&amp;[East Midlands]" c="Coalville Ashby Outreach">
                <p n="[Local Organisation].[CAB].[Bureau].&amp;[Coalville CAB]&amp;[Leicestershire (member)]&amp;[East Midlands]"/>
                <p n="[Local Organisation].[CAB].[Member].&amp;[Leicestershire (member)]&amp;[East Midlands]"/>
                <p n="[Local Organisation].[CAB].[Government Region].&amp;[East Midlands]"/>
              </i>
              <i n="[Local Organisation].[CAB].[Outreach].&amp;[Coalville CAB]&amp;[Coalville Castle Donington Outreach]&amp;[Leicestershire (member)]&amp;[East Midlands]" c="Coalville Castle Donington Outreach">
                <p n="[Local Organisation].[CAB].[Bureau].&amp;[Coalville CAB]&amp;[Leicestershire (member)]&amp;[East Midlands]"/>
                <p n="[Local Organisation].[CAB].[Member].&amp;[Leicestershire (member)]&amp;[East Midlands]"/>
                <p n="[Local Organisation].[CAB].[Government Region].&amp;[East Midlands]"/>
              </i>
              <i n="[Local Organisation].[CAB].[Outreach].&amp;[Coalville CAB]&amp;[Not recorded/not applicable]&amp;[Leicestershire (member)]&amp;[East Midlands]" c="Not recorded/not applicable">
                <p n="[Local Organisation].[CAB].[Bureau].&amp;[Coalville CAB]&amp;[Leicestershire (member)]&amp;[East Midlands]"/>
                <p n="[Local Organisation].[CAB].[Member].&amp;[Leicestershire (member)]&amp;[East Midlands]"/>
                <p n="[Local Organisation].[CAB].[Government Region].&amp;[East Midlands]"/>
              </i>
              <i n="[Local Organisation].[CAB].[Outreach].&amp;[Hinckley CAB]&amp;[Not recorded/not applicable]&amp;[Leicestershire (member)]&amp;[East Midlands]" c="Not recorded/not applicable">
                <p n="[Local Organisation].[CAB].[Bureau].&amp;[Hinckley CAB]&amp;[Leicestershire (member)]&amp;[East Midlands]"/>
                <p n="[Local Organisation].[CAB].[Member].&amp;[Leicestershire (member)]&amp;[East Midlands]"/>
                <p n="[Local Organisation].[CAB].[Government Region].&amp;[East Midlands]"/>
              </i>
              <i n="[Local Organisation].[CAB].[Outreach].&amp;[Leicester City CAB]&amp;[Leicester City Outreach]&amp;[Leicestershire (member)]&amp;[East Midlands]" c="Leicester City Outreach">
                <p n="[Local Organisation].[CAB].[Bureau].&amp;[Leicester City CAB]&amp;[Leicestershire (member)]&amp;[East Midlands]"/>
                <p n="[Local Organisation].[CAB].[Member].&amp;[Leicestershire (member)]&amp;[East Midlands]"/>
                <p n="[Local Organisation].[CAB].[Government Region].&amp;[East Midlands]"/>
              </i>
              <i n="[Local Organisation].[CAB].[Outreach].&amp;[Leicester City CAB]&amp;[Not recorded/not applicable]&amp;[Leicestershire (member)]&amp;[East Midlands]" c="Not recorded/not applicable">
                <p n="[Local Organisation].[CAB].[Bureau].&amp;[Leicester City CAB]&amp;[Leicestershire (member)]&amp;[East Midlands]"/>
                <p n="[Local Organisation].[CAB].[Member].&amp;[Leicestershire (member)]&amp;[East Midlands]"/>
                <p n="[Local Organisation].[CAB].[Government Region].&amp;[East Midlands]"/>
              </i>
              <i n="[Local Organisation].[CAB].[Outreach].&amp;[LeicesterShire CAB Contact Centre]&amp;[Not recorded/not applicable]&amp;[Leicestershire (member)]&amp;[East Midlands]" c="Not recorded/not applicable">
                <p n="[Local Organisation].[CAB].[Bureau].&amp;[LeicesterShire CAB Contact Centre]&amp;[Leicestershire (member)]&amp;[East Midlands]"/>
                <p n="[Local Organisation].[CAB].[Member].&amp;[Leicestershire (member)]&amp;[East Midlands]"/>
                <p n="[Local Organisation].[CAB].[Government Region].&amp;[East Midlands]"/>
              </i>
              <i n="[Local Organisation].[CAB].[Outreach].&amp;[LeicesterShire CAB Macmillan]&amp;[Macmillan General Hospital]&amp;[Leicestershire (member)]&amp;[East Midlands]" c="Macmillan General Hospital">
                <p n="[Local Organisation].[CAB].[Bureau].&amp;[LeicesterShire CAB Macmillan]&amp;[Leicestershire (member)]&amp;[East Midlands]"/>
                <p n="[Local Organisation].[CAB].[Member].&amp;[Leicestershire (member)]&amp;[East Midlands]"/>
                <p n="[Local Organisation].[CAB].[Government Region].&amp;[East Midlands]"/>
              </i>
              <i n="[Local Organisation].[CAB].[Outreach].&amp;[LeicesterShire CAB Macmillan]&amp;[Macmillan Glenfield Hospital]&amp;[Leicestershire (member)]&amp;[East Midlands]" c="Macmillan Glenfield Hospital">
                <p n="[Local Organisation].[CAB].[Bureau].&amp;[LeicesterShire CAB Macmillan]&amp;[Leicestershire (member)]&amp;[East Midlands]"/>
                <p n="[Local Organisation].[CAB].[Member].&amp;[Leicestershire (member)]&amp;[East Midlands]"/>
                <p n="[Local Organisation].[CAB].[Government Region].&amp;[East Midlands]"/>
              </i>
              <i n="[Local Organisation].[CAB].[Outreach].&amp;[LeicesterShire CAB Macmillan]&amp;[Macmillan Home Visits]&amp;[Leicestershire (member)]&amp;[East Midlands]" c="Macmillan Home Visits">
                <p n="[Local Organisation].[CAB].[Bureau].&amp;[LeicesterShire CAB Macmillan]&amp;[Leicestershire (member)]&amp;[East Midlands]"/>
                <p n="[Local Organisation].[CAB].[Member].&amp;[Leicestershire (member)]&amp;[East Midlands]"/>
                <p n="[Local Organisation].[CAB].[Government Region].&amp;[East Midlands]"/>
              </i>
              <i n="[Local Organisation].[CAB].[Outreach].&amp;[LeicesterShire CAB Macmillan]&amp;[Macmillan Leicester City Office]&amp;[Leicestershire (member)]&amp;[East Midlands]" c="Macmillan Leicester City Office">
                <p n="[Local Organisation].[CAB].[Bureau].&amp;[LeicesterShire CAB Macmillan]&amp;[Leicestershire (member)]&amp;[East Midlands]"/>
                <p n="[Local Organisation].[CAB].[Member].&amp;[Leicestershire (member)]&amp;[East Midlands]"/>
                <p n="[Local Organisation].[CAB].[Government Region].&amp;[East Midlands]"/>
              </i>
              <i n="[Local Organisation].[CAB].[Outreach].&amp;[LeicesterShire CAB Macmillan]&amp;[Macmillan LRI]&amp;[Leicestershire (member)]&amp;[East Midlands]" c="Macmillan LRI">
                <p n="[Local Organisation].[CAB].[Bureau].&amp;[LeicesterShire CAB Macmillan]&amp;[Leicestershire (member)]&amp;[East Midlands]"/>
                <p n="[Local Organisation].[CAB].[Member].&amp;[Leicestershire (member)]&amp;[East Midlands]"/>
                <p n="[Local Organisation].[CAB].[Government Region].&amp;[East Midlands]"/>
              </i>
              <i n="[Local Organisation].[CAB].[Outreach].&amp;[LeicesterShire CAB Macmillan]&amp;[Macmillan VCC]&amp;[Leicestershire (member)]&amp;[East Midlands]" c="Macmillan VCC">
                <p n="[Local Organisation].[CAB].[Bureau].&amp;[LeicesterShire CAB Macmillan]&amp;[Leicestershire (member)]&amp;[East Midlands]"/>
                <p n="[Local Organisation].[CAB].[Member].&amp;[Leicestershire (member)]&amp;[East Midlands]"/>
                <p n="[Local Organisation].[CAB].[Government Region].&amp;[East Midlands]"/>
              </i>
              <i n="[Local Organisation].[CAB].[Outreach].&amp;[LeicesterShire CAB Macmillan]&amp;[Not recorded/not applicable]&amp;[Leicestershire (member)]&amp;[East Midlands]" c="Not recorded/not applicable">
                <p n="[Local Organisation].[CAB].[Bureau].&amp;[LeicesterShire CAB Macmillan]&amp;[Leicestershire (member)]&amp;[East Midlands]"/>
                <p n="[Local Organisation].[CAB].[Member].&amp;[Leicestershire (member)]&amp;[East Midlands]"/>
                <p n="[Local Organisation].[CAB].[Government Region].&amp;[East Midlands]"/>
              </i>
              <i n="[Local Organisation].[CAB].[Outreach].&amp;[LeicesterShire CAB Money Advice]&amp;[Not recorded/not applicable]&amp;[Leicestershire (member)]&amp;[East Midlands]" c="Not recorded/not applicable">
                <p n="[Local Organisation].[CAB].[Bureau].&amp;[LeicesterShire CAB Money Advice]&amp;[Leicestershire (member)]&amp;[East Midlands]"/>
                <p n="[Local Organisation].[CAB].[Member].&amp;[Leicestershire (member)]&amp;[East Midlands]"/>
                <p n="[Local Organisation].[CAB].[Government Region].&amp;[East Midlands]"/>
              </i>
              <i n="[Local Organisation].[CAB].[Outreach].&amp;[LeicesterShire CAB PensionWise]&amp;[Not recorded/not applicable]&amp;[Leicestershire (member)]&amp;[East Midlands]" c="Not recorded/not applicable">
                <p n="[Local Organisation].[CAB].[Bureau].&amp;[LeicesterShire CAB PensionWise]&amp;[Leicestershire (member)]&amp;[East Midlands]"/>
                <p n="[Local Organisation].[CAB].[Member].&amp;[Leicestershire (member)]&amp;[East Midlands]"/>
                <p n="[Local Organisation].[CAB].[Government Region].&amp;[East Midlands]"/>
              </i>
              <i n="[Local Organisation].[CAB].[Outreach].&amp;[Lutterworth CAB]&amp;[Lutterworth Broughton Astley Outreach]&amp;[Leicestershire (member)]&amp;[East Midlands]" c="Lutterworth Broughton Astley Outreach">
                <p n="[Local Organisation].[CAB].[Bureau].&amp;[Lutterworth CAB]&amp;[Leicestershire (member)]&amp;[East Midlands]"/>
                <p n="[Local Organisation].[CAB].[Member].&amp;[Leicestershire (member)]&amp;[East Midlands]"/>
                <p n="[Local Organisation].[CAB].[Government Region].&amp;[East Midlands]"/>
              </i>
              <i n="[Local Organisation].[CAB].[Outreach].&amp;[Lutterworth CAB]&amp;[Not recorded/not applicable]&amp;[Leicestershire (member)]&amp;[East Midlands]" c="Not recorded/not applicable">
                <p n="[Local Organisation].[CAB].[Bureau].&amp;[Lutterworth CAB]&amp;[Leicestershire (member)]&amp;[East Midlands]"/>
                <p n="[Local Organisation].[CAB].[Member].&amp;[Leicestershire (member)]&amp;[East Midlands]"/>
                <p n="[Local Organisation].[CAB].[Government Region].&amp;[East Midlands]"/>
              </i>
              <i n="[Local Organisation].[CAB].[Outreach].&amp;[Market Harborough CAB]&amp;[Fleckney]&amp;[Leicestershire (member)]&amp;[East Midlands]" c="Fleckney">
                <p n="[Local Organisation].[CAB].[Bureau].&amp;[Market Harborough CAB]&amp;[Leicestershire (member)]&amp;[East Midlands]"/>
                <p n="[Local Organisation].[CAB].[Member].&amp;[Leicestershire (member)]&amp;[East Midlands]"/>
                <p n="[Local Organisation].[CAB].[Government Region].&amp;[East Midlands]"/>
              </i>
              <i n="[Local Organisation].[CAB].[Outreach].&amp;[Market Harborough CAB]&amp;[Kibworth]&amp;[Leicestershire (member)]&amp;[East Midlands]" c="Kibworth">
                <p n="[Local Organisation].[CAB].[Bureau].&amp;[Market Harborough CAB]&amp;[Leicestershire (member)]&amp;[East Midlands]"/>
                <p n="[Local Organisation].[CAB].[Member].&amp;[Leicestershire (member)]&amp;[East Midlands]"/>
                <p n="[Local Organisation].[CAB].[Government Region].&amp;[East Midlands]"/>
              </i>
              <i n="[Local Organisation].[CAB].[Outreach].&amp;[Market Harborough CAB]&amp;[Not recorded/not applicable]&amp;[Leicestershire (member)]&amp;[East Midlands]" c="Not recorded/not applicable">
                <p n="[Local Organisation].[CAB].[Bureau].&amp;[Market Harborough CAB]&amp;[Leicestershire (member)]&amp;[East Midlands]"/>
                <p n="[Local Organisation].[CAB].[Member].&amp;[Leicestershire (member)]&amp;[East Midlands]"/>
                <p n="[Local Organisation].[CAB].[Government Region].&amp;[East Midlands]"/>
              </i>
              <i n="[Local Organisation].[CAB].[Outreach].&amp;[Melton CAB]&amp;[Not recorded/not applicable]&amp;[Leicestershire (member)]&amp;[East Midlands]" c="Not recorded/not applicable">
                <p n="[Local Organisation].[CAB].[Bureau].&amp;[Melton CAB]&amp;[Leicestershire (member)]&amp;[East Midlands]"/>
                <p n="[Local Organisation].[CAB].[Member].&amp;[Leicestershire (member)]&amp;[East Midlands]"/>
                <p n="[Local Organisation].[CAB].[Government Region].&amp;[East Midlands]"/>
              </i>
              <i n="[Local Organisation].[CAB].[Outreach].&amp;[Oadby &amp; Wigston CAB]&amp;[Not recorded/not applicable]&amp;[Leicestershire (member)]&amp;[East Midlands]" c="Not recorded/not applicable">
                <p n="[Local Organisation].[CAB].[Bureau].&amp;[Oadby &amp; Wigston CAB]&amp;[Leicestershire (member)]&amp;[East Midlands]"/>
                <p n="[Local Organisation].[CAB].[Member].&amp;[Leicestershire (member)]&amp;[East Midlands]"/>
                <p n="[Local Organisation].[CAB].[Government Region].&amp;[East Midlands]"/>
              </i>
              <i n="[Local Organisation].[CAB].[Outreach].&amp;[Oadby &amp; Wigston CAB]&amp;[Oadby &amp; Wigston - Oadby Library]&amp;[Leicestershire (member)]&amp;[East Midlands]" c="Oadby &amp; Wigston - Oadby Library">
                <p n="[Local Organisation].[CAB].[Bureau].&amp;[Oadby &amp; Wigston CAB]&amp;[Leicestershire (member)]&amp;[East Midlands]"/>
                <p n="[Local Organisation].[CAB].[Member].&amp;[Leicestershire (member)]&amp;[East Midlands]"/>
                <p n="[Local Organisation].[CAB].[Government Region].&amp;[East Midlands]"/>
              </i>
              <i n="[Local Organisation].[CAB].[Outreach].&amp;[Oadby &amp; Wigston CAB]&amp;[Oadby &amp; Wigston - South Wigston Helping Hands Building]&amp;[Leicestershire (member)]&amp;[East Midlands]" c="Oadby &amp; Wigston - South Wigston Helping Hands Building">
                <p n="[Local Organisation].[CAB].[Bureau].&amp;[Oadby &amp; Wigston CAB]&amp;[Leicestershire (member)]&amp;[East Midlands]"/>
                <p n="[Local Organisation].[CAB].[Member].&amp;[Leicestershire (member)]&amp;[East Midlands]"/>
                <p n="[Local Organisation].[CAB].[Government Region].&amp;[East Midlands]"/>
              </i>
              <i n="[Local Organisation].[CAB].[Outreach].&amp;[Oadby &amp; Wigston CAB]&amp;[Oadby &amp; Wigston - Wigston Customer Service Centre]&amp;[Leicestershire (member)]&amp;[East Midlands]" c="Oadby &amp; Wigston - Wigston Customer Service Centre">
                <p n="[Local Organisation].[CAB].[Bureau].&amp;[Oadby &amp; Wigston CAB]&amp;[Leicestershire (member)]&amp;[East Midlands]"/>
                <p n="[Local Organisation].[CAB].[Member].&amp;[Leicestershire (member)]&amp;[East Midlands]"/>
                <p n="[Local Organisation].[CAB].[Government Region].&amp;[East Midlands]"/>
              </i>
              <i n="[Local Organisation].[CAB].[Outreach].&amp;[South Wigston CAB]&amp;[Not recorded/not applicable]&amp;[Leicestershire (member)]&amp;[East Midlands]" c="Not recorded/not applicable">
                <p n="[Local Organisation].[CAB].[Bureau].&amp;[South Wigston CAB]&amp;[Leicestershire (member)]&amp;[East Midlands]"/>
                <p n="[Local Organisation].[CAB].[Member].&amp;[Leicestershire (member)]&amp;[East Midlands]"/>
                <p n="[Local Organisation].[CAB].[Government Region].&amp;[East Midlands]"/>
              </i>
              <i n="[Local Organisation].[CAB].[Outreach].&amp;[Lincoln &amp; District Citizens Advice Bureau]&amp;[Lincoln RAF Waddington]&amp;[Lincoln &amp; District (member)]&amp;[East Midlands]" c="Lincoln RAF Waddington">
                <p n="[Local Organisation].[CAB].[Bureau].&amp;[Lincoln &amp; District Citizens Advice Bureau]&amp;[Lincoln &amp; District (member)]&amp;[East Midlands]"/>
                <p n="[Local Organisation].[CAB].[Member].&amp;[Lincoln &amp; District (member)]&amp;[East Midlands]"/>
                <p n="[Local Organisation].[CAB].[Government Region].&amp;[East Midlands]"/>
              </i>
              <i n="[Local Organisation].[CAB].[Outreach].&amp;[Lincoln &amp; District Citizens Advice Bureau]&amp;[Not recorded/not applicable]&amp;[Lincoln &amp; District (member)]&amp;[East Midlands]" c="Not recorded/not applicable">
                <p n="[Local Organisation].[CAB].[Bureau].&amp;[Lincoln &amp; District Citizens Advice Bureau]&amp;[Lincoln &amp; District (member)]&amp;[East Midlands]"/>
                <p n="[Local Organisation].[CAB].[Member].&amp;[Lincoln &amp; District (member)]&amp;[East Midlands]"/>
                <p n="[Local Organisation].[CAB].[Government Region].&amp;[East Midlands]"/>
              </i>
              <i n="[Local Organisation].[CAB].[Outreach].&amp;[Mansfield Citizens Advice Bureau]&amp;[Mansfield Warsop Town Hall]&amp;[Mansfield (member)]&amp;[East Midlands]" c="Mansfield Warsop Town Hall">
                <p n="[Local Organisation].[CAB].[Bureau].&amp;[Mansfield Citizens Advice Bureau]&amp;[Mansfield (member)]&amp;[East Midlands]"/>
                <p n="[Local Organisation].[CAB].[Member].&amp;[Mansfield (member)]&amp;[East Midlands]"/>
                <p n="[Local Organisation].[CAB].[Government Region].&amp;[East Midlands]"/>
              </i>
              <i n="[Local Organisation].[CAB].[Outreach].&amp;[Mansfield Citizens Advice Bureau]&amp;[Not recorded/not applicable]&amp;[Mansfield (member)]&amp;[East Midlands]" c="Not recorded/not applicable">
                <p n="[Local Organisation].[CAB].[Bureau].&amp;[Mansfield Citizens Advice Bureau]&amp;[Mansfield (member)]&amp;[East Midlands]"/>
                <p n="[Local Organisation].[CAB].[Member].&amp;[Mansfield (member)]&amp;[East Midlands]"/>
                <p n="[Local Organisation].[CAB].[Government Region].&amp;[East Midlands]"/>
              </i>
              <i n="[Local Organisation].[CAB].[Outreach].&amp;[North East Derbyshire CAB]&amp;[North East Derbyshire - - Bainbridge Hall]&amp;[North East Derbyshire (member)]&amp;[East Midlands]" c="North East Derbyshire - - Bainbridge Hall">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 Bolsover Information Centre]&amp;[North East Derbyshire (member)]&amp;[East Midlands]" c="North East Derbyshire - - Bolsover Information Centr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 CABInstant]&amp;[North East Derbyshire (member)]&amp;[East Midlands]" c="North East Derbyshire - - CABInstant">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 Eckington Library]&amp;[North East Derbyshire (member)]&amp;[East Midlands]" c="North East Derbyshire - - Eckington Library">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 LT Heath Cond. Project]&amp;[North East Derbyshire (member)]&amp;[East Midlands]" c="North East Derbyshire - - LT Heath Cond. Project">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 Triage]&amp;[North East Derbyshire (member)]&amp;[East Midlands]" c="North East Derbyshire - - Triag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FAM - Bolsover]&amp;[North East Derbyshire (member)]&amp;[East Midlands]" c="North East Derbyshire - FAM - Bolsover">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FAM - Creswell]&amp;[North East Derbyshire (member)]&amp;[East Midlands]" c="North East Derbyshire - FAM - Creswell">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FAM - Dronfield]&amp;[North East Derbyshire (member)]&amp;[East Midlands]" c="North East Derbyshire - FAM - Dronfield">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FAM - Eckington]&amp;[North East Derbyshire (member)]&amp;[East Midlands]" c="North East Derbyshire - FAM - Eckington">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FAM - North Wingfield]&amp;[North East Derbyshire (member)]&amp;[East Midlands]" c="North East Derbyshire - FAM - North Wingfield">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FAM - Shirebrook]&amp;[North East Derbyshire (member)]&amp;[East Midlands]" c="North East Derbyshire - FAM - Shirebrook">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FAM - South Normanton]&amp;[North East Derbyshire (member)]&amp;[East Midlands]" c="North East Derbyshire - FAM - South Normanton">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Ashover Medical Centre]&amp;[North East Derbyshire (member)]&amp;[East Midlands]" c="North East Derbyshire - PCT - Ashover Medical Centr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Barlborough Medical Practice]&amp;[North East Derbyshire (member)]&amp;[East Midlands]" c="North East Derbyshire - PCT - Barlborough Medical Practic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Blackwell Medical Practice]&amp;[North East Derbyshire (member)]&amp;[East Midlands]" c="North East Derbyshire - PCT - Blackwell Medical Practic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Castle Street Surgery]&amp;[North East Derbyshire (member)]&amp;[East Midlands]" c="North East Derbyshire - PCT - Castle Street Surgery">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Creswell Medical Centre]&amp;[North East Derbyshire (member)]&amp;[East Midlands]" c="North East Derbyshire - PCT - Creswell Medical Centr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Dronfield Medical Practice]&amp;[North East Derbyshire (member)]&amp;[East Midlands]" c="North East Derbyshire - PCT - Dronfield Medical Practic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Eckington Health Centre]&amp;[North East Derbyshire (member)]&amp;[East Midlands]" c="North East Derbyshire - PCT - Eckington Health Centr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Emmett Carr Surgery]&amp;[North East Derbyshire (member)]&amp;[East Midlands]" c="North East Derbyshire - PCT - Emmett Carr Surgery">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Friendly Family Surgery]&amp;[North East Derbyshire (member)]&amp;[East Midlands]" c="North East Derbyshire - PCT - Friendly Family Surgery">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Gosforth Valley Surgery]&amp;[North East Derbyshire (member)]&amp;[East Midlands]" c="North East Derbyshire - PCT - Gosforth Valley Surgery">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Grassmoor Surgery]&amp;[North East Derbyshire (member)]&amp;[East Midlands]" c="North East Derbyshire - PCT - Grassmoor Surgery">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Killamarsh Clinic]&amp;[North East Derbyshire (member)]&amp;[East Midlands]" c="North East Derbyshire - PCT - Killamarsh Clinic">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Oakhill Medical Practice]&amp;[North East Derbyshire (member)]&amp;[East Midlands]" c="North East Derbyshire - PCT - Oakhill Medical Practic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Shires Health Care]&amp;[North East Derbyshire (member)]&amp;[East Midlands]" c="North East Derbyshire - PCT - Shires Health Car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Springs Health Centre]&amp;[North East Derbyshire (member)]&amp;[East Midlands]" c="North East Derbyshire - PCT - Springs Health Centr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St Lawrence Road Surgery]&amp;[North East Derbyshire (member)]&amp;[East Midlands]" c="North East Derbyshire - PCT - St Lawrence Road Surgery">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Staffa Health - Holmewood]&amp;[North East Derbyshire (member)]&amp;[East Midlands]" c="North East Derbyshire - PCT - Staffa Health - Holmewood">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Staffa Health - Pilsley]&amp;[North East Derbyshire (member)]&amp;[East Midlands]" c="North East Derbyshire - PCT - Staffa Health - Pilsley">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Staffa Health - Stonebroom]&amp;[North East Derbyshire (member)]&amp;[East Midlands]" c="North East Derbyshire - PCT - Staffa Health - Stonebroom">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Staffa Health - Tibshelf]&amp;[North East Derbyshire (member)]&amp;[East Midlands]" c="North East Derbyshire - PCT - Staffa Health - Tibshelf">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The Village Surgery - Pinxton]&amp;[North East Derbyshire (member)]&amp;[East Midlands]" c="North East Derbyshire - PCT - The Village Surgery - Pinxton">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The Village Surgery - South Normanton]&amp;[North East Derbyshire (member)]&amp;[East Midlands]" c="North East Derbyshire - PCT - The Village Surgery - South Normanton">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PCT - Welbeck Road Health Centre]&amp;[North East Derbyshire (member)]&amp;[East Midlands]" c="North East Derbyshire - PCT - Welbeck Road Health Centr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XXX - DO NOT USE - CC Blackwell]&amp;[North East Derbyshire (member)]&amp;[East Midlands]" c="North East Derbyshire - XXX - DO NOT USE - CC Blackwell">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XXX - DO NOT USE - CC Clay Cross]&amp;[North East Derbyshire (member)]&amp;[East Midlands]" c="North East Derbyshire - XXX - DO NOT USE - CC Clay Cross">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XXX - DO NOT USE - CC Clowne]&amp;[North East Derbyshire (member)]&amp;[East Midlands]" c="North East Derbyshire - XXX - DO NOT USE - CC Clown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XXX - DO NOT USE - CC Killamarsh]&amp;[North East Derbyshire (member)]&amp;[East Midlands]" c="North East Derbyshire - XXX - DO NOT USE - CC Killamarsh">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XXX - DO NOT USE - CC Stonebroom]&amp;[North East Derbyshire (member)]&amp;[East Midlands]" c="North East Derbyshire - XXX - DO NOT USE - CC Stonebroom">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XXX - DO NOT USE - CC Tupton]&amp;[North East Derbyshire (member)]&amp;[East Midlands]" c="North East Derbyshire - XXX - DO NOT USE - CC Tupton">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XXX - DO NOT USE - EC]&amp;[North East Derbyshire (member)]&amp;[East Midlands]" c="North East Derbyshire - XXX - DO NOT USE - EC">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rth East Derbyshire - XXX - DO NOT USE Clay Cross Bureau]&amp;[North East Derbyshire (member)]&amp;[East Midlands]" c="North East Derbyshire - XXX - DO NOT USE Clay Cross Bureau">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rth East Derbyshire CAB]&amp;[Not recorded/not applicable]&amp;[North East Derbyshire (member)]&amp;[East Midlands]" c="Not recorded/not applicable">
                <p n="[Local Organisation].[CAB].[Bureau].&amp;[North East Derbyshire CAB]&amp;[North East Derbyshire (member)]&amp;[East Midlands]"/>
                <p n="[Local Organisation].[CAB].[Member].&amp;[North East Derbyshire (member)]&amp;[East Midlands]"/>
                <p n="[Local Organisation].[CAB].[Government Region].&amp;[East Midlands]"/>
              </i>
              <i n="[Local Organisation].[CAB].[Outreach].&amp;[Nottingham &amp; DistrictCAB]&amp;[Not recorded/not applicable]&amp;[Nottingham &amp; District CAB (member)]&amp;[East Midlands]" c="Not recorded/not applicable">
                <p n="[Local Organisation].[CAB].[Bureau].&amp;[Nottingham &amp; DistrictCAB]&amp;[Nottingham &amp; District CAB (member)]&amp;[East Midlands]"/>
                <p n="[Local Organisation].[CAB].[Member].&amp;[Nottingham &amp; District CAB (member)]&amp;[East Midlands]"/>
                <p n="[Local Organisation].[CAB].[Government Region].&amp;[East Midlands]"/>
              </i>
              <i n="[Local Organisation].[CAB].[Outreach].&amp;[Nottingham &amp; DistrictCAB]&amp;[Nottingham &amp; District CAB - Arnold OR]&amp;[Nottingham &amp; District CAB (member)]&amp;[East Midlands]" c="Nottingham &amp; District CAB - Arnold OR">
                <p n="[Local Organisation].[CAB].[Bureau].&amp;[Nottingham &amp; DistrictCAB]&amp;[Nottingham &amp; District CAB (member)]&amp;[East Midlands]"/>
                <p n="[Local Organisation].[CAB].[Member].&amp;[Nottingham &amp; District CAB (member)]&amp;[East Midlands]"/>
                <p n="[Local Organisation].[CAB].[Government Region].&amp;[East Midlands]"/>
              </i>
              <i n="[Local Organisation].[CAB].[Outreach].&amp;[Nottingham &amp; DistrictCAB]&amp;[Nottingham &amp; District CAB - Calverton OR]&amp;[Nottingham &amp; District CAB (member)]&amp;[East Midlands]" c="Nottingham &amp; District CAB - Calverton OR">
                <p n="[Local Organisation].[CAB].[Bureau].&amp;[Nottingham &amp; DistrictCAB]&amp;[Nottingham &amp; District CAB (member)]&amp;[East Midlands]"/>
                <p n="[Local Organisation].[CAB].[Member].&amp;[Nottingham &amp; District CAB (member)]&amp;[East Midlands]"/>
                <p n="[Local Organisation].[CAB].[Government Region].&amp;[East Midlands]"/>
              </i>
              <i n="[Local Organisation].[CAB].[Outreach].&amp;[Nottingham &amp; DistrictCAB]&amp;[Nottingham &amp; District CAB - Edwards Lane OR]&amp;[Nottingham &amp; District CAB (member)]&amp;[East Midlands]" c="Nottingham &amp; District CAB - Edwards Lane OR">
                <p n="[Local Organisation].[CAB].[Bureau].&amp;[Nottingham &amp; DistrictCAB]&amp;[Nottingham &amp; District CAB (member)]&amp;[East Midlands]"/>
                <p n="[Local Organisation].[CAB].[Member].&amp;[Nottingham &amp; District CAB (member)]&amp;[East Midlands]"/>
                <p n="[Local Organisation].[CAB].[Government Region].&amp;[East Midlands]"/>
              </i>
              <i n="[Local Organisation].[CAB].[Outreach].&amp;[Nottingham &amp; DistrictCAB]&amp;[Nottingham &amp; District CAB - Gedling OR]&amp;[Nottingham &amp; District CAB (member)]&amp;[East Midlands]" c="Nottingham &amp; District CAB - Gedling OR">
                <p n="[Local Organisation].[CAB].[Bureau].&amp;[Nottingham &amp; DistrictCAB]&amp;[Nottingham &amp; District CAB (member)]&amp;[East Midlands]"/>
                <p n="[Local Organisation].[CAB].[Member].&amp;[Nottingham &amp; District CAB (member)]&amp;[East Midlands]"/>
                <p n="[Local Organisation].[CAB].[Government Region].&amp;[East Midlands]"/>
              </i>
              <i n="[Local Organisation].[CAB].[Outreach].&amp;[Nottingham &amp; DistrictCAB]&amp;[Nottingham &amp; District CAB - Netherfield OR]&amp;[Nottingham &amp; District CAB (member)]&amp;[East Midlands]" c="Nottingham &amp; District CAB - Netherfield OR">
                <p n="[Local Organisation].[CAB].[Bureau].&amp;[Nottingham &amp; DistrictCAB]&amp;[Nottingham &amp; District CAB (member)]&amp;[East Midlands]"/>
                <p n="[Local Organisation].[CAB].[Member].&amp;[Nottingham &amp; District CAB (member)]&amp;[East Midlands]"/>
                <p n="[Local Organisation].[CAB].[Government Region].&amp;[East Midlands]"/>
              </i>
              <i n="[Local Organisation].[CAB].[Outreach].&amp;[Nottingham &amp; DistrictCAB]&amp;[Nottingham &amp; District CAB - Netherfield PCT]&amp;[Nottingham &amp; District CAB (member)]&amp;[East Midlands]" c="Nottingham &amp; District CAB - Netherfield PCT">
                <p n="[Local Organisation].[CAB].[Bureau].&amp;[Nottingham &amp; DistrictCAB]&amp;[Nottingham &amp; District CAB (member)]&amp;[East Midlands]"/>
                <p n="[Local Organisation].[CAB].[Member].&amp;[Nottingham &amp; District CAB (member)]&amp;[East Midlands]"/>
                <p n="[Local Organisation].[CAB].[Government Region].&amp;[East Midlands]"/>
              </i>
              <i n="[Local Organisation].[CAB].[Outreach].&amp;[Nottingham &amp; DistrictCAB]&amp;[Nottingham &amp; District CAB - Newstead OR]&amp;[Nottingham &amp; District CAB (member)]&amp;[East Midlands]" c="Nottingham &amp; District CAB - Newstead OR">
                <p n="[Local Organisation].[CAB].[Bureau].&amp;[Nottingham &amp; DistrictCAB]&amp;[Nottingham &amp; District CAB (member)]&amp;[East Midlands]"/>
                <p n="[Local Organisation].[CAB].[Member].&amp;[Nottingham &amp; District CAB (member)]&amp;[East Midlands]"/>
                <p n="[Local Organisation].[CAB].[Government Region].&amp;[East Midlands]"/>
              </i>
              <i n="[Local Organisation].[CAB].[Outreach].&amp;[Nottingham &amp; DistrictCAB]&amp;[Nottingham &amp; District CAB - West Bridgford OR]&amp;[Nottingham &amp; District CAB (member)]&amp;[East Midlands]" c="Nottingham &amp; District CAB - West Bridgford OR">
                <p n="[Local Organisation].[CAB].[Bureau].&amp;[Nottingham &amp; DistrictCAB]&amp;[Nottingham &amp; District CAB (member)]&amp;[East Midlands]"/>
                <p n="[Local Organisation].[CAB].[Member].&amp;[Nottingham &amp; District CAB (member)]&amp;[East Midlands]"/>
                <p n="[Local Organisation].[CAB].[Government Region].&amp;[East Midlands]"/>
              </i>
              <i n="[Local Organisation].[CAB].[Outreach].&amp;[Rutland CAB]&amp;[Not recorded/not applicable]&amp;[Rutland (member)]&amp;[East Midlands]" c="Not recorded/not applicable">
                <p n="[Local Organisation].[CAB].[Bureau].&amp;[Rutland CAB]&amp;[Rutland (member)]&amp;[East Midlands]"/>
                <p n="[Local Organisation].[CAB].[Member].&amp;[Rutland (member)]&amp;[East Midlands]"/>
                <p n="[Local Organisation].[CAB].[Government Region].&amp;[East Midlands]"/>
              </i>
              <i n="[Local Organisation].[CAB].[Outreach].&amp;[Rutland CAB]&amp;[Rutland - GP Hub]&amp;[Rutland (member)]&amp;[East Midlands]" c="Rutland - GP Hub">
                <p n="[Local Organisation].[CAB].[Bureau].&amp;[Rutland CAB]&amp;[Rutland (member)]&amp;[East Midlands]"/>
                <p n="[Local Organisation].[CAB].[Member].&amp;[Rutland (member)]&amp;[East Midlands]"/>
                <p n="[Local Organisation].[CAB].[Government Region].&amp;[East Midlands]"/>
              </i>
              <i n="[Local Organisation].[CAB].[Outreach].&amp;[Rutland CAB]&amp;[Rutland RAF Wittering]&amp;[Rutland (member)]&amp;[East Midlands]" c="Rutland RAF Wittering">
                <p n="[Local Organisation].[CAB].[Bureau].&amp;[Rutland CAB]&amp;[Rutland (member)]&amp;[East Midlands]"/>
                <p n="[Local Organisation].[CAB].[Member].&amp;[Rutland (member)]&amp;[East Midlands]"/>
                <p n="[Local Organisation].[CAB].[Government Region].&amp;[East Midlands]"/>
              </i>
              <i n="[Local Organisation].[CAB].[Outreach].&amp;[Sherwood and Newark CAB (Newark)]&amp;[Not recorded/not applicable]&amp;[Sherwood and Newark (member)]&amp;[East Midlands]" c="Not recorded/not applicable">
                <p n="[Local Organisation].[CAB].[Bureau].&amp;[Sherwood and Newark CAB (Newark)]&amp;[Sherwood and Newark (member)]&amp;[East Midlands]"/>
                <p n="[Local Organisation].[CAB].[Member].&amp;[Sherwood and Newark (member)]&amp;[East Midlands]"/>
                <p n="[Local Organisation].[CAB].[Government Region].&amp;[East Midlands]"/>
              </i>
              <i n="[Local Organisation].[CAB].[Outreach].&amp;[Sherwood and Newark CAB (Ollerton)]&amp;[Not recorded/not applicable]&amp;[Sherwood and Newark (member)]&amp;[East Midlands]" c="Not recorded/not applicable">
                <p n="[Local Organisation].[CAB].[Bureau].&amp;[Sherwood and Newark CAB (Ollerton)]&amp;[Sherwood and Newark (member)]&amp;[East Midlands]"/>
                <p n="[Local Organisation].[CAB].[Member].&amp;[Sherwood and Newark (member)]&amp;[East Midlands]"/>
                <p n="[Local Organisation].[CAB].[Government Region].&amp;[East Midlands]"/>
              </i>
              <i n="[Local Organisation].[CAB].[Outreach].&amp;[Sherwood and Newark CAB (Ollerton)]&amp;[Sherwood &amp; Newark CAB, Blidworth Outreach]&amp;[Sherwood and Newark (member)]&amp;[East Midlands]" c="Sherwood &amp; Newark CAB, Blidworth Outreach">
                <p n="[Local Organisation].[CAB].[Bureau].&amp;[Sherwood and Newark CAB (Ollerton)]&amp;[Sherwood and Newark (member)]&amp;[East Midlands]"/>
                <p n="[Local Organisation].[CAB].[Member].&amp;[Sherwood and Newark (member)]&amp;[East Midlands]"/>
                <p n="[Local Organisation].[CAB].[Government Region].&amp;[East Midlands]"/>
              </i>
              <i n="[Local Organisation].[CAB].[Outreach].&amp;[Sherwood and Newark CAB (Ollerton)]&amp;[Sherwood &amp; Newark CAB: Bilsthorpe]&amp;[Sherwood and Newark (member)]&amp;[East Midlands]" c="Sherwood &amp; Newark CAB: Bilsthorpe">
                <p n="[Local Organisation].[CAB].[Bureau].&amp;[Sherwood and Newark CAB (Ollerton)]&amp;[Sherwood and Newark (member)]&amp;[East Midlands]"/>
                <p n="[Local Organisation].[CAB].[Member].&amp;[Sherwood and Newark (member)]&amp;[East Midlands]"/>
                <p n="[Local Organisation].[CAB].[Government Region].&amp;[East Midlands]"/>
              </i>
              <i n="[Local Organisation].[CAB].[Outreach].&amp;[Sherwood and Newark CAB (Ollerton)]&amp;[Sherwood &amp; Newark CAB: Clipstone]&amp;[Sherwood and Newark (member)]&amp;[East Midlands]" c="Sherwood &amp; Newark CAB: Clipstone">
                <p n="[Local Organisation].[CAB].[Bureau].&amp;[Sherwood and Newark CAB (Ollerton)]&amp;[Sherwood and Newark (member)]&amp;[East Midlands]"/>
                <p n="[Local Organisation].[CAB].[Member].&amp;[Sherwood and Newark (member)]&amp;[East Midlands]"/>
                <p n="[Local Organisation].[CAB].[Government Region].&amp;[East Midlands]"/>
              </i>
              <i n="[Local Organisation].[CAB].[Outreach].&amp;[South Derbyshire Citizens Advice Bureau]&amp;[Not recorded/not applicable]&amp;[South Derbyshire (member)]&amp;[East Midlands]" c="Not recorded/not applicable">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Darklands Road  Surgery]&amp;[South Derbyshire (member)]&amp;[East Midlands]" c="South Derbyshire Darklands Road  Surgery">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DIG-IT]&amp;[South Derbyshire (member)]&amp;[East Midlands]" c="South Derbyshire DIG-IT">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District Council for Woodville Surgery]&amp;[South Derbyshire (member)]&amp;[East Midlands]" c="South Derbyshire District Council for Woodville Surgery">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South Derbyshire Gresleydale GP Practice]&amp;[South Derbyshire (member)]&amp;[East Midlands]" c="South Derbyshire South Derbyshire Gresleydale GP Practice">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South Derbyshire Heartwood Medical Centre]&amp;[South Derbyshire (member)]&amp;[East Midlands]" c="South Derbyshire South Derbyshire Heartwood Medical Centre">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South Derbyshire Melbourne Surgery]&amp;[South Derbyshire (member)]&amp;[East Midlands]" c="South Derbyshire South Derbyshire Melbourne Surgery">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South Derbyshire Newhall Old post]&amp;[South Derbyshire (member)]&amp;[East Midlands]" c="South Derbyshire South Derbyshire Newhall Old post">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South Derbyshire Overseal Surgery]&amp;[South Derbyshire (member)]&amp;[East Midlands]" c="South Derbyshire South Derbyshire Overseal Surgery">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South Derbyshire Wellbrook Surgery]&amp;[South Derbyshire (member)]&amp;[East Midlands]" c="South Derbyshire South Derbyshire Wellbrook Surgery">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South Derbyshire Citizens Advice Bureau]&amp;[South Derbyshire South Derbyshire Willington GP Practice]&amp;[South Derbyshire (member)]&amp;[East Midlands]" c="South Derbyshire South Derbyshire Willington GP Practice">
                <p n="[Local Organisation].[CAB].[Bureau].&amp;[South Derbyshire Citizens Advice Bureau]&amp;[South Derbyshire (member)]&amp;[East Midlands]"/>
                <p n="[Local Organisation].[CAB].[Member].&amp;[South Derbyshire (member)]&amp;[East Midlands]"/>
                <p n="[Local Organisation].[CAB].[Government Region].&amp;[East Midlands]"/>
              </i>
              <i n="[Local Organisation].[CAB].[Outreach].&amp;[West Lindsey Citizens Advice Bureau]&amp;[Not recorded/not applicable]&amp;[West Lindsey (member)]&amp;[East Midlands]" c="Not recorded/not applicable">
                <p n="[Local Organisation].[CAB].[Bureau].&amp;[West Lindsey Citizens Advice Bureau]&amp;[West Lindsey (member)]&amp;[East Midlands]"/>
                <p n="[Local Organisation].[CAB].[Member].&amp;[West Lindsey (member)]&amp;[East Midlands]"/>
                <p n="[Local Organisation].[CAB].[Government Region].&amp;[East Midlands]"/>
              </i>
              <i n="[Local Organisation].[CAB].[Outreach].&amp;[West Lindsey Citizens Advice Bureau]&amp;[West Lindsey Binbrook Children's Centre]&amp;[West Lindsey (member)]&amp;[East Midlands]" c="West Lindsey Binbrook Children's Centre">
                <p n="[Local Organisation].[CAB].[Bureau].&amp;[West Lindsey Citizens Advice Bureau]&amp;[West Lindsey (member)]&amp;[East Midlands]"/>
                <p n="[Local Organisation].[CAB].[Member].&amp;[West Lindsey (member)]&amp;[East Midlands]"/>
                <p n="[Local Organisation].[CAB].[Government Region].&amp;[East Midlands]"/>
              </i>
              <i n="[Local Organisation].[CAB].[Outreach].&amp;[West Lindsey Citizens Advice Bureau]&amp;[West Lindsey Brookenby]&amp;[West Lindsey (member)]&amp;[East Midlands]" c="West Lindsey Brookenby">
                <p n="[Local Organisation].[CAB].[Bureau].&amp;[West Lindsey Citizens Advice Bureau]&amp;[West Lindsey (member)]&amp;[East Midlands]"/>
                <p n="[Local Organisation].[CAB].[Member].&amp;[West Lindsey (member)]&amp;[East Midlands]"/>
                <p n="[Local Organisation].[CAB].[Government Region].&amp;[East Midlands]"/>
              </i>
              <i n="[Local Organisation].[CAB].[Outreach].&amp;[West Lindsey Citizens Advice Bureau]&amp;[West Lindsey Caistor Arts &amp; Heritage Centre]&amp;[West Lindsey (member)]&amp;[East Midlands]" c="West Lindsey Caistor Arts &amp; Heritage Centre">
                <p n="[Local Organisation].[CAB].[Bureau].&amp;[West Lindsey Citizens Advice Bureau]&amp;[West Lindsey (member)]&amp;[East Midlands]"/>
                <p n="[Local Organisation].[CAB].[Member].&amp;[West Lindsey (member)]&amp;[East Midlands]"/>
                <p n="[Local Organisation].[CAB].[Government Region].&amp;[East Midlands]"/>
              </i>
              <i n="[Local Organisation].[CAB].[Outreach].&amp;[West Lindsey Citizens Advice Bureau]&amp;[West Lindsey Caistor Multi-use Centre]&amp;[West Lindsey (member)]&amp;[East Midlands]" c="West Lindsey Caistor Multi-use Centre">
                <p n="[Local Organisation].[CAB].[Bureau].&amp;[West Lindsey Citizens Advice Bureau]&amp;[West Lindsey (member)]&amp;[East Midlands]"/>
                <p n="[Local Organisation].[CAB].[Member].&amp;[West Lindsey (member)]&amp;[East Midlands]"/>
                <p n="[Local Organisation].[CAB].[Government Region].&amp;[East Midlands]"/>
              </i>
              <i n="[Local Organisation].[CAB].[Outreach].&amp;[West Lindsey Citizens Advice Bureau]&amp;[West Lindsey Hemswell Cliff Children's Centre]&amp;[West Lindsey (member)]&amp;[East Midlands]" c="West Lindsey Hemswell Cliff Children's Centre">
                <p n="[Local Organisation].[CAB].[Bureau].&amp;[West Lindsey Citizens Advice Bureau]&amp;[West Lindsey (member)]&amp;[East Midlands]"/>
                <p n="[Local Organisation].[CAB].[Member].&amp;[West Lindsey (member)]&amp;[East Midlands]"/>
                <p n="[Local Organisation].[CAB].[Government Region].&amp;[East Midlands]"/>
              </i>
              <i n="[Local Organisation].[CAB].[Outreach].&amp;[West Lindsey Citizens Advice Bureau]&amp;[West Lindsey Market Rasen Children's Centre]&amp;[West Lindsey (member)]&amp;[East Midlands]" c="West Lindsey Market Rasen Children's Centre">
                <p n="[Local Organisation].[CAB].[Bureau].&amp;[West Lindsey Citizens Advice Bureau]&amp;[West Lindsey (member)]&amp;[East Midlands]"/>
                <p n="[Local Organisation].[CAB].[Member].&amp;[West Lindsey (member)]&amp;[East Midlands]"/>
                <p n="[Local Organisation].[CAB].[Government Region].&amp;[East Midlands]"/>
              </i>
              <i n="[Local Organisation].[CAB].[Outreach].&amp;[West Lindsey Citizens Advice Bureau]&amp;[West Lindsey Market Rasen CLIP]&amp;[West Lindsey (member)]&amp;[East Midlands]" c="West Lindsey Market Rasen CLIP">
                <p n="[Local Organisation].[CAB].[Bureau].&amp;[West Lindsey Citizens Advice Bureau]&amp;[West Lindsey (member)]&amp;[East Midlands]"/>
                <p n="[Local Organisation].[CAB].[Member].&amp;[West Lindsey (member)]&amp;[East Midlands]"/>
                <p n="[Local Organisation].[CAB].[Government Region].&amp;[East Midlands]"/>
              </i>
              <i n="[Local Organisation].[CAB].[Outreach].&amp;[West Lindsey Citizens Advice Bureau]&amp;[West Lindsey Market Rasen Hub]&amp;[West Lindsey (member)]&amp;[East Midlands]" c="West Lindsey Market Rasen Hub">
                <p n="[Local Organisation].[CAB].[Bureau].&amp;[West Lindsey Citizens Advice Bureau]&amp;[West Lindsey (member)]&amp;[East Midlands]"/>
                <p n="[Local Organisation].[CAB].[Member].&amp;[West Lindsey (member)]&amp;[East Midlands]"/>
                <p n="[Local Organisation].[CAB].[Government Region].&amp;[East Midlands]"/>
              </i>
              <i n="[Local Organisation].[CAB].[Outreach].&amp;[West Lindsey Citizens Advice Bureau]&amp;[West Lindsey Spare]&amp;[West Lindsey (member)]&amp;[East Midlands]" c="West Lindsey Spare">
                <p n="[Local Organisation].[CAB].[Bureau].&amp;[West Lindsey Citizens Advice Bureau]&amp;[West Lindsey (member)]&amp;[East Midlands]"/>
                <p n="[Local Organisation].[CAB].[Member].&amp;[West Lindsey (member)]&amp;[East Midlands]"/>
                <p n="[Local Organisation].[CAB].[Government Region].&amp;[East Midlands]"/>
              </i>
              <i n="[Local Organisation].[CAB].[Outreach].&amp;[Basildon]&amp;[Not recorded/not applicable]&amp;[Basildon District (member)]&amp;[Eastern]" c="Not recorded/not applicable">
                <p n="[Local Organisation].[CAB].[Bureau].&amp;[Basildon]&amp;[Basildon District (member)]&amp;[Eastern]"/>
                <p n="[Local Organisation].[CAB].[Member].&amp;[Basildon District (member)]&amp;[Eastern]"/>
                <p n="[Local Organisation].[CAB].[Government Region].&amp;[Eastern]"/>
              </i>
              <i n="[Local Organisation].[CAB].[Outreach].&amp;[Billericay]&amp;[Not recorded/not applicable]&amp;[Basildon District (member)]&amp;[Eastern]" c="Not recorded/not applicable">
                <p n="[Local Organisation].[CAB].[Bureau].&amp;[Billericay]&amp;[Basildon District (member)]&amp;[Eastern]"/>
                <p n="[Local Organisation].[CAB].[Member].&amp;[Basildon District (member)]&amp;[Eastern]"/>
                <p n="[Local Organisation].[CAB].[Government Region].&amp;[Eastern]"/>
              </i>
              <i n="[Local Organisation].[CAB].[Outreach].&amp;[Wickford]&amp;[Not recorded/not applicable]&amp;[Basildon District (member)]&amp;[Eastern]" c="Not recorded/not applicable">
                <p n="[Local Organisation].[CAB].[Bureau].&amp;[Wickford]&amp;[Basildon District (member)]&amp;[Eastern]"/>
                <p n="[Local Organisation].[CAB].[Member].&amp;[Basildon District (member)]&amp;[Eastern]"/>
                <p n="[Local Organisation].[CAB].[Government Region].&amp;[Eastern]"/>
              </i>
              <i n="[Local Organisation].[CAB].[Outreach].&amp;[Bedford &amp; District CAB]&amp;[Bedford London Road Outreach]&amp;[Bedford &amp; District (member)]&amp;[Eastern]" c="Bedford London Road Outreach">
                <p n="[Local Organisation].[CAB].[Bureau].&amp;[Bedford &amp; District CAB]&amp;[Bedford &amp; District (member)]&amp;[Eastern]"/>
                <p n="[Local Organisation].[CAB].[Member].&amp;[Bedford &amp; District (member)]&amp;[Eastern]"/>
                <p n="[Local Organisation].[CAB].[Government Region].&amp;[Eastern]"/>
              </i>
              <i n="[Local Organisation].[CAB].[Outreach].&amp;[Bedford &amp; District CAB]&amp;[Not recorded/not applicable]&amp;[Bedford &amp; District (member)]&amp;[Eastern]" c="Not recorded/not applicable">
                <p n="[Local Organisation].[CAB].[Bureau].&amp;[Bedford &amp; District CAB]&amp;[Bedford &amp; District (member)]&amp;[Eastern]"/>
                <p n="[Local Organisation].[CAB].[Member].&amp;[Bedford &amp; District (member)]&amp;[Eastern]"/>
                <p n="[Local Organisation].[CAB].[Government Region].&amp;[Eastern]"/>
              </i>
              <i n="[Local Organisation].[CAB].[Outreach].&amp;[BHWCAB Braintree]&amp;[Not recorded/not applicable]&amp;[BraintreeHalsteadWitham (member)]&amp;[Eastern]" c="Not recorded/not applicable">
                <p n="[Local Organisation].[CAB].[Bureau].&amp;[BHWCAB Braintree]&amp;[BraintreeHalsteadWitham (member)]&amp;[Eastern]"/>
                <p n="[Local Organisation].[CAB].[Member].&amp;[BraintreeHalsteadWitham (member)]&amp;[Eastern]"/>
                <p n="[Local Organisation].[CAB].[Government Region].&amp;[Eastern]"/>
              </i>
              <i n="[Local Organisation].[CAB].[Outreach].&amp;[BHWCAB Halstead]&amp;[Halstead Coggeshall Village Hall]&amp;[BraintreeHalsteadWitham (member)]&amp;[Eastern]" c="Halstead Coggeshall Village Hall">
                <p n="[Local Organisation].[CAB].[Bureau].&amp;[BHWCAB Halstead]&amp;[BraintreeHalsteadWitham (member)]&amp;[Eastern]"/>
                <p n="[Local Organisation].[CAB].[Member].&amp;[BraintreeHalsteadWitham (member)]&amp;[Eastern]"/>
                <p n="[Local Organisation].[CAB].[Government Region].&amp;[Eastern]"/>
              </i>
              <i n="[Local Organisation].[CAB].[Outreach].&amp;[BHWCAB Halstead]&amp;[Not recorded/not applicable]&amp;[BraintreeHalsteadWitham (member)]&amp;[Eastern]" c="Not recorded/not applicable">
                <p n="[Local Organisation].[CAB].[Bureau].&amp;[BHWCAB Halstead]&amp;[BraintreeHalsteadWitham (member)]&amp;[Eastern]"/>
                <p n="[Local Organisation].[CAB].[Member].&amp;[BraintreeHalsteadWitham (member)]&amp;[Eastern]"/>
                <p n="[Local Organisation].[CAB].[Government Region].&amp;[Eastern]"/>
              </i>
              <i n="[Local Organisation].[CAB].[Outreach].&amp;[BHWCAB Witham]&amp;[Not recorded/not applicable]&amp;[BraintreeHalsteadWitham (member)]&amp;[Eastern]" c="Not recorded/not applicable">
                <p n="[Local Organisation].[CAB].[Bureau].&amp;[BHWCAB Witham]&amp;[BraintreeHalsteadWitham (member)]&amp;[Eastern]"/>
                <p n="[Local Organisation].[CAB].[Member].&amp;[BraintreeHalsteadWitham (member)]&amp;[Eastern]"/>
                <p n="[Local Organisation].[CAB].[Government Region].&amp;[Eastern]"/>
              </i>
              <i n="[Local Organisation].[CAB].[Outreach].&amp;[Brentwood Citizens Advice Bureau]&amp;[Brentwood - Town Hall]&amp;[Brentwood (member)]&amp;[Eastern]" c="Brentwood - Town Hall">
                <p n="[Local Organisation].[CAB].[Bureau].&amp;[Brentwood Citizens Advice Bureau]&amp;[Brentwood (member)]&amp;[Eastern]"/>
                <p n="[Local Organisation].[CAB].[Member].&amp;[Brentwood (member)]&amp;[Eastern]"/>
                <p n="[Local Organisation].[CAB].[Government Region].&amp;[Eastern]"/>
              </i>
              <i n="[Local Organisation].[CAB].[Outreach].&amp;[Brentwood Citizens Advice Bureau]&amp;[Brentwood Ford Motor Company - Dunton]&amp;[Brentwood (member)]&amp;[Eastern]" c="Brentwood Ford Motor Company - Dunton">
                <p n="[Local Organisation].[CAB].[Bureau].&amp;[Brentwood Citizens Advice Bureau]&amp;[Brentwood (member)]&amp;[Eastern]"/>
                <p n="[Local Organisation].[CAB].[Member].&amp;[Brentwood (member)]&amp;[Eastern]"/>
                <p n="[Local Organisation].[CAB].[Government Region].&amp;[Eastern]"/>
              </i>
              <i n="[Local Organisation].[CAB].[Outreach].&amp;[Brentwood Citizens Advice Bureau]&amp;[Brentwood Ford Motor Company - Warley]&amp;[Brentwood (member)]&amp;[Eastern]" c="Brentwood Ford Motor Company - Warley">
                <p n="[Local Organisation].[CAB].[Bureau].&amp;[Brentwood Citizens Advice Bureau]&amp;[Brentwood (member)]&amp;[Eastern]"/>
                <p n="[Local Organisation].[CAB].[Member].&amp;[Brentwood (member)]&amp;[Eastern]"/>
                <p n="[Local Organisation].[CAB].[Government Region].&amp;[Eastern]"/>
              </i>
              <i n="[Local Organisation].[CAB].[Outreach].&amp;[Brentwood Citizens Advice Bureau]&amp;[Not recorded/not applicable]&amp;[Brentwood (member)]&amp;[Eastern]" c="Not recorded/not applicable">
                <p n="[Local Organisation].[CAB].[Bureau].&amp;[Brentwood Citizens Advice Bureau]&amp;[Brentwood (member)]&amp;[Eastern]"/>
                <p n="[Local Organisation].[CAB].[Member].&amp;[Brentwood (member)]&amp;[Eastern]"/>
                <p n="[Local Organisation].[CAB].[Government Region].&amp;[Eastern]"/>
              </i>
              <i n="[Local Organisation].[CAB].[Outreach].&amp;[Broxbourne (Cheshunt) CAB]&amp;[Broxbourne (Cheshunt) Library Hoddesdon]&amp;[Broxbourne (Cheshunt) (member)]&amp;[Eastern]" c="Broxbourne (Cheshunt) Library Hoddesdon">
                <p n="[Local Organisation].[CAB].[Bureau].&amp;[Broxbourne (Cheshunt) CAB]&amp;[Broxbourne (Cheshunt) (member)]&amp;[Eastern]"/>
                <p n="[Local Organisation].[CAB].[Member].&amp;[Broxbourne (Cheshunt) (member)]&amp;[Eastern]"/>
                <p n="[Local Organisation].[CAB].[Government Region].&amp;[Eastern]"/>
              </i>
              <i n="[Local Organisation].[CAB].[Outreach].&amp;[Broxbourne (Cheshunt) CAB]&amp;[Broxbourne (Cheshunt) One Stop Shop Hoddesdon]&amp;[Broxbourne (Cheshunt) (member)]&amp;[Eastern]" c="Broxbourne (Cheshunt) One Stop Shop Hoddesdon">
                <p n="[Local Organisation].[CAB].[Bureau].&amp;[Broxbourne (Cheshunt) CAB]&amp;[Broxbourne (Cheshunt) (member)]&amp;[Eastern]"/>
                <p n="[Local Organisation].[CAB].[Member].&amp;[Broxbourne (Cheshunt) (member)]&amp;[Eastern]"/>
                <p n="[Local Organisation].[CAB].[Government Region].&amp;[Eastern]"/>
              </i>
              <i n="[Local Organisation].[CAB].[Outreach].&amp;[Broxbourne (Cheshunt) CAB]&amp;[Broxbourne (Cheshunt) One Stop Shop Waltham Cross]&amp;[Broxbourne (Cheshunt) (member)]&amp;[Eastern]" c="Broxbourne (Cheshunt) One Stop Shop Waltham Cross">
                <p n="[Local Organisation].[CAB].[Bureau].&amp;[Broxbourne (Cheshunt) CAB]&amp;[Broxbourne (Cheshunt) (member)]&amp;[Eastern]"/>
                <p n="[Local Organisation].[CAB].[Member].&amp;[Broxbourne (Cheshunt) (member)]&amp;[Eastern]"/>
                <p n="[Local Organisation].[CAB].[Government Region].&amp;[Eastern]"/>
              </i>
              <i n="[Local Organisation].[CAB].[Outreach].&amp;[Broxbourne (Cheshunt) CAB]&amp;[Not recorded/not applicable]&amp;[Broxbourne (Cheshunt) (member)]&amp;[Eastern]" c="Not recorded/not applicable">
                <p n="[Local Organisation].[CAB].[Bureau].&amp;[Broxbourne (Cheshunt) CAB]&amp;[Broxbourne (Cheshunt) (member)]&amp;[Eastern]"/>
                <p n="[Local Organisation].[CAB].[Member].&amp;[Broxbourne (Cheshunt) (member)]&amp;[Eastern]"/>
                <p n="[Local Organisation].[CAB].[Government Region].&amp;[Eastern]"/>
              </i>
              <i n="[Local Organisation].[CAB].[Outreach].&amp;[Cambridge Citizens Advice Bureau]&amp;[Cambridge Addenbrookes Hospital]&amp;[Cambridge (member)]&amp;[Eastern]" c="Cambridge Addenbrookes Hospital">
                <p n="[Local Organisation].[CAB].[Bureau].&amp;[Cambridge Citizens Advice Bureau]&amp;[Cambridge (member)]&amp;[Eastern]"/>
                <p n="[Local Organisation].[CAB].[Member].&amp;[Cambridge (member)]&amp;[Eastern]"/>
                <p n="[Local Organisation].[CAB].[Government Region].&amp;[Eastern]"/>
              </i>
              <i n="[Local Organisation].[CAB].[Outreach].&amp;[Cambridge Citizens Advice Bureau]&amp;[Cambridge City Council Mandela House]&amp;[Cambridge (member)]&amp;[Eastern]" c="Cambridge City Council Mandela House">
                <p n="[Local Organisation].[CAB].[Bureau].&amp;[Cambridge Citizens Advice Bureau]&amp;[Cambridge (member)]&amp;[Eastern]"/>
                <p n="[Local Organisation].[CAB].[Member].&amp;[Cambridge (member)]&amp;[Eastern]"/>
                <p n="[Local Organisation].[CAB].[Government Region].&amp;[Eastern]"/>
              </i>
              <i n="[Local Organisation].[CAB].[Outreach].&amp;[Cambridge Citizens Advice Bureau]&amp;[Cambridge East Barnwell]&amp;[Cambridge (member)]&amp;[Eastern]" c="Cambridge East Barnwell">
                <p n="[Local Organisation].[CAB].[Bureau].&amp;[Cambridge Citizens Advice Bureau]&amp;[Cambridge (member)]&amp;[Eastern]"/>
                <p n="[Local Organisation].[CAB].[Member].&amp;[Cambridge (member)]&amp;[Eastern]"/>
                <p n="[Local Organisation].[CAB].[Government Region].&amp;[Eastern]"/>
              </i>
              <i n="[Local Organisation].[CAB].[Outreach].&amp;[Cambridge Citizens Advice Bureau]&amp;[Cambridge Girton]&amp;[Cambridge (member)]&amp;[Eastern]" c="Cambridge Girton">
                <p n="[Local Organisation].[CAB].[Bureau].&amp;[Cambridge Citizens Advice Bureau]&amp;[Cambridge (member)]&amp;[Eastern]"/>
                <p n="[Local Organisation].[CAB].[Member].&amp;[Cambridge (member)]&amp;[Eastern]"/>
                <p n="[Local Organisation].[CAB].[Government Region].&amp;[Eastern]"/>
              </i>
              <i n="[Local Organisation].[CAB].[Outreach].&amp;[Cambridge Citizens Advice Bureau]&amp;[Cambridge JHC Sawston]&amp;[Cambridge (member)]&amp;[Eastern]" c="Cambridge JHC Sawston">
                <p n="[Local Organisation].[CAB].[Bureau].&amp;[Cambridge Citizens Advice Bureau]&amp;[Cambridge (member)]&amp;[Eastern]"/>
                <p n="[Local Organisation].[CAB].[Member].&amp;[Cambridge (member)]&amp;[Eastern]"/>
                <p n="[Local Organisation].[CAB].[Government Region].&amp;[Eastern]"/>
              </i>
              <i n="[Local Organisation].[CAB].[Outreach].&amp;[Cambridge Citizens Advice Bureau]&amp;[Cambridge Meadows Community Centre]&amp;[Cambridge (member)]&amp;[Eastern]" c="Cambridge Meadows Community Centre">
                <p n="[Local Organisation].[CAB].[Bureau].&amp;[Cambridge Citizens Advice Bureau]&amp;[Cambridge (member)]&amp;[Eastern]"/>
                <p n="[Local Organisation].[CAB].[Member].&amp;[Cambridge (member)]&amp;[Eastern]"/>
                <p n="[Local Organisation].[CAB].[Government Region].&amp;[Eastern]"/>
              </i>
              <i n="[Local Organisation].[CAB].[Outreach].&amp;[Cambridge Citizens Advice Bureau]&amp;[Cambridge Nuffield Road Medical Centre]&amp;[Cambridge (member)]&amp;[Eastern]" c="Cambridge Nuffield Road Medical Centre">
                <p n="[Local Organisation].[CAB].[Bureau].&amp;[Cambridge Citizens Advice Bureau]&amp;[Cambridge (member)]&amp;[Eastern]"/>
                <p n="[Local Organisation].[CAB].[Member].&amp;[Cambridge (member)]&amp;[Eastern]"/>
                <p n="[Local Organisation].[CAB].[Government Region].&amp;[Eastern]"/>
              </i>
              <i n="[Local Organisation].[CAB].[Outreach].&amp;[Cambridge Citizens Advice Bureau]&amp;[Cambridge South Cambs Outreach (One)]&amp;[Cambridge (member)]&amp;[Eastern]" c="Cambridge South Cambs Outreach (One)">
                <p n="[Local Organisation].[CAB].[Bureau].&amp;[Cambridge Citizens Advice Bureau]&amp;[Cambridge (member)]&amp;[Eastern]"/>
                <p n="[Local Organisation].[CAB].[Member].&amp;[Cambridge (member)]&amp;[Eastern]"/>
                <p n="[Local Organisation].[CAB].[Government Region].&amp;[Eastern]"/>
              </i>
              <i n="[Local Organisation].[CAB].[Outreach].&amp;[Cambridge Citizens Advice Bureau]&amp;[Cambridge Trumpington Pavilion]&amp;[Cambridge (member)]&amp;[Eastern]" c="Cambridge Trumpington Pavilion">
                <p n="[Local Organisation].[CAB].[Bureau].&amp;[Cambridge Citizens Advice Bureau]&amp;[Cambridge (member)]&amp;[Eastern]"/>
                <p n="[Local Organisation].[CAB].[Member].&amp;[Cambridge (member)]&amp;[Eastern]"/>
                <p n="[Local Organisation].[CAB].[Government Region].&amp;[Eastern]"/>
              </i>
              <i n="[Local Organisation].[CAB].[Outreach].&amp;[Cambridge Citizens Advice Bureau]&amp;[Not recorded/not applicable]&amp;[Cambridge (member)]&amp;[Eastern]" c="Not recorded/not applicable">
                <p n="[Local Organisation].[CAB].[Bureau].&amp;[Cambridge Citizens Advice Bureau]&amp;[Cambridge (member)]&amp;[Eastern]"/>
                <p n="[Local Organisation].[CAB].[Member].&amp;[Cambridge (member)]&amp;[Eastern]"/>
                <p n="[Local Organisation].[CAB].[Government Region].&amp;[Eastern]"/>
              </i>
              <i n="[Local Organisation].[CAB].[Outreach].&amp;[Castle Point Citizens Advice Bureau]&amp;[Castle Point - Canvey Island Library]&amp;[Castle Point (member)]&amp;[Eastern]" c="Castle Point - Canvey Island Library">
                <p n="[Local Organisation].[CAB].[Bureau].&amp;[Castle Point Citizens Advice Bureau]&amp;[Castle Point (member)]&amp;[Eastern]"/>
                <p n="[Local Organisation].[CAB].[Member].&amp;[Castle Point (member)]&amp;[Eastern]"/>
                <p n="[Local Organisation].[CAB].[Government Region].&amp;[Eastern]"/>
              </i>
              <i n="[Local Organisation].[CAB].[Outreach].&amp;[Castle Point Citizens Advice Bureau]&amp;[Castle Point - Central Canvey Primary Care Centre]&amp;[Castle Point (member)]&amp;[Eastern]" c="Castle Point - Central Canvey Primary Care Centre">
                <p n="[Local Organisation].[CAB].[Bureau].&amp;[Castle Point Citizens Advice Bureau]&amp;[Castle Point (member)]&amp;[Eastern]"/>
                <p n="[Local Organisation].[CAB].[Member].&amp;[Castle Point (member)]&amp;[Eastern]"/>
                <p n="[Local Organisation].[CAB].[Government Region].&amp;[Eastern]"/>
              </i>
              <i n="[Local Organisation].[CAB].[Outreach].&amp;[Castle Point Citizens Advice Bureau]&amp;[Not recorded/not applicable]&amp;[Castle Point (member)]&amp;[Eastern]" c="Not recorded/not applicable">
                <p n="[Local Organisation].[CAB].[Bureau].&amp;[Castle Point Citizens Advice Bureau]&amp;[Castle Point (member)]&amp;[Eastern]"/>
                <p n="[Local Organisation].[CAB].[Member].&amp;[Castle Point (member)]&amp;[Eastern]"/>
                <p n="[Local Organisation].[CAB].[Government Region].&amp;[Eastern]"/>
              </i>
              <i n="[Local Organisation].[CAB].[Outreach].&amp;[Nene Valley CAB]&amp;[Not recorded/not applicable]&amp;[Central &amp; East Northamptonshire (member)]&amp;[Eastern]" c="Not recorded/not applicable">
                <p n="[Local Organisation].[CAB].[Bureau].&amp;[Nene Valley CAB]&amp;[Central &amp; East Northamptonshire (member)]&amp;[Eastern]"/>
                <p n="[Local Organisation].[CAB].[Member].&amp;[Central &amp; East Northamptonshire (member)]&amp;[Eastern]"/>
                <p n="[Local Organisation].[CAB].[Government Region].&amp;[Eastern]"/>
              </i>
              <i n="[Local Organisation].[CAB].[Outreach].&amp;[Northampton CAB]&amp;[Central &amp; East Northamptonshire - LMC-1]&amp;[Central &amp; East Northamptonshire (member)]&amp;[Eastern]" c="Central &amp; East Northamptonshire - LMC-1">
                <p n="[Local Organisation].[CAB].[Bureau].&amp;[Northampton CAB]&amp;[Central &amp; East Northamptonshire (member)]&amp;[Eastern]"/>
                <p n="[Local Organisation].[CAB].[Member].&amp;[Central &amp; East Northamptonshire (member)]&amp;[Eastern]"/>
                <p n="[Local Organisation].[CAB].[Government Region].&amp;[Eastern]"/>
              </i>
              <i n="[Local Organisation].[CAB].[Outreach].&amp;[Northampton CAB]&amp;[Central &amp; East Northamptonshire - LMC-2]&amp;[Central &amp; East Northamptonshire (member)]&amp;[Eastern]" c="Central &amp; East Northamptonshire - LMC-2">
                <p n="[Local Organisation].[CAB].[Bureau].&amp;[Northampton CAB]&amp;[Central &amp; East Northamptonshire (member)]&amp;[Eastern]"/>
                <p n="[Local Organisation].[CAB].[Member].&amp;[Central &amp; East Northamptonshire (member)]&amp;[Eastern]"/>
                <p n="[Local Organisation].[CAB].[Government Region].&amp;[Eastern]"/>
              </i>
              <i n="[Local Organisation].[CAB].[Outreach].&amp;[Northampton CAB]&amp;[Central &amp; East Northamptonshire - LMC-3]&amp;[Central &amp; East Northamptonshire (member)]&amp;[Eastern]" c="Central &amp; East Northamptonshire - LMC-3">
                <p n="[Local Organisation].[CAB].[Bureau].&amp;[Northampton CAB]&amp;[Central &amp; East Northamptonshire (member)]&amp;[Eastern]"/>
                <p n="[Local Organisation].[CAB].[Member].&amp;[Central &amp; East Northamptonshire (member)]&amp;[Eastern]"/>
                <p n="[Local Organisation].[CAB].[Government Region].&amp;[Eastern]"/>
              </i>
              <i n="[Local Organisation].[CAB].[Outreach].&amp;[Northampton CAB]&amp;[Central &amp; East Northamptonshire - LMC-4]&amp;[Central &amp; East Northamptonshire (member)]&amp;[Eastern]" c="Central &amp; East Northamptonshire - LMC-4">
                <p n="[Local Organisation].[CAB].[Bureau].&amp;[Northampton CAB]&amp;[Central &amp; East Northamptonshire (member)]&amp;[Eastern]"/>
                <p n="[Local Organisation].[CAB].[Member].&amp;[Central &amp; East Northamptonshire (member)]&amp;[Eastern]"/>
                <p n="[Local Organisation].[CAB].[Government Region].&amp;[Eastern]"/>
              </i>
              <i n="[Local Organisation].[CAB].[Outreach].&amp;[Northampton CAB]&amp;[Central &amp; East Northamptonshire - LMC-5]&amp;[Central &amp; East Northamptonshire (member)]&amp;[Eastern]" c="Central &amp; East Northamptonshire - LMC-5">
                <p n="[Local Organisation].[CAB].[Bureau].&amp;[Northampton CAB]&amp;[Central &amp; East Northamptonshire (member)]&amp;[Eastern]"/>
                <p n="[Local Organisation].[CAB].[Member].&amp;[Central &amp; East Northamptonshire (member)]&amp;[Eastern]"/>
                <p n="[Local Organisation].[CAB].[Government Region].&amp;[Eastern]"/>
              </i>
              <i n="[Local Organisation].[CAB].[Outreach].&amp;[Northampton CAB]&amp;[Central &amp; East Northamptonshire - LMC-6]&amp;[Central &amp; East Northamptonshire (member)]&amp;[Eastern]" c="Central &amp; East Northamptonshire - LMC-6">
                <p n="[Local Organisation].[CAB].[Bureau].&amp;[Northampton CAB]&amp;[Central &amp; East Northamptonshire (member)]&amp;[Eastern]"/>
                <p n="[Local Organisation].[CAB].[Member].&amp;[Central &amp; East Northamptonshire (member)]&amp;[Eastern]"/>
                <p n="[Local Organisation].[CAB].[Government Region].&amp;[Eastern]"/>
              </i>
              <i n="[Local Organisation].[CAB].[Outreach].&amp;[Northampton CAB]&amp;[Central &amp; East Northamptonshire - LMC-7]&amp;[Central &amp; East Northamptonshire (member)]&amp;[Eastern]" c="Central &amp; East Northamptonshire - LMC-7">
                <p n="[Local Organisation].[CAB].[Bureau].&amp;[Northampton CAB]&amp;[Central &amp; East Northamptonshire (member)]&amp;[Eastern]"/>
                <p n="[Local Organisation].[CAB].[Member].&amp;[Central &amp; East Northamptonshire (member)]&amp;[Eastern]"/>
                <p n="[Local Organisation].[CAB].[Government Region].&amp;[Eastern]"/>
              </i>
              <i n="[Local Organisation].[CAB].[Outreach].&amp;[Northampton CAB]&amp;[Central &amp; East Northamptonshire - Wellingborough Homes]&amp;[Central &amp; East Northamptonshire (member)]&amp;[Eastern]" c="Central &amp; East Northamptonshire - Wellingborough Homes">
                <p n="[Local Organisation].[CAB].[Bureau].&amp;[Northampton CAB]&amp;[Central &amp; East Northamptonshire (member)]&amp;[Eastern]"/>
                <p n="[Local Organisation].[CAB].[Member].&amp;[Central &amp; East Northamptonshire (member)]&amp;[Eastern]"/>
                <p n="[Local Organisation].[CAB].[Government Region].&amp;[Eastern]"/>
              </i>
              <i n="[Local Organisation].[CAB].[Outreach].&amp;[Northampton CAB]&amp;[Central and East Northamptonshire - Towcester]&amp;[Central &amp; East Northamptonshire (member)]&amp;[Eastern]" c="Central and East Northamptonshire - Towcester">
                <p n="[Local Organisation].[CAB].[Bureau].&amp;[Northampton CAB]&amp;[Central &amp; East Northamptonshire (member)]&amp;[Eastern]"/>
                <p n="[Local Organisation].[CAB].[Member].&amp;[Central &amp; East Northamptonshire (member)]&amp;[Eastern]"/>
                <p n="[Local Organisation].[CAB].[Government Region].&amp;[Eastern]"/>
              </i>
              <i n="[Local Organisation].[CAB].[Outreach].&amp;[Northampton CAB]&amp;[Not recorded/not applicable]&amp;[Central &amp; East Northamptonshire (member)]&amp;[Eastern]" c="Not recorded/not applicable">
                <p n="[Local Organisation].[CAB].[Bureau].&amp;[Northampton CAB]&amp;[Central &amp; East Northamptonshire (member)]&amp;[Eastern]"/>
                <p n="[Local Organisation].[CAB].[Member].&amp;[Central &amp; East Northamptonshire (member)]&amp;[Eastern]"/>
                <p n="[Local Organisation].[CAB].[Government Region].&amp;[Eastern]"/>
              </i>
              <i n="[Local Organisation].[CAB].[Outreach].&amp;[Chelmsford CAB]&amp;[Chelmsford City Council Contact Centre]&amp;[Chelmsford (member)]&amp;[Eastern]" c="Chelmsford City Council Contact Centre">
                <p n="[Local Organisation].[CAB].[Bureau].&amp;[Chelmsford CAB]&amp;[Chelmsford (member)]&amp;[Eastern]"/>
                <p n="[Local Organisation].[CAB].[Member].&amp;[Chelmsford (member)]&amp;[Eastern]"/>
                <p n="[Local Organisation].[CAB].[Government Region].&amp;[Eastern]"/>
              </i>
              <i n="[Local Organisation].[CAB].[Outreach].&amp;[Chelmsford CAB]&amp;[Chelmsford County Court Outreach]&amp;[Chelmsford (member)]&amp;[Eastern]" c="Chelmsford County Court Outreach">
                <p n="[Local Organisation].[CAB].[Bureau].&amp;[Chelmsford CAB]&amp;[Chelmsford (member)]&amp;[Eastern]"/>
                <p n="[Local Organisation].[CAB].[Member].&amp;[Chelmsford (member)]&amp;[Eastern]"/>
                <p n="[Local Organisation].[CAB].[Government Region].&amp;[Eastern]"/>
              </i>
              <i n="[Local Organisation].[CAB].[Outreach].&amp;[Chelmsford CAB]&amp;[Chelmsford SWF Outreach]&amp;[Chelmsford (member)]&amp;[Eastern]" c="Chelmsford SWF Outreach">
                <p n="[Local Organisation].[CAB].[Bureau].&amp;[Chelmsford CAB]&amp;[Chelmsford (member)]&amp;[Eastern]"/>
                <p n="[Local Organisation].[CAB].[Member].&amp;[Chelmsford (member)]&amp;[Eastern]"/>
                <p n="[Local Organisation].[CAB].[Government Region].&amp;[Eastern]"/>
              </i>
              <i n="[Local Organisation].[CAB].[Outreach].&amp;[Chelmsford CAB]&amp;[Not recorded/not applicable]&amp;[Chelmsford (member)]&amp;[Eastern]" c="Not recorded/not applicable">
                <p n="[Local Organisation].[CAB].[Bureau].&amp;[Chelmsford CAB]&amp;[Chelmsford (member)]&amp;[Eastern]"/>
                <p n="[Local Organisation].[CAB].[Member].&amp;[Chelmsford (member)]&amp;[Eastern]"/>
                <p n="[Local Organisation].[CAB].[Government Region].&amp;[Eastern]"/>
              </i>
              <i n="[Local Organisation].[CAB].[Outreach].&amp;[Colchester Citizens Advice Bureau]&amp;[Colchester Colne Housing]&amp;[Colchester (member)]&amp;[Eastern]" c="Colchester Colne Housing">
                <p n="[Local Organisation].[CAB].[Bureau].&amp;[Colchester Citizens Advice Bureau]&amp;[Colchester (member)]&amp;[Eastern]"/>
                <p n="[Local Organisation].[CAB].[Member].&amp;[Colchester (member)]&amp;[Eastern]"/>
                <p n="[Local Organisation].[CAB].[Government Region].&amp;[Eastern]"/>
              </i>
              <i n="[Local Organisation].[CAB].[Outreach].&amp;[Colchester Citizens Advice Bureau]&amp;[Colchester Lakes]&amp;[Colchester (member)]&amp;[Eastern]" c="Colchester Lakes">
                <p n="[Local Organisation].[CAB].[Bureau].&amp;[Colchester Citizens Advice Bureau]&amp;[Colchester (member)]&amp;[Eastern]"/>
                <p n="[Local Organisation].[CAB].[Member].&amp;[Colchester (member)]&amp;[Eastern]"/>
                <p n="[Local Organisation].[CAB].[Government Region].&amp;[Eastern]"/>
              </i>
              <i n="[Local Organisation].[CAB].[Outreach].&amp;[Colchester Citizens Advice Bureau]&amp;[Colchester MCTC]&amp;[Colchester (member)]&amp;[Eastern]" c="Colchester MCTC">
                <p n="[Local Organisation].[CAB].[Bureau].&amp;[Colchester Citizens Advice Bureau]&amp;[Colchester (member)]&amp;[Eastern]"/>
                <p n="[Local Organisation].[CAB].[Member].&amp;[Colchester (member)]&amp;[Eastern]"/>
                <p n="[Local Organisation].[CAB].[Government Region].&amp;[Eastern]"/>
              </i>
              <i n="[Local Organisation].[CAB].[Outreach].&amp;[Colchester Citizens Advice Bureau]&amp;[Colchester Town Centre Library]&amp;[Colchester (member)]&amp;[Eastern]" c="Colchester Town Centre Library">
                <p n="[Local Organisation].[CAB].[Bureau].&amp;[Colchester Citizens Advice Bureau]&amp;[Colchester (member)]&amp;[Eastern]"/>
                <p n="[Local Organisation].[CAB].[Member].&amp;[Colchester (member)]&amp;[Eastern]"/>
                <p n="[Local Organisation].[CAB].[Government Region].&amp;[Eastern]"/>
              </i>
              <i n="[Local Organisation].[CAB].[Outreach].&amp;[Colchester Citizens Advice Bureau]&amp;[Colchester Wivenhoe]&amp;[Colchester (member)]&amp;[Eastern]" c="Colchester Wivenhoe">
                <p n="[Local Organisation].[CAB].[Bureau].&amp;[Colchester Citizens Advice Bureau]&amp;[Colchester (member)]&amp;[Eastern]"/>
                <p n="[Local Organisation].[CAB].[Member].&amp;[Colchester (member)]&amp;[Eastern]"/>
                <p n="[Local Organisation].[CAB].[Government Region].&amp;[Eastern]"/>
              </i>
              <i n="[Local Organisation].[CAB].[Outreach].&amp;[Colchester Citizens Advice Bureau]&amp;[Not recorded/not applicable]&amp;[Colchester (member)]&amp;[Eastern]" c="Not recorded/not applicable">
                <p n="[Local Organisation].[CAB].[Bureau].&amp;[Colchester Citizens Advice Bureau]&amp;[Colchester (member)]&amp;[Eastern]"/>
                <p n="[Local Organisation].[CAB].[Member].&amp;[Colchester (member)]&amp;[Eastern]"/>
                <p n="[Local Organisation].[CAB].[Government Region].&amp;[Eastern]"/>
              </i>
              <i n="[Local Organisation].[CAB].[Outreach].&amp;[Berkhamsted Citizens Advice Bureau]&amp;[Not recorded/not applicable]&amp;[Dacorum District (member)]&amp;[Eastern]" c="Not recorded/not applicable">
                <p n="[Local Organisation].[CAB].[Bureau].&amp;[Berkhamsted Citizens Advice Bureau]&amp;[Dacorum District (member)]&amp;[Eastern]"/>
                <p n="[Local Organisation].[CAB].[Member].&amp;[Dacorum District (member)]&amp;[Eastern]"/>
                <p n="[Local Organisation].[CAB].[Government Region].&amp;[Eastern]"/>
              </i>
              <i n="[Local Organisation].[CAB].[Outreach].&amp;[Hemel Hempstead Citizens Advice Bureau]&amp;[Dacorum Foodbank]&amp;[Dacorum District (member)]&amp;[Eastern]" c="Dacorum Foodbank">
                <p n="[Local Organisation].[CAB].[Bureau].&amp;[Hemel Hempstead Citizens Advice Bureau]&amp;[Dacorum District (member)]&amp;[Eastern]"/>
                <p n="[Local Organisation].[CAB].[Member].&amp;[Dacorum District (member)]&amp;[Eastern]"/>
                <p n="[Local Organisation].[CAB].[Government Region].&amp;[Eastern]"/>
              </i>
              <i n="[Local Organisation].[CAB].[Outreach].&amp;[Hemel Hempstead Citizens Advice Bureau]&amp;[Not recorded/not applicable]&amp;[Dacorum District (member)]&amp;[Eastern]" c="Not recorded/not applicable">
                <p n="[Local Organisation].[CAB].[Bureau].&amp;[Hemel Hempstead Citizens Advice Bureau]&amp;[Dacorum District (member)]&amp;[Eastern]"/>
                <p n="[Local Organisation].[CAB].[Member].&amp;[Dacorum District (member)]&amp;[Eastern]"/>
                <p n="[Local Organisation].[CAB].[Government Region].&amp;[Eastern]"/>
              </i>
              <i n="[Local Organisation].[CAB].[Outreach].&amp;[Diss Citizens Advice Bureau]&amp;[Diss Big C James Paget Hospital Great Yarmouth]&amp;[Diss, Thetford &amp; District (member)]&amp;[Eastern]" c="Diss Big C James Paget Hospital Great Yarmouth">
                <p n="[Local Organisation].[CAB].[Bureau].&amp;[Diss Citizens Advice Bureau]&amp;[Diss, Thetford &amp; District (member)]&amp;[Eastern]"/>
                <p n="[Local Organisation].[CAB].[Member].&amp;[Diss, Thetford &amp; District (member)]&amp;[Eastern]"/>
                <p n="[Local Organisation].[CAB].[Government Region].&amp;[Eastern]"/>
              </i>
              <i n="[Local Organisation].[CAB].[Outreach].&amp;[Diss Citizens Advice Bureau]&amp;[Diss Big C Norfolk and Norwich Hospital]&amp;[Diss, Thetford &amp; District (member)]&amp;[Eastern]" c="Diss Big C Norfolk and Norwich Hospital">
                <p n="[Local Organisation].[CAB].[Bureau].&amp;[Diss Citizens Advice Bureau]&amp;[Diss, Thetford &amp; District (member)]&amp;[Eastern]"/>
                <p n="[Local Organisation].[CAB].[Member].&amp;[Diss, Thetford &amp; District (member)]&amp;[Eastern]"/>
                <p n="[Local Organisation].[CAB].[Government Region].&amp;[Eastern]"/>
              </i>
              <i n="[Local Organisation].[CAB].[Outreach].&amp;[Diss Citizens Advice Bureau]&amp;[Diss Eye Centre]&amp;[Diss, Thetford &amp; District (member)]&amp;[Eastern]" c="Diss Eye Centre">
                <p n="[Local Organisation].[CAB].[Bureau].&amp;[Diss Citizens Advice Bureau]&amp;[Diss, Thetford &amp; District (member)]&amp;[Eastern]"/>
                <p n="[Local Organisation].[CAB].[Member].&amp;[Diss, Thetford &amp; District (member)]&amp;[Eastern]"/>
                <p n="[Local Organisation].[CAB].[Government Region].&amp;[Eastern]"/>
              </i>
              <i n="[Local Organisation].[CAB].[Outreach].&amp;[Diss Citizens Advice Bureau]&amp;[Diss Harleston Information Centre]&amp;[Diss, Thetford &amp; District (member)]&amp;[Eastern]" c="Diss Harleston Information Centre">
                <p n="[Local Organisation].[CAB].[Bureau].&amp;[Diss Citizens Advice Bureau]&amp;[Diss, Thetford &amp; District (member)]&amp;[Eastern]"/>
                <p n="[Local Organisation].[CAB].[Member].&amp;[Diss, Thetford &amp; District (member)]&amp;[Eastern]"/>
                <p n="[Local Organisation].[CAB].[Government Region].&amp;[Eastern]"/>
              </i>
              <i n="[Local Organisation].[CAB].[Outreach].&amp;[Diss Citizens Advice Bureau]&amp;[Diss Loddon Library]&amp;[Diss, Thetford &amp; District (member)]&amp;[Eastern]" c="Diss Loddon Library">
                <p n="[Local Organisation].[CAB].[Bureau].&amp;[Diss Citizens Advice Bureau]&amp;[Diss, Thetford &amp; District (member)]&amp;[Eastern]"/>
                <p n="[Local Organisation].[CAB].[Member].&amp;[Diss, Thetford &amp; District (member)]&amp;[Eastern]"/>
                <p n="[Local Organisation].[CAB].[Government Region].&amp;[Eastern]"/>
              </i>
              <i n="[Local Organisation].[CAB].[Outreach].&amp;[Diss Citizens Advice Bureau]&amp;[Diss Queen Elizabeth Hospital Kings Lynn]&amp;[Diss, Thetford &amp; District (member)]&amp;[Eastern]" c="Diss Queen Elizabeth Hospital Kings Lynn">
                <p n="[Local Organisation].[CAB].[Bureau].&amp;[Diss Citizens Advice Bureau]&amp;[Diss, Thetford &amp; District (member)]&amp;[Eastern]"/>
                <p n="[Local Organisation].[CAB].[Member].&amp;[Diss, Thetford &amp; District (member)]&amp;[Eastern]"/>
                <p n="[Local Organisation].[CAB].[Government Region].&amp;[Eastern]"/>
              </i>
              <i n="[Local Organisation].[CAB].[Outreach].&amp;[Diss Citizens Advice Bureau]&amp;[Not recorded/not applicable]&amp;[Diss, Thetford &amp; District (member)]&amp;[Eastern]" c="Not recorded/not applicable">
                <p n="[Local Organisation].[CAB].[Bureau].&amp;[Diss Citizens Advice Bureau]&amp;[Diss, Thetford &amp; District (member)]&amp;[Eastern]"/>
                <p n="[Local Organisation].[CAB].[Member].&amp;[Diss, Thetford &amp; District (member)]&amp;[Eastern]"/>
                <p n="[Local Organisation].[CAB].[Government Region].&amp;[Eastern]"/>
              </i>
              <i n="[Local Organisation].[CAB].[Outreach].&amp;[Thetford Citizens Advice Bureau]&amp;[Not recorded/not applicable]&amp;[Diss, Thetford &amp; District (member)]&amp;[Eastern]" c="Not recorded/not applicable">
                <p n="[Local Organisation].[CAB].[Bureau].&amp;[Thetford Citizens Advice Bureau]&amp;[Diss, Thetford &amp; District (member)]&amp;[Eastern]"/>
                <p n="[Local Organisation].[CAB].[Member].&amp;[Diss, Thetford &amp; District (member)]&amp;[Eastern]"/>
                <p n="[Local Organisation].[CAB].[Government Region].&amp;[Eastern]"/>
              </i>
              <i n="[Local Organisation].[CAB].[Outreach].&amp;[Thetford Citizens Advice Bureau]&amp;[Thetford- Kings Lynn QE hospital Big C]&amp;[Diss, Thetford &amp; District (member)]&amp;[Eastern]" c="Thetford- Kings Lynn QE hospital Big C">
                <p n="[Local Organisation].[CAB].[Bureau].&amp;[Thetford Citizens Advice Bureau]&amp;[Diss, Thetford &amp; District (member)]&amp;[Eastern]"/>
                <p n="[Local Organisation].[CAB].[Member].&amp;[Diss, Thetford &amp; District (member)]&amp;[Eastern]"/>
                <p n="[Local Organisation].[CAB].[Government Region].&amp;[Eastern]"/>
              </i>
              <i n="[Local Organisation].[CAB].[Outreach].&amp;[Thetford Citizens Advice Bureau]&amp;[Thetford- Norwich hospital Big C]&amp;[Diss, Thetford &amp; District (member)]&amp;[Eastern]" c="Thetford- Norwich hospital Big C">
                <p n="[Local Organisation].[CAB].[Bureau].&amp;[Thetford Citizens Advice Bureau]&amp;[Diss, Thetford &amp; District (member)]&amp;[Eastern]"/>
                <p n="[Local Organisation].[CAB].[Member].&amp;[Diss, Thetford &amp; District (member)]&amp;[Eastern]"/>
                <p n="[Local Organisation].[CAB].[Government Region].&amp;[Eastern]"/>
              </i>
              <i n="[Local Organisation].[CAB].[Outreach].&amp;[Thetford Citizens Advice Bureau]&amp;[Thetford-Dereham F2F debt outreach]&amp;[Diss, Thetford &amp; District (member)]&amp;[Eastern]" c="Thetford-Dereham F2F debt outreach">
                <p n="[Local Organisation].[CAB].[Bureau].&amp;[Thetford Citizens Advice Bureau]&amp;[Diss, Thetford &amp; District (member)]&amp;[Eastern]"/>
                <p n="[Local Organisation].[CAB].[Member].&amp;[Diss, Thetford &amp; District (member)]&amp;[Eastern]"/>
                <p n="[Local Organisation].[CAB].[Government Region].&amp;[Eastern]"/>
              </i>
              <i n="[Local Organisation].[CAB].[Outreach].&amp;[Dunstable and District CAB]&amp;[Dunstable and District CAB -  Parkside Neighbourhood Centre (Houghton Regis)]&amp;[Dunstable and District (member)]&amp;[Eastern]" c="Dunstable and District CAB -  Parkside Neighbourhood Centre (Houghton Regis)">
                <p n="[Local Organisation].[CAB].[Bureau].&amp;[Dunstable and District CAB]&amp;[Dunstable and District (member)]&amp;[Eastern]"/>
                <p n="[Local Organisation].[CAB].[Member].&amp;[Dunstable and District (member)]&amp;[Eastern]"/>
                <p n="[Local Organisation].[CAB].[Government Region].&amp;[Eastern]"/>
              </i>
              <i n="[Local Organisation].[CAB].[Outreach].&amp;[Dunstable and District CAB]&amp;[Dunstable and District CAB - Caddington Doctors Surgery]&amp;[Dunstable and District (member)]&amp;[Eastern]" c="Dunstable and District CAB - Caddington Doctors Surgery">
                <p n="[Local Organisation].[CAB].[Bureau].&amp;[Dunstable and District CAB]&amp;[Dunstable and District (member)]&amp;[Eastern]"/>
                <p n="[Local Organisation].[CAB].[Member].&amp;[Dunstable and District (member)]&amp;[Eastern]"/>
                <p n="[Local Organisation].[CAB].[Government Region].&amp;[Eastern]"/>
              </i>
              <i n="[Local Organisation].[CAB].[Outreach].&amp;[Dunstable and District CAB]&amp;[Dunstable and District CAB - Tith Farm Neighbourhood Centre (Houghton Regis)]&amp;[Dunstable and District (member)]&amp;[Eastern]" c="Dunstable and District CAB - Tith Farm Neighbourhood Centre (Houghton Regis)">
                <p n="[Local Organisation].[CAB].[Bureau].&amp;[Dunstable and District CAB]&amp;[Dunstable and District (member)]&amp;[Eastern]"/>
                <p n="[Local Organisation].[CAB].[Member].&amp;[Dunstable and District (member)]&amp;[Eastern]"/>
                <p n="[Local Organisation].[CAB].[Government Region].&amp;[Eastern]"/>
              </i>
              <i n="[Local Organisation].[CAB].[Outreach].&amp;[Dunstable and District CAB]&amp;[Not recorded/not applicable]&amp;[Dunstable and District (member)]&amp;[Eastern]" c="Not recorded/not applicable">
                <p n="[Local Organisation].[CAB].[Bureau].&amp;[Dunstable and District CAB]&amp;[Dunstable and District (member)]&amp;[Eastern]"/>
                <p n="[Local Organisation].[CAB].[Member].&amp;[Dunstable and District (member)]&amp;[Eastern]"/>
                <p n="[Local Organisation].[CAB].[Government Region].&amp;[Eastern]"/>
              </i>
              <i n="[Local Organisation].[CAB].[Outreach].&amp;[East Hertfordshire - Bishop's Stortford]&amp;[East Herts ASTF Mental Health]&amp;[East Hertfordshire (member)]&amp;[Eastern]" c="East Herts ASTF Mental Health">
                <p n="[Local Organisation].[CAB].[Bureau].&amp;[East Hertfordshire - Bishop's Stortford]&amp;[East Hertfordshire (member)]&amp;[Eastern]"/>
                <p n="[Local Organisation].[CAB].[Member].&amp;[East Hertfordshire (member)]&amp;[Eastern]"/>
                <p n="[Local Organisation].[CAB].[Government Region].&amp;[Eastern]"/>
              </i>
              <i n="[Local Organisation].[CAB].[Outreach].&amp;[East Hertfordshire - Bishop's Stortford]&amp;[East Herts Foodbank]&amp;[East Hertfordshire (member)]&amp;[Eastern]" c="East Herts Foodbank">
                <p n="[Local Organisation].[CAB].[Bureau].&amp;[East Hertfordshire - Bishop's Stortford]&amp;[East Hertfordshire (member)]&amp;[Eastern]"/>
                <p n="[Local Organisation].[CAB].[Member].&amp;[East Hertfordshire (member)]&amp;[Eastern]"/>
                <p n="[Local Organisation].[CAB].[Government Region].&amp;[Eastern]"/>
              </i>
              <i n="[Local Organisation].[CAB].[Outreach].&amp;[East Hertfordshire - Bishop's Stortford]&amp;[East Herts Sawbridgeworth Outreach]&amp;[East Hertfordshire (member)]&amp;[Eastern]" c="East Herts Sawbridgeworth Outreach">
                <p n="[Local Organisation].[CAB].[Bureau].&amp;[East Hertfordshire - Bishop's Stortford]&amp;[East Hertfordshire (member)]&amp;[Eastern]"/>
                <p n="[Local Organisation].[CAB].[Member].&amp;[East Hertfordshire (member)]&amp;[Eastern]"/>
                <p n="[Local Organisation].[CAB].[Government Region].&amp;[Eastern]"/>
              </i>
              <i n="[Local Organisation].[CAB].[Outreach].&amp;[East Hertfordshire - Bishop's Stortford]&amp;[Not recorded/not applicable]&amp;[East Hertfordshire (member)]&amp;[Eastern]" c="Not recorded/not applicable">
                <p n="[Local Organisation].[CAB].[Bureau].&amp;[East Hertfordshire - Bishop's Stortford]&amp;[East Hertfordshire (member)]&amp;[Eastern]"/>
                <p n="[Local Organisation].[CAB].[Member].&amp;[East Hertfordshire (member)]&amp;[Eastern]"/>
                <p n="[Local Organisation].[CAB].[Government Region].&amp;[Eastern]"/>
              </i>
              <i n="[Local Organisation].[CAB].[Outreach].&amp;[East Hertfordshire - Hertford]&amp;[East Herts ASTF Mental Health]&amp;[East Hertfordshire (member)]&amp;[Eastern]" c="East Herts ASTF Mental Health">
                <p n="[Local Organisation].[CAB].[Bureau].&amp;[East Hertfordshire - Hertford]&amp;[East Hertfordshire (member)]&amp;[Eastern]"/>
                <p n="[Local Organisation].[CAB].[Member].&amp;[East Hertfordshire (member)]&amp;[Eastern]"/>
                <p n="[Local Organisation].[CAB].[Government Region].&amp;[Eastern]"/>
              </i>
              <i n="[Local Organisation].[CAB].[Outreach].&amp;[East Hertfordshire - Hertford]&amp;[East Herts ASTF Mind]&amp;[East Hertfordshire (member)]&amp;[Eastern]" c="East Herts ASTF Mind">
                <p n="[Local Organisation].[CAB].[Bureau].&amp;[East Hertfordshire - Hertford]&amp;[East Hertfordshire (member)]&amp;[Eastern]"/>
                <p n="[Local Organisation].[CAB].[Member].&amp;[East Hertfordshire (member)]&amp;[Eastern]"/>
                <p n="[Local Organisation].[CAB].[Government Region].&amp;[Eastern]"/>
              </i>
              <i n="[Local Organisation].[CAB].[Outreach].&amp;[East Hertfordshire - Hertford]&amp;[East Herts Buntingford Outreach]&amp;[East Hertfordshire (member)]&amp;[Eastern]" c="East Herts Buntingford Outreach">
                <p n="[Local Organisation].[CAB].[Bureau].&amp;[East Hertfordshire - Hertford]&amp;[East Hertfordshire (member)]&amp;[Eastern]"/>
                <p n="[Local Organisation].[CAB].[Member].&amp;[East Hertfordshire (member)]&amp;[Eastern]"/>
                <p n="[Local Organisation].[CAB].[Government Region].&amp;[Eastern]"/>
              </i>
              <i n="[Local Organisation].[CAB].[Outreach].&amp;[East Hertfordshire - Hertford]&amp;[East Herts Isabelle Hospice Home Visits]&amp;[East Hertfordshire (member)]&amp;[Eastern]" c="East Herts Isabelle Hospice Home Visits">
                <p n="[Local Organisation].[CAB].[Bureau].&amp;[East Hertfordshire - Hertford]&amp;[East Hertfordshire (member)]&amp;[Eastern]"/>
                <p n="[Local Organisation].[CAB].[Member].&amp;[East Hertfordshire (member)]&amp;[Eastern]"/>
                <p n="[Local Organisation].[CAB].[Government Region].&amp;[Eastern]"/>
              </i>
              <i n="[Local Organisation].[CAB].[Outreach].&amp;[East Hertfordshire - Hertford]&amp;[East Herts Ware Outreach]&amp;[East Hertfordshire (member)]&amp;[Eastern]" c="East Herts Ware Outreach">
                <p n="[Local Organisation].[CAB].[Bureau].&amp;[East Hertfordshire - Hertford]&amp;[East Hertfordshire (member)]&amp;[Eastern]"/>
                <p n="[Local Organisation].[CAB].[Member].&amp;[East Hertfordshire (member)]&amp;[Eastern]"/>
                <p n="[Local Organisation].[CAB].[Government Region].&amp;[Eastern]"/>
              </i>
              <i n="[Local Organisation].[CAB].[Outreach].&amp;[East Hertfordshire - Hertford]&amp;[Not recorded/not applicable]&amp;[East Hertfordshire (member)]&amp;[Eastern]" c="Not recorded/not applicable">
                <p n="[Local Organisation].[CAB].[Bureau].&amp;[East Hertfordshire - Hertford]&amp;[East Hertfordshire (member)]&amp;[Eastern]"/>
                <p n="[Local Organisation].[CAB].[Member].&amp;[East Hertfordshire (member)]&amp;[Eastern]"/>
                <p n="[Local Organisation].[CAB].[Government Region].&amp;[Eastern]"/>
              </i>
              <i n="[Local Organisation].[CAB].[Outreach].&amp;[Epping CAB]&amp;[Abridge]&amp;[Epping Forest District (member)]&amp;[Eastern]" c="Abridge">
                <p n="[Local Organisation].[CAB].[Bureau].&amp;[Epping CAB]&amp;[Epping Forest District (member)]&amp;[Eastern]"/>
                <p n="[Local Organisation].[CAB].[Member].&amp;[Epping Forest District (member)]&amp;[Eastern]"/>
                <p n="[Local Organisation].[CAB].[Government Region].&amp;[Eastern]"/>
              </i>
              <i n="[Local Organisation].[CAB].[Outreach].&amp;[Epping CAB]&amp;[Epping Abridge Outreach]&amp;[Epping Forest District (member)]&amp;[Eastern]" c="Epping Abridge Outreach">
                <p n="[Local Organisation].[CAB].[Bureau].&amp;[Epping CAB]&amp;[Epping Forest District (member)]&amp;[Eastern]"/>
                <p n="[Local Organisation].[CAB].[Member].&amp;[Epping Forest District (member)]&amp;[Eastern]"/>
                <p n="[Local Organisation].[CAB].[Government Region].&amp;[Eastern]"/>
              </i>
              <i n="[Local Organisation].[CAB].[Outreach].&amp;[Epping CAB]&amp;[Not recorded/not applicable]&amp;[Epping Forest District (member)]&amp;[Eastern]" c="Not recorded/not applicable">
                <p n="[Local Organisation].[CAB].[Bureau].&amp;[Epping CAB]&amp;[Epping Forest District (member)]&amp;[Eastern]"/>
                <p n="[Local Organisation].[CAB].[Member].&amp;[Epping Forest District (member)]&amp;[Eastern]"/>
                <p n="[Local Organisation].[CAB].[Government Region].&amp;[Eastern]"/>
              </i>
              <i n="[Local Organisation].[CAB].[Outreach].&amp;[Loughton CAB]&amp;[Limes Farm]&amp;[Epping Forest District (member)]&amp;[Eastern]" c="Limes Farm">
                <p n="[Local Organisation].[CAB].[Bureau].&amp;[Loughton CAB]&amp;[Epping Forest District (member)]&amp;[Eastern]"/>
                <p n="[Local Organisation].[CAB].[Member].&amp;[Epping Forest District (member)]&amp;[Eastern]"/>
                <p n="[Local Organisation].[CAB].[Government Region].&amp;[Eastern]"/>
              </i>
              <i n="[Local Organisation].[CAB].[Outreach].&amp;[Loughton CAB]&amp;[Loughton Limes Farm]&amp;[Epping Forest District (member)]&amp;[Eastern]" c="Loughton Limes Farm">
                <p n="[Local Organisation].[CAB].[Bureau].&amp;[Loughton CAB]&amp;[Epping Forest District (member)]&amp;[Eastern]"/>
                <p n="[Local Organisation].[CAB].[Member].&amp;[Epping Forest District (member)]&amp;[Eastern]"/>
                <p n="[Local Organisation].[CAB].[Government Region].&amp;[Eastern]"/>
              </i>
              <i n="[Local Organisation].[CAB].[Outreach].&amp;[Loughton CAB]&amp;[Not recorded/not applicable]&amp;[Epping Forest District (member)]&amp;[Eastern]" c="Not recorded/not applicable">
                <p n="[Local Organisation].[CAB].[Bureau].&amp;[Loughton CAB]&amp;[Epping Forest District (member)]&amp;[Eastern]"/>
                <p n="[Local Organisation].[CAB].[Member].&amp;[Epping Forest District (member)]&amp;[Eastern]"/>
                <p n="[Local Organisation].[CAB].[Government Region].&amp;[Eastern]"/>
              </i>
              <i n="[Local Organisation].[CAB].[Outreach].&amp;[Waltham Abbey CAB]&amp;[Not recorded/not applicable]&amp;[Epping Forest District (member)]&amp;[Eastern]" c="Not recorded/not applicable">
                <p n="[Local Organisation].[CAB].[Bureau].&amp;[Waltham Abbey CAB]&amp;[Epping Forest District (member)]&amp;[Eastern]"/>
                <p n="[Local Organisation].[CAB].[Member].&amp;[Epping Forest District (member)]&amp;[Eastern]"/>
                <p n="[Local Organisation].[CAB].[Government Region].&amp;[Eastern]"/>
              </i>
              <i n="[Local Organisation].[CAB].[Outreach].&amp;[Felixstowe Citizens Advice Bureau]&amp;[Felixstowe H.M. Prison Hollesley Bay]&amp;[Felixstowe Citizens Advice Bureau (member)]&amp;[Eastern]" c="Felixstowe H.M. Prison Hollesley Bay">
                <p n="[Local Organisation].[CAB].[Bureau].&amp;[Felixstowe Citizens Advice Bureau]&amp;[Felixstowe Citizens Advice Bureau (member)]&amp;[Eastern]"/>
                <p n="[Local Organisation].[CAB].[Member].&amp;[Felixstowe Citizens Advice Bureau (member)]&amp;[Eastern]"/>
                <p n="[Local Organisation].[CAB].[Government Region].&amp;[Eastern]"/>
              </i>
              <i n="[Local Organisation].[CAB].[Outreach].&amp;[Felixstowe Citizens Advice Bureau]&amp;[Felixstowe Haven Health]&amp;[Felixstowe Citizens Advice Bureau (member)]&amp;[Eastern]" c="Felixstowe Haven Health">
                <p n="[Local Organisation].[CAB].[Bureau].&amp;[Felixstowe Citizens Advice Bureau]&amp;[Felixstowe Citizens Advice Bureau (member)]&amp;[Eastern]"/>
                <p n="[Local Organisation].[CAB].[Member].&amp;[Felixstowe Citizens Advice Bureau (member)]&amp;[Eastern]"/>
                <p n="[Local Organisation].[CAB].[Government Region].&amp;[Eastern]"/>
              </i>
              <i n="[Local Organisation].[CAB].[Outreach].&amp;[Felixstowe Citizens Advice Bureau]&amp;[Felixstowe Job Centre Plus]&amp;[Felixstowe Citizens Advice Bureau (member)]&amp;[Eastern]" c="Felixstowe Job Centre Plus">
                <p n="[Local Organisation].[CAB].[Bureau].&amp;[Felixstowe Citizens Advice Bureau]&amp;[Felixstowe Citizens Advice Bureau (member)]&amp;[Eastern]"/>
                <p n="[Local Organisation].[CAB].[Member].&amp;[Felixstowe Citizens Advice Bureau (member)]&amp;[Eastern]"/>
                <p n="[Local Organisation].[CAB].[Government Region].&amp;[Eastern]"/>
              </i>
              <i n="[Local Organisation].[CAB].[Outreach].&amp;[Felixstowe Citizens Advice Bureau]&amp;[Felixstowe Library (SCDC)]&amp;[Felixstowe Citizens Advice Bureau (member)]&amp;[Eastern]" c="Felixstowe Library (SCDC)">
                <p n="[Local Organisation].[CAB].[Bureau].&amp;[Felixstowe Citizens Advice Bureau]&amp;[Felixstowe Citizens Advice Bureau (member)]&amp;[Eastern]"/>
                <p n="[Local Organisation].[CAB].[Member].&amp;[Felixstowe Citizens Advice Bureau (member)]&amp;[Eastern]"/>
                <p n="[Local Organisation].[CAB].[Government Region].&amp;[Eastern]"/>
              </i>
              <i n="[Local Organisation].[CAB].[Outreach].&amp;[Felixstowe Citizens Advice Bureau]&amp;[Felixstowe Walton Surgery]&amp;[Felixstowe Citizens Advice Bureau (member)]&amp;[Eastern]" c="Felixstowe Walton Surgery">
                <p n="[Local Organisation].[CAB].[Bureau].&amp;[Felixstowe Citizens Advice Bureau]&amp;[Felixstowe Citizens Advice Bureau (member)]&amp;[Eastern]"/>
                <p n="[Local Organisation].[CAB].[Member].&amp;[Felixstowe Citizens Advice Bureau (member)]&amp;[Eastern]"/>
                <p n="[Local Organisation].[CAB].[Government Region].&amp;[Eastern]"/>
              </i>
              <i n="[Local Organisation].[CAB].[Outreach].&amp;[Felixstowe Citizens Advice Bureau]&amp;[Not recorded/not applicable]&amp;[Felixstowe Citizens Advice Bureau (member)]&amp;[Eastern]" c="Not recorded/not applicable">
                <p n="[Local Organisation].[CAB].[Bureau].&amp;[Felixstowe Citizens Advice Bureau]&amp;[Felixstowe Citizens Advice Bureau (member)]&amp;[Eastern]"/>
                <p n="[Local Organisation].[CAB].[Member].&amp;[Felixstowe Citizens Advice Bureau (member)]&amp;[Eastern]"/>
                <p n="[Local Organisation].[CAB].[Government Region].&amp;[Eastern]"/>
              </i>
              <i n="[Local Organisation].[CAB].[Outreach].&amp;[Harlow Citizens Advice Bureau]&amp;[MAC (Multi Agency Centre)]&amp;[Harlow (member)]&amp;[Eastern]" c="MAC (Multi Agency Centre)">
                <p n="[Local Organisation].[CAB].[Bureau].&amp;[Harlow Citizens Advice Bureau]&amp;[Harlow (member)]&amp;[Eastern]"/>
                <p n="[Local Organisation].[CAB].[Member].&amp;[Harlow (member)]&amp;[Eastern]"/>
                <p n="[Local Organisation].[CAB].[Government Region].&amp;[Eastern]"/>
              </i>
              <i n="[Local Organisation].[CAB].[Outreach].&amp;[Harlow Citizens Advice Bureau]&amp;[Maybury walk in centre]&amp;[Harlow (member)]&amp;[Eastern]" c="Maybury walk in centre">
                <p n="[Local Organisation].[CAB].[Bureau].&amp;[Harlow Citizens Advice Bureau]&amp;[Harlow (member)]&amp;[Eastern]"/>
                <p n="[Local Organisation].[CAB].[Member].&amp;[Harlow (member)]&amp;[Eastern]"/>
                <p n="[Local Organisation].[CAB].[Government Region].&amp;[Eastern]"/>
              </i>
              <i n="[Local Organisation].[CAB].[Outreach].&amp;[Harlow Citizens Advice Bureau]&amp;[Not recorded/not applicable]&amp;[Harlow (member)]&amp;[Eastern]" c="Not recorded/not applicable">
                <p n="[Local Organisation].[CAB].[Bureau].&amp;[Harlow Citizens Advice Bureau]&amp;[Harlow (member)]&amp;[Eastern]"/>
                <p n="[Local Organisation].[CAB].[Member].&amp;[Harlow (member)]&amp;[Eastern]"/>
                <p n="[Local Organisation].[CAB].[Government Region].&amp;[Eastern]"/>
              </i>
              <i n="[Local Organisation].[CAB].[Outreach].&amp;[Hertsmere CAB (Bushey)]&amp;[Not recorded/not applicable]&amp;[Hertsmere (member)]&amp;[Eastern]" c="Not recorded/not applicable">
                <p n="[Local Organisation].[CAB].[Bureau].&amp;[Hertsmere CAB (Bushey)]&amp;[Hertsmere (member)]&amp;[Eastern]"/>
                <p n="[Local Organisation].[CAB].[Member].&amp;[Hertsmere (member)]&amp;[Eastern]"/>
                <p n="[Local Organisation].[CAB].[Government Region].&amp;[Eastern]"/>
              </i>
              <i n="[Local Organisation].[CAB].[Outreach].&amp;[Hertsmere CAB (Elstree)]&amp;[Hertsmere Borehamwood Foodbank]&amp;[Hertsmere (member)]&amp;[Eastern]" c="Hertsmere Borehamwood Foodbank">
                <p n="[Local Organisation].[CAB].[Bureau].&amp;[Hertsmere CAB (Elstree)]&amp;[Hertsmere (member)]&amp;[Eastern]"/>
                <p n="[Local Organisation].[CAB].[Member].&amp;[Hertsmere (member)]&amp;[Eastern]"/>
                <p n="[Local Organisation].[CAB].[Government Region].&amp;[Eastern]"/>
              </i>
              <i n="[Local Organisation].[CAB].[Outreach].&amp;[Hertsmere CAB (Elstree)]&amp;[Hertsmere Lister Hospital]&amp;[Hertsmere (member)]&amp;[Eastern]" c="Hertsmere Lister Hospital">
                <p n="[Local Organisation].[CAB].[Bureau].&amp;[Hertsmere CAB (Elstree)]&amp;[Hertsmere (member)]&amp;[Eastern]"/>
                <p n="[Local Organisation].[CAB].[Member].&amp;[Hertsmere (member)]&amp;[Eastern]"/>
                <p n="[Local Organisation].[CAB].[Government Region].&amp;[Eastern]"/>
              </i>
              <i n="[Local Organisation].[CAB].[Outreach].&amp;[Hertsmere CAB (Elstree)]&amp;[Hertsmere QEII Hospital]&amp;[Hertsmere (member)]&amp;[Eastern]" c="Hertsmere QEII Hospital">
                <p n="[Local Organisation].[CAB].[Bureau].&amp;[Hertsmere CAB (Elstree)]&amp;[Hertsmere (member)]&amp;[Eastern]"/>
                <p n="[Local Organisation].[CAB].[Member].&amp;[Hertsmere (member)]&amp;[Eastern]"/>
                <p n="[Local Organisation].[CAB].[Government Region].&amp;[Eastern]"/>
              </i>
              <i n="[Local Organisation].[CAB].[Outreach].&amp;[Hertsmere CAB (Elstree)]&amp;[Hertsmere Radlett Centre]&amp;[Hertsmere (member)]&amp;[Eastern]" c="Hertsmere Radlett Centre">
                <p n="[Local Organisation].[CAB].[Bureau].&amp;[Hertsmere CAB (Elstree)]&amp;[Hertsmere (member)]&amp;[Eastern]"/>
                <p n="[Local Organisation].[CAB].[Member].&amp;[Hertsmere (member)]&amp;[Eastern]"/>
                <p n="[Local Organisation].[CAB].[Government Region].&amp;[Eastern]"/>
              </i>
              <i n="[Local Organisation].[CAB].[Outreach].&amp;[Hertsmere CAB (Elstree)]&amp;[Hertsmere St Francis Hospice]&amp;[Hertsmere (member)]&amp;[Eastern]" c="Hertsmere St Francis Hospice">
                <p n="[Local Organisation].[CAB].[Bureau].&amp;[Hertsmere CAB (Elstree)]&amp;[Hertsmere (member)]&amp;[Eastern]"/>
                <p n="[Local Organisation].[CAB].[Member].&amp;[Hertsmere (member)]&amp;[Eastern]"/>
                <p n="[Local Organisation].[CAB].[Government Region].&amp;[Eastern]"/>
              </i>
              <i n="[Local Organisation].[CAB].[Outreach].&amp;[Hertsmere CAB (Elstree)]&amp;[Hertsmere West Herts Hospitals Trust]&amp;[Hertsmere (member)]&amp;[Eastern]" c="Hertsmere West Herts Hospitals Trust">
                <p n="[Local Organisation].[CAB].[Bureau].&amp;[Hertsmere CAB (Elstree)]&amp;[Hertsmere (member)]&amp;[Eastern]"/>
                <p n="[Local Organisation].[CAB].[Member].&amp;[Hertsmere (member)]&amp;[Eastern]"/>
                <p n="[Local Organisation].[CAB].[Government Region].&amp;[Eastern]"/>
              </i>
              <i n="[Local Organisation].[CAB].[Outreach].&amp;[Hertsmere CAB (Elstree)]&amp;[Not recorded/not applicable]&amp;[Hertsmere (member)]&amp;[Eastern]" c="Not recorded/not applicable">
                <p n="[Local Organisation].[CAB].[Bureau].&amp;[Hertsmere CAB (Elstree)]&amp;[Hertsmere (member)]&amp;[Eastern]"/>
                <p n="[Local Organisation].[CAB].[Member].&amp;[Hertsmere (member)]&amp;[Eastern]"/>
                <p n="[Local Organisation].[CAB].[Government Region].&amp;[Eastern]"/>
              </i>
              <i n="[Local Organisation].[CAB].[Outreach].&amp;[Hertsmere CAB (Potters Bar)]&amp;[Not recorded/not applicable]&amp;[Hertsmere (member)]&amp;[Eastern]" c="Not recorded/not applicable">
                <p n="[Local Organisation].[CAB].[Bureau].&amp;[Hertsmere CAB (Potters Bar)]&amp;[Hertsmere (member)]&amp;[Eastern]"/>
                <p n="[Local Organisation].[CAB].[Member].&amp;[Hertsmere (member)]&amp;[Eastern]"/>
                <p n="[Local Organisation].[CAB].[Government Region].&amp;[Eastern]"/>
              </i>
              <i n="[Local Organisation].[CAB].[Outreach].&amp;[Ipswich &amp; District]&amp;[Ipswich Campaigning]&amp;[Ipswich &amp; District (member)]&amp;[Eastern]" c="Ipswich Campaigning">
                <p n="[Local Organisation].[CAB].[Bureau].&amp;[Ipswich &amp; District]&amp;[Ipswich &amp; District (member)]&amp;[Eastern]"/>
                <p n="[Local Organisation].[CAB].[Member].&amp;[Ipswich &amp; District (member)]&amp;[Eastern]"/>
                <p n="[Local Organisation].[CAB].[Government Region].&amp;[Eastern]"/>
              </i>
              <i n="[Local Organisation].[CAB].[Outreach].&amp;[Ipswich &amp; District]&amp;[Ipswich Children's Centre]&amp;[Ipswich &amp; District (member)]&amp;[Eastern]" c="Ipswich Children's Centre">
                <p n="[Local Organisation].[CAB].[Bureau].&amp;[Ipswich &amp; District]&amp;[Ipswich &amp; District (member)]&amp;[Eastern]"/>
                <p n="[Local Organisation].[CAB].[Member].&amp;[Ipswich &amp; District (member)]&amp;[Eastern]"/>
                <p n="[Local Organisation].[CAB].[Government Region].&amp;[Eastern]"/>
              </i>
              <i n="[Local Organisation].[CAB].[Outreach].&amp;[Ipswich &amp; District]&amp;[Ipswich Hawthorn Surgery]&amp;[Ipswich &amp; District (member)]&amp;[Eastern]" c="Ipswich Hawthorn Surgery">
                <p n="[Local Organisation].[CAB].[Bureau].&amp;[Ipswich &amp; District]&amp;[Ipswich &amp; District (member)]&amp;[Eastern]"/>
                <p n="[Local Organisation].[CAB].[Member].&amp;[Ipswich &amp; District (member)]&amp;[Eastern]"/>
                <p n="[Local Organisation].[CAB].[Government Region].&amp;[Eastern]"/>
              </i>
              <i n="[Local Organisation].[CAB].[Outreach].&amp;[Ipswich &amp; District]&amp;[Ipswich Surviving Winter]&amp;[Ipswich &amp; District (member)]&amp;[Eastern]" c="Ipswich Surviving Winter">
                <p n="[Local Organisation].[CAB].[Bureau].&amp;[Ipswich &amp; District]&amp;[Ipswich &amp; District (member)]&amp;[Eastern]"/>
                <p n="[Local Organisation].[CAB].[Member].&amp;[Ipswich &amp; District (member)]&amp;[Eastern]"/>
                <p n="[Local Organisation].[CAB].[Government Region].&amp;[Eastern]"/>
              </i>
              <i n="[Local Organisation].[CAB].[Outreach].&amp;[Ipswich &amp; District]&amp;[Ipswich UCS]&amp;[Ipswich &amp; District (member)]&amp;[Eastern]" c="Ipswich UCS">
                <p n="[Local Organisation].[CAB].[Bureau].&amp;[Ipswich &amp; District]&amp;[Ipswich &amp; District (member)]&amp;[Eastern]"/>
                <p n="[Local Organisation].[CAB].[Member].&amp;[Ipswich &amp; District (member)]&amp;[Eastern]"/>
                <p n="[Local Organisation].[CAB].[Government Region].&amp;[Eastern]"/>
              </i>
              <i n="[Local Organisation].[CAB].[Outreach].&amp;[Ipswich &amp; District]&amp;[Ipswich UKPN]&amp;[Ipswich &amp; District (member)]&amp;[Eastern]" c="Ipswich UKPN">
                <p n="[Local Organisation].[CAB].[Bureau].&amp;[Ipswich &amp; District]&amp;[Ipswich &amp; District (member)]&amp;[Eastern]"/>
                <p n="[Local Organisation].[CAB].[Member].&amp;[Ipswich &amp; District (member)]&amp;[Eastern]"/>
                <p n="[Local Organisation].[CAB].[Government Region].&amp;[Eastern]"/>
              </i>
              <i n="[Local Organisation].[CAB].[Outreach].&amp;[Ipswich &amp; District]&amp;[Ipswich Universal Credit]&amp;[Ipswich &amp; District (member)]&amp;[Eastern]" c="Ipswich Universal Credit">
                <p n="[Local Organisation].[CAB].[Bureau].&amp;[Ipswich &amp; District]&amp;[Ipswich &amp; District (member)]&amp;[Eastern]"/>
                <p n="[Local Organisation].[CAB].[Member].&amp;[Ipswich &amp; District (member)]&amp;[Eastern]"/>
                <p n="[Local Organisation].[CAB].[Government Region].&amp;[Eastern]"/>
              </i>
              <i n="[Local Organisation].[CAB].[Outreach].&amp;[Ipswich &amp; District]&amp;[Ipswich Whitton Health Centre]&amp;[Ipswich &amp; District (member)]&amp;[Eastern]" c="Ipswich Whitton Health Centre">
                <p n="[Local Organisation].[CAB].[Bureau].&amp;[Ipswich &amp; District]&amp;[Ipswich &amp; District (member)]&amp;[Eastern]"/>
                <p n="[Local Organisation].[CAB].[Member].&amp;[Ipswich &amp; District (member)]&amp;[Eastern]"/>
                <p n="[Local Organisation].[CAB].[Government Region].&amp;[Eastern]"/>
              </i>
              <i n="[Local Organisation].[CAB].[Outreach].&amp;[Ipswich &amp; District]&amp;[Not recorded/not applicable]&amp;[Ipswich &amp; District (member)]&amp;[Eastern]" c="Not recorded/not applicable">
                <p n="[Local Organisation].[CAB].[Bureau].&amp;[Ipswich &amp; District]&amp;[Ipswich &amp; District (member)]&amp;[Eastern]"/>
                <p n="[Local Organisation].[CAB].[Member].&amp;[Ipswich &amp; District (member)]&amp;[Eastern]"/>
                <p n="[Local Organisation].[CAB].[Government Region].&amp;[Eastern]"/>
              </i>
              <i n="[Local Organisation].[CAB].[Outreach].&amp;[Leighton Linslade CAB]&amp;[Not recorded/not applicable]&amp;[Leighton Linslade (member)]&amp;[Eastern]" c="Not recorded/not applicable">
                <p n="[Local Organisation].[CAB].[Bureau].&amp;[Leighton Linslade CAB]&amp;[Leighton Linslade (member)]&amp;[Eastern]"/>
                <p n="[Local Organisation].[CAB].[Member].&amp;[Leighton Linslade (member)]&amp;[Eastern]"/>
                <p n="[Local Organisation].[CAB].[Government Region].&amp;[Eastern]"/>
              </i>
              <i n="[Local Organisation].[CAB].[Outreach].&amp;[Leiston, Saxmundham &amp; District CAB]&amp;[Leiston Aldeburgh Surgery]&amp;[Leiston Saxmundham District (member)]&amp;[Eastern]" c="Leiston Aldeburgh Surgery">
                <p n="[Local Organisation].[CAB].[Bureau].&amp;[Leiston, Saxmundham &amp; District CAB]&amp;[Leiston Saxmundham District (member)]&amp;[Eastern]"/>
                <p n="[Local Organisation].[CAB].[Member].&amp;[Leiston Saxmundham District (member)]&amp;[Eastern]"/>
                <p n="[Local Organisation].[CAB].[Government Region].&amp;[Eastern]"/>
              </i>
              <i n="[Local Organisation].[CAB].[Outreach].&amp;[Leiston, Saxmundham &amp; District CAB]&amp;[Leiston Framlingham Volunteer Centre]&amp;[Leiston Saxmundham District (member)]&amp;[Eastern]" c="Leiston Framlingham Volunteer Centre">
                <p n="[Local Organisation].[CAB].[Bureau].&amp;[Leiston, Saxmundham &amp; District CAB]&amp;[Leiston Saxmundham District (member)]&amp;[Eastern]"/>
                <p n="[Local Organisation].[CAB].[Member].&amp;[Leiston Saxmundham District (member)]&amp;[Eastern]"/>
                <p n="[Local Organisation].[CAB].[Government Region].&amp;[Eastern]"/>
              </i>
              <i n="[Local Organisation].[CAB].[Outreach].&amp;[Leiston, Saxmundham &amp; District CAB]&amp;[Leiston Saxmundham Meadows Children Centre]&amp;[Leiston Saxmundham District (member)]&amp;[Eastern]" c="Leiston Saxmundham Meadows Children Centre">
                <p n="[Local Organisation].[CAB].[Bureau].&amp;[Leiston, Saxmundham &amp; District CAB]&amp;[Leiston Saxmundham District (member)]&amp;[Eastern]"/>
                <p n="[Local Organisation].[CAB].[Member].&amp;[Leiston Saxmundham District (member)]&amp;[Eastern]"/>
                <p n="[Local Organisation].[CAB].[Government Region].&amp;[Eastern]"/>
              </i>
              <i n="[Local Organisation].[CAB].[Outreach].&amp;[Leiston, Saxmundham &amp; District CAB]&amp;[Leiston Wickham Market Resource Centre]&amp;[Leiston Saxmundham District (member)]&amp;[Eastern]" c="Leiston Wickham Market Resource Centre">
                <p n="[Local Organisation].[CAB].[Bureau].&amp;[Leiston, Saxmundham &amp; District CAB]&amp;[Leiston Saxmundham District (member)]&amp;[Eastern]"/>
                <p n="[Local Organisation].[CAB].[Member].&amp;[Leiston Saxmundham District (member)]&amp;[Eastern]"/>
                <p n="[Local Organisation].[CAB].[Government Region].&amp;[Eastern]"/>
              </i>
              <i n="[Local Organisation].[CAB].[Outreach].&amp;[Leiston, Saxmundham &amp; District CAB]&amp;[Leiston Woodbridge Framfield House Surgery]&amp;[Leiston Saxmundham District (member)]&amp;[Eastern]" c="Leiston Woodbridge Framfield House Surgery">
                <p n="[Local Organisation].[CAB].[Bureau].&amp;[Leiston, Saxmundham &amp; District CAB]&amp;[Leiston Saxmundham District (member)]&amp;[Eastern]"/>
                <p n="[Local Organisation].[CAB].[Member].&amp;[Leiston Saxmundham District (member)]&amp;[Eastern]"/>
                <p n="[Local Organisation].[CAB].[Government Region].&amp;[Eastern]"/>
              </i>
              <i n="[Local Organisation].[CAB].[Outreach].&amp;[Leiston, Saxmundham &amp; District CAB]&amp;[Leiston Woodbridge Library]&amp;[Leiston Saxmundham District (member)]&amp;[Eastern]" c="Leiston Woodbridge Library">
                <p n="[Local Organisation].[CAB].[Bureau].&amp;[Leiston, Saxmundham &amp; District CAB]&amp;[Leiston Saxmundham District (member)]&amp;[Eastern]"/>
                <p n="[Local Organisation].[CAB].[Member].&amp;[Leiston Saxmundham District (member)]&amp;[Eastern]"/>
                <p n="[Local Organisation].[CAB].[Government Region].&amp;[Eastern]"/>
              </i>
              <i n="[Local Organisation].[CAB].[Outreach].&amp;[Leiston, Saxmundham &amp; District CAB]&amp;[Not recorded/not applicable]&amp;[Leiston Saxmundham District (member)]&amp;[Eastern]" c="Not recorded/not applicable">
                <p n="[Local Organisation].[CAB].[Bureau].&amp;[Leiston, Saxmundham &amp; District CAB]&amp;[Leiston Saxmundham District (member)]&amp;[Eastern]"/>
                <p n="[Local Organisation].[CAB].[Member].&amp;[Leiston Saxmundham District (member)]&amp;[Eastern]"/>
                <p n="[Local Organisation].[CAB].[Government Region].&amp;[Eastern]"/>
              </i>
              <i n="[Local Organisation].[CAB].[Outreach].&amp;[Luton CAB]&amp;[Luton Building Blocks Outreach]&amp;[Luton (member)]&amp;[Eastern]" c="Luton Building Blocks Outreach">
                <p n="[Local Organisation].[CAB].[Bureau].&amp;[Luton CAB]&amp;[Luton (member)]&amp;[Eastern]"/>
                <p n="[Local Organisation].[CAB].[Member].&amp;[Luton (member)]&amp;[Eastern]"/>
                <p n="[Local Organisation].[CAB].[Government Region].&amp;[Eastern]"/>
              </i>
              <i n="[Local Organisation].[CAB].[Outreach].&amp;[Luton CAB]&amp;[Luton Farley Hill Outreach]&amp;[Luton (member)]&amp;[Eastern]" c="Luton Farley Hill Outreach">
                <p n="[Local Organisation].[CAB].[Bureau].&amp;[Luton CAB]&amp;[Luton (member)]&amp;[Eastern]"/>
                <p n="[Local Organisation].[CAB].[Member].&amp;[Luton (member)]&amp;[Eastern]"/>
                <p n="[Local Organisation].[CAB].[Government Region].&amp;[Eastern]"/>
              </i>
              <i n="[Local Organisation].[CAB].[Outreach].&amp;[Luton CAB]&amp;[Luton High Town Outreach]&amp;[Luton (member)]&amp;[Eastern]" c="Luton High Town Outreach">
                <p n="[Local Organisation].[CAB].[Bureau].&amp;[Luton CAB]&amp;[Luton (member)]&amp;[Eastern]"/>
                <p n="[Local Organisation].[CAB].[Member].&amp;[Luton (member)]&amp;[Eastern]"/>
                <p n="[Local Organisation].[CAB].[Government Region].&amp;[Eastern]"/>
              </i>
              <i n="[Local Organisation].[CAB].[Outreach].&amp;[Luton CAB]&amp;[Luton Lewsey Farm Outreach]&amp;[Luton (member)]&amp;[Eastern]" c="Luton Lewsey Farm Outreach">
                <p n="[Local Organisation].[CAB].[Bureau].&amp;[Luton CAB]&amp;[Luton (member)]&amp;[Eastern]"/>
                <p n="[Local Organisation].[CAB].[Member].&amp;[Luton (member)]&amp;[Eastern]"/>
                <p n="[Local Organisation].[CAB].[Government Region].&amp;[Eastern]"/>
              </i>
              <i n="[Local Organisation].[CAB].[Outreach].&amp;[Luton CAB]&amp;[Luton Marsh Farm Futures Outreach]&amp;[Luton (member)]&amp;[Eastern]" c="Luton Marsh Farm Futures Outreach">
                <p n="[Local Organisation].[CAB].[Bureau].&amp;[Luton CAB]&amp;[Luton (member)]&amp;[Eastern]"/>
                <p n="[Local Organisation].[CAB].[Member].&amp;[Luton (member)]&amp;[Eastern]"/>
                <p n="[Local Organisation].[CAB].[Government Region].&amp;[Eastern]"/>
              </i>
              <i n="[Local Organisation].[CAB].[Outreach].&amp;[Luton CAB]&amp;[Not recorded/not applicable]&amp;[Luton (member)]&amp;[Eastern]" c="Not recorded/not applicable">
                <p n="[Local Organisation].[CAB].[Bureau].&amp;[Luton CAB]&amp;[Luton (member)]&amp;[Eastern]"/>
                <p n="[Local Organisation].[CAB].[Member].&amp;[Luton (member)]&amp;[Eastern]"/>
                <p n="[Local Organisation].[CAB].[Government Region].&amp;[Eastern]"/>
              </i>
              <i n="[Local Organisation].[CAB].[Outreach].&amp;[Maldon Citizens Advice Bureau]&amp;[Maldon Burnham on Crouch Council Offices]&amp;[Maldon (member)]&amp;[Eastern]" c="Maldon Burnham on Crouch Council Offices">
                <p n="[Local Organisation].[CAB].[Bureau].&amp;[Maldon Citizens Advice Bureau]&amp;[Maldon (member)]&amp;[Eastern]"/>
                <p n="[Local Organisation].[CAB].[Member].&amp;[Maldon (member)]&amp;[Eastern]"/>
                <p n="[Local Organisation].[CAB].[Government Region].&amp;[Eastern]"/>
              </i>
              <i n="[Local Organisation].[CAB].[Outreach].&amp;[Maldon Citizens Advice Bureau]&amp;[Maldon home visit]&amp;[Maldon (member)]&amp;[Eastern]" c="Maldon home visit">
                <p n="[Local Organisation].[CAB].[Bureau].&amp;[Maldon Citizens Advice Bureau]&amp;[Maldon (member)]&amp;[Eastern]"/>
                <p n="[Local Organisation].[CAB].[Member].&amp;[Maldon (member)]&amp;[Eastern]"/>
                <p n="[Local Organisation].[CAB].[Government Region].&amp;[Eastern]"/>
              </i>
              <i n="[Local Organisation].[CAB].[Outreach].&amp;[Maldon Citizens Advice Bureau]&amp;[Maldon Southminster Village]&amp;[Maldon (member)]&amp;[Eastern]" c="Maldon Southminster Village">
                <p n="[Local Organisation].[CAB].[Bureau].&amp;[Maldon Citizens Advice Bureau]&amp;[Maldon (member)]&amp;[Eastern]"/>
                <p n="[Local Organisation].[CAB].[Member].&amp;[Maldon (member)]&amp;[Eastern]"/>
                <p n="[Local Organisation].[CAB].[Government Region].&amp;[Eastern]"/>
              </i>
              <i n="[Local Organisation].[CAB].[Outreach].&amp;[Maldon Citizens Advice Bureau]&amp;[Not recorded/not applicable]&amp;[Maldon (member)]&amp;[Eastern]" c="Not recorded/not applicable">
                <p n="[Local Organisation].[CAB].[Bureau].&amp;[Maldon Citizens Advice Bureau]&amp;[Maldon (member)]&amp;[Eastern]"/>
                <p n="[Local Organisation].[CAB].[Member].&amp;[Maldon (member)]&amp;[Eastern]"/>
                <p n="[Local Organisation].[CAB].[Government Region].&amp;[Eastern]"/>
              </i>
              <i n="[Local Organisation].[CAB].[Outreach].&amp;[Dereham Citizens Advice Bureau]&amp;[Dereham Swaffham Outreach]&amp;[Mid Norfolk (member)]&amp;[Eastern]" c="Dereham Swaffham Outreach">
                <p n="[Local Organisation].[CAB].[Bureau].&amp;[Dereham Citizens Advice Bureau]&amp;[Mid Norfolk (member)]&amp;[Eastern]"/>
                <p n="[Local Organisation].[CAB].[Member].&amp;[Mid Norfolk (member)]&amp;[Eastern]"/>
                <p n="[Local Organisation].[CAB].[Government Region].&amp;[Eastern]"/>
              </i>
              <i n="[Local Organisation].[CAB].[Outreach].&amp;[Dereham Citizens Advice Bureau]&amp;[Not recorded/not applicable]&amp;[Mid Norfolk (member)]&amp;[Eastern]" c="Not recorded/not applicable">
                <p n="[Local Organisation].[CAB].[Bureau].&amp;[Dereham Citizens Advice Bureau]&amp;[Mid Norfolk (member)]&amp;[Eastern]"/>
                <p n="[Local Organisation].[CAB].[Member].&amp;[Mid Norfolk (member)]&amp;[Eastern]"/>
                <p n="[Local Organisation].[CAB].[Government Region].&amp;[Eastern]"/>
              </i>
              <i n="[Local Organisation].[CAB].[Outreach].&amp;[Holt Citizens Advice Bureau]&amp;[Holt Melton Constable]&amp;[Mid Norfolk (member)]&amp;[Eastern]" c="Holt Melton Constable">
                <p n="[Local Organisation].[CAB].[Bureau].&amp;[Holt Citizens Advice Bureau]&amp;[Mid Norfolk (member)]&amp;[Eastern]"/>
                <p n="[Local Organisation].[CAB].[Member].&amp;[Mid Norfolk (member)]&amp;[Eastern]"/>
                <p n="[Local Organisation].[CAB].[Government Region].&amp;[Eastern]"/>
              </i>
              <i n="[Local Organisation].[CAB].[Outreach].&amp;[Holt Citizens Advice Bureau]&amp;[Holt Sheringham]&amp;[Mid Norfolk (member)]&amp;[Eastern]" c="Holt Sheringham">
                <p n="[Local Organisation].[CAB].[Bureau].&amp;[Holt Citizens Advice Bureau]&amp;[Mid Norfolk (member)]&amp;[Eastern]"/>
                <p n="[Local Organisation].[CAB].[Member].&amp;[Mid Norfolk (member)]&amp;[Eastern]"/>
                <p n="[Local Organisation].[CAB].[Government Region].&amp;[Eastern]"/>
              </i>
              <i n="[Local Organisation].[CAB].[Outreach].&amp;[Holt Citizens Advice Bureau]&amp;[Not recorded/not applicable]&amp;[Mid Norfolk (member)]&amp;[Eastern]" c="Not recorded/not applicable">
                <p n="[Local Organisation].[CAB].[Bureau].&amp;[Holt Citizens Advice Bureau]&amp;[Mid Norfolk (member)]&amp;[Eastern]"/>
                <p n="[Local Organisation].[CAB].[Member].&amp;[Mid Norfolk (member)]&amp;[Eastern]"/>
                <p n="[Local Organisation].[CAB].[Government Region].&amp;[Eastern]"/>
              </i>
              <i n="[Local Organisation].[CAB].[Outreach].&amp;[Watton Citizens Advice Bureau]&amp;[Not recorded/not applicable]&amp;[Mid Norfolk (member)]&amp;[Eastern]" c="Not recorded/not applicable">
                <p n="[Local Organisation].[CAB].[Bureau].&amp;[Watton Citizens Advice Bureau]&amp;[Mid Norfolk (member)]&amp;[Eastern]"/>
                <p n="[Local Organisation].[CAB].[Member].&amp;[Mid Norfolk (member)]&amp;[Eastern]"/>
                <p n="[Local Organisation].[CAB].[Government Region].&amp;[Eastern]"/>
              </i>
              <i n="[Local Organisation].[CAB].[Outreach].&amp;[Watton Citizens Advice Bureau]&amp;[Watton HMP Wayland]&amp;[Mid Norfolk (member)]&amp;[Eastern]" c="Watton HMP Wayland">
                <p n="[Local Organisation].[CAB].[Bureau].&amp;[Watton Citizens Advice Bureau]&amp;[Mid Norfolk (member)]&amp;[Eastern]"/>
                <p n="[Local Organisation].[CAB].[Member].&amp;[Mid Norfolk (member)]&amp;[Eastern]"/>
                <p n="[Local Organisation].[CAB].[Government Region].&amp;[Eastern]"/>
              </i>
              <i n="[Local Organisation].[CAB].[Outreach].&amp;[Mid Suffolk CAB]&amp;[Not recorded/not applicable]&amp;[Mid Suffolk (member)]&amp;[Eastern]" c="Not recorded/not applicable">
                <p n="[Local Organisation].[CAB].[Bureau].&amp;[Mid Suffolk CAB]&amp;[Mid Suffolk (member)]&amp;[Eastern]"/>
                <p n="[Local Organisation].[CAB].[Member].&amp;[Mid Suffolk (member)]&amp;[Eastern]"/>
                <p n="[Local Organisation].[CAB].[Government Region].&amp;[Eastern]"/>
              </i>
              <i n="[Local Organisation].[CAB].[Outreach].&amp;[Ampthill CAB]&amp;[Mid Beds Outreach]&amp;[Mid-Bedfordshire (member)]&amp;[Eastern]" c="Mid Beds Outreach">
                <p n="[Local Organisation].[CAB].[Bureau].&amp;[Ampthill CAB]&amp;[Mid-Bedfordshire (member)]&amp;[Eastern]"/>
                <p n="[Local Organisation].[CAB].[Member].&amp;[Mid-Bedfordshire (member)]&amp;[Eastern]"/>
                <p n="[Local Organisation].[CAB].[Government Region].&amp;[Eastern]"/>
              </i>
              <i n="[Local Organisation].[CAB].[Outreach].&amp;[Ampthill CAB]&amp;[Mid Beds Sandy Satellite]&amp;[Mid-Bedfordshire (member)]&amp;[Eastern]" c="Mid Beds Sandy Satellite">
                <p n="[Local Organisation].[CAB].[Bureau].&amp;[Ampthill CAB]&amp;[Mid-Bedfordshire (member)]&amp;[Eastern]"/>
                <p n="[Local Organisation].[CAB].[Member].&amp;[Mid-Bedfordshire (member)]&amp;[Eastern]"/>
                <p n="[Local Organisation].[CAB].[Government Region].&amp;[Eastern]"/>
              </i>
              <i n="[Local Organisation].[CAB].[Outreach].&amp;[Ampthill CAB]&amp;[Not recorded/not applicable]&amp;[Mid-Bedfordshire (member)]&amp;[Eastern]" c="Not recorded/not applicable">
                <p n="[Local Organisation].[CAB].[Bureau].&amp;[Ampthill CAB]&amp;[Mid-Bedfordshire (member)]&amp;[Eastern]"/>
                <p n="[Local Organisation].[CAB].[Member].&amp;[Mid-Bedfordshire (member)]&amp;[Eastern]"/>
                <p n="[Local Organisation].[CAB].[Government Region].&amp;[Eastern]"/>
              </i>
              <i n="[Local Organisation].[CAB].[Outreach].&amp;[Biggleswade CAB]&amp;[Not recorded/not applicable]&amp;[Mid-Bedfordshire (member)]&amp;[Eastern]" c="Not recorded/not applicable">
                <p n="[Local Organisation].[CAB].[Bureau].&amp;[Biggleswade CAB]&amp;[Mid-Bedfordshire (member)]&amp;[Eastern]"/>
                <p n="[Local Organisation].[CAB].[Member].&amp;[Mid-Bedfordshire (member)]&amp;[Eastern]"/>
                <p n="[Local Organisation].[CAB].[Government Region].&amp;[Eastern]"/>
              </i>
              <i n="[Local Organisation].[CAB].[Outreach].&amp;[Newmarket CAB]&amp;[Newmarket Oakfield Surgery]&amp;[Newmarket (member)]&amp;[Eastern]" c="Newmarket Oakfield Surgery">
                <p n="[Local Organisation].[CAB].[Bureau].&amp;[Newmarket CAB]&amp;[Newmarket (member)]&amp;[Eastern]"/>
                <p n="[Local Organisation].[CAB].[Member].&amp;[Newmarket (member)]&amp;[Eastern]"/>
                <p n="[Local Organisation].[CAB].[Government Region].&amp;[Eastern]"/>
              </i>
              <i n="[Local Organisation].[CAB].[Outreach].&amp;[Newmarket CAB]&amp;[Not recorded/not applicable]&amp;[Newmarket (member)]&amp;[Eastern]" c="Not recorded/not applicable">
                <p n="[Local Organisation].[CAB].[Bureau].&amp;[Newmarket CAB]&amp;[Newmarket (member)]&amp;[Eastern]"/>
                <p n="[Local Organisation].[CAB].[Member].&amp;[Newmarket (member)]&amp;[Eastern]"/>
                <p n="[Local Organisation].[CAB].[Government Region].&amp;[Eastern]"/>
              </i>
              <i n="[Local Organisation].[CAB].[Outreach].&amp;[Norfolk (Attleborough Citizens Advice Bureau)]&amp;[Not recorded/not applicable]&amp;[Norfolk (member)]&amp;[Eastern]" c="Not recorded/not applicable">
                <p n="[Local Organisation].[CAB].[Bureau].&amp;[Norfolk (Attleborough Citizens Advice Bureau)]&amp;[Norfolk (member)]&amp;[Eastern]"/>
                <p n="[Local Organisation].[CAB].[Member].&amp;[Norfolk (member)]&amp;[Eastern]"/>
                <p n="[Local Organisation].[CAB].[Government Region].&amp;[Eastern]"/>
              </i>
              <i n="[Local Organisation].[CAB].[Outreach].&amp;[Norfolk (Fakenham Citizens Advice Bureau)]&amp;[Not recorded/not applicable]&amp;[Norfolk (member)]&amp;[Eastern]" c="Not recorded/not applicable">
                <p n="[Local Organisation].[CAB].[Bureau].&amp;[Norfolk (Fakenham Citizens Advice Bureau)]&amp;[Norfolk (member)]&amp;[Eastern]"/>
                <p n="[Local Organisation].[CAB].[Member].&amp;[Norfolk (member)]&amp;[Eastern]"/>
                <p n="[Local Organisation].[CAB].[Government Region].&amp;[Eastern]"/>
              </i>
              <i n="[Local Organisation].[CAB].[Outreach].&amp;[Norfolk (Great Yarmouth Citizens Advice Bureau)]&amp;[Not recorded/not applicable]&amp;[Norfolk (member)]&amp;[Eastern]" c="Not recorded/not applicable">
                <p n="[Local Organisation].[CAB].[Bureau].&amp;[Norfolk (Great Yarmouth Citizens Advice Bureau)]&amp;[Norfolk (member)]&amp;[Eastern]"/>
                <p n="[Local Organisation].[CAB].[Member].&amp;[Norfolk (member)]&amp;[Eastern]"/>
                <p n="[Local Organisation].[CAB].[Government Region].&amp;[Eastern]"/>
              </i>
              <i n="[Local Organisation].[CAB].[Outreach].&amp;[Norfolk (Kings Lynn Citizens Advice Bureau)]&amp;[Norfolk (Kings Lynn) Chatterton House]&amp;[Norfolk (member)]&amp;[Eastern]" c="Norfolk (Kings Lynn) Chatterton House">
                <p n="[Local Organisation].[CAB].[Bureau].&amp;[Norfolk (Kings Lynn Citizens Advice Bureau)]&amp;[Norfolk (member)]&amp;[Eastern]"/>
                <p n="[Local Organisation].[CAB].[Member].&amp;[Norfolk (member)]&amp;[Eastern]"/>
                <p n="[Local Organisation].[CAB].[Government Region].&amp;[Eastern]"/>
              </i>
              <i n="[Local Organisation].[CAB].[Outreach].&amp;[Norfolk (Kings Lynn Citizens Advice Bureau)]&amp;[Norfolk (Kings Lynn) Downham Market]&amp;[Norfolk (member)]&amp;[Eastern]" c="Norfolk (Kings Lynn) Downham Market">
                <p n="[Local Organisation].[CAB].[Bureau].&amp;[Norfolk (Kings Lynn Citizens Advice Bureau)]&amp;[Norfolk (member)]&amp;[Eastern]"/>
                <p n="[Local Organisation].[CAB].[Member].&amp;[Norfolk (member)]&amp;[Eastern]"/>
                <p n="[Local Organisation].[CAB].[Government Region].&amp;[Eastern]"/>
              </i>
              <i n="[Local Organisation].[CAB].[Outreach].&amp;[Norfolk (Kings Lynn Citizens Advice Bureau)]&amp;[Norfolk (Kings Lynn) Marham Outreach]&amp;[Norfolk (member)]&amp;[Eastern]" c="Norfolk (Kings Lynn) Marham Outreach">
                <p n="[Local Organisation].[CAB].[Bureau].&amp;[Norfolk (Kings Lynn Citizens Advice Bureau)]&amp;[Norfolk (member)]&amp;[Eastern]"/>
                <p n="[Local Organisation].[CAB].[Member].&amp;[Norfolk (member)]&amp;[Eastern]"/>
                <p n="[Local Organisation].[CAB].[Government Region].&amp;[Eastern]"/>
              </i>
              <i n="[Local Organisation].[CAB].[Outreach].&amp;[Norfolk (Kings Lynn Citizens Advice Bureau)]&amp;[Not recorded/not applicable]&amp;[Norfolk (member)]&amp;[Eastern]" c="Not recorded/not applicable">
                <p n="[Local Organisation].[CAB].[Bureau].&amp;[Norfolk (Kings Lynn Citizens Advice Bureau)]&amp;[Norfolk (member)]&amp;[Eastern]"/>
                <p n="[Local Organisation].[CAB].[Member].&amp;[Norfolk (member)]&amp;[Eastern]"/>
                <p n="[Local Organisation].[CAB].[Government Region].&amp;[Eastern]"/>
              </i>
              <i n="[Local Organisation].[CAB].[Outreach].&amp;[Norfolk (North Walsham Citizens Advice Bureau)]&amp;[North Walsham, Cromer Merchants Place]&amp;[Norfolk (member)]&amp;[Eastern]" c="North Walsham, Cromer Merchants Place">
                <p n="[Local Organisation].[CAB].[Bureau].&amp;[Norfolk (North Walsham Citizens Advice Bureau)]&amp;[Norfolk (member)]&amp;[Eastern]"/>
                <p n="[Local Organisation].[CAB].[Member].&amp;[Norfolk (member)]&amp;[Eastern]"/>
                <p n="[Local Organisation].[CAB].[Government Region].&amp;[Eastern]"/>
              </i>
              <i n="[Local Organisation].[CAB].[Outreach].&amp;[Norfolk (North Walsham Citizens Advice Bureau)]&amp;[Not recorded/not applicable]&amp;[Norfolk (member)]&amp;[Eastern]" c="Not recorded/not applicable">
                <p n="[Local Organisation].[CAB].[Bureau].&amp;[Norfolk (North Walsham Citizens Advice Bureau)]&amp;[Norfolk (member)]&amp;[Eastern]"/>
                <p n="[Local Organisation].[CAB].[Member].&amp;[Norfolk (member)]&amp;[Eastern]"/>
                <p n="[Local Organisation].[CAB].[Government Region].&amp;[Eastern]"/>
              </i>
              <i n="[Local Organisation].[CAB].[Outreach].&amp;[Norfolk (Norwich Citizens Advice Bureau)]&amp;[Norfolk (Norwich) Aylsham Outreach]&amp;[Norfolk (member)]&amp;[Eastern]" c="Norfolk (Norwich) Aylsham Outreach">
                <p n="[Local Organisation].[CAB].[Bureau].&amp;[Norfolk (Norwich Citizens Advice Bureau)]&amp;[Norfolk (member)]&amp;[Eastern]"/>
                <p n="[Local Organisation].[CAB].[Member].&amp;[Norfolk (member)]&amp;[Eastern]"/>
                <p n="[Local Organisation].[CAB].[Government Region].&amp;[Eastern]"/>
              </i>
              <i n="[Local Organisation].[CAB].[Outreach].&amp;[Norfolk (Norwich Citizens Advice Bureau)]&amp;[Norfolk (Norwich) Hellesdon Outreach]&amp;[Norfolk (member)]&amp;[Eastern]" c="Norfolk (Norwich) Hellesdon Outreach">
                <p n="[Local Organisation].[CAB].[Bureau].&amp;[Norfolk (Norwich Citizens Advice Bureau)]&amp;[Norfolk (member)]&amp;[Eastern]"/>
                <p n="[Local Organisation].[CAB].[Member].&amp;[Norfolk (member)]&amp;[Eastern]"/>
                <p n="[Local Organisation].[CAB].[Government Region].&amp;[Eastern]"/>
              </i>
              <i n="[Local Organisation].[CAB].[Outreach].&amp;[Norfolk (Norwich Citizens Advice Bureau)]&amp;[Norfolk (Norwich) Lawson Road Outreach]&amp;[Norfolk (member)]&amp;[Eastern]" c="Norfolk (Norwich) Lawson Road Outreach">
                <p n="[Local Organisation].[CAB].[Bureau].&amp;[Norfolk (Norwich Citizens Advice Bureau)]&amp;[Norfolk (member)]&amp;[Eastern]"/>
                <p n="[Local Organisation].[CAB].[Member].&amp;[Norfolk (member)]&amp;[Eastern]"/>
                <p n="[Local Organisation].[CAB].[Government Region].&amp;[Eastern]"/>
              </i>
              <i n="[Local Organisation].[CAB].[Outreach].&amp;[Norfolk (Norwich Citizens Advice Bureau)]&amp;[Norfolk (Norwich) Reepham Outreach]&amp;[Norfolk (member)]&amp;[Eastern]" c="Norfolk (Norwich) Reepham Outreach">
                <p n="[Local Organisation].[CAB].[Bureau].&amp;[Norfolk (Norwich Citizens Advice Bureau)]&amp;[Norfolk (member)]&amp;[Eastern]"/>
                <p n="[Local Organisation].[CAB].[Member].&amp;[Norfolk (member)]&amp;[Eastern]"/>
                <p n="[Local Organisation].[CAB].[Government Region].&amp;[Eastern]"/>
              </i>
              <i n="[Local Organisation].[CAB].[Outreach].&amp;[Norfolk (Norwich Citizens Advice Bureau)]&amp;[Not recorded/not applicable]&amp;[Norfolk (member)]&amp;[Eastern]" c="Not recorded/not applicable">
                <p n="[Local Organisation].[CAB].[Bureau].&amp;[Norfolk (Norwich Citizens Advice Bureau)]&amp;[Norfolk (member)]&amp;[Eastern]"/>
                <p n="[Local Organisation].[CAB].[Member].&amp;[Norfolk (member)]&amp;[Eastern]"/>
                <p n="[Local Organisation].[CAB].[Government Region].&amp;[Eastern]"/>
              </i>
              <i n="[Local Organisation].[CAB].[Outreach].&amp;[Norfolk (Wymondham Citizens Advice Bureau)]&amp;[Norfolk Hellesdon Outreach]&amp;[Norfolk (member)]&amp;[Eastern]" c="Norfolk Hellesdon Outreach">
                <p n="[Local Organisation].[CAB].[Bureau].&amp;[Norfolk (Wymondham Citizens Advice Bureau)]&amp;[Norfolk (member)]&amp;[Eastern]"/>
                <p n="[Local Organisation].[CAB].[Member].&amp;[Norfolk (member)]&amp;[Eastern]"/>
                <p n="[Local Organisation].[CAB].[Government Region].&amp;[Eastern]"/>
              </i>
              <i n="[Local Organisation].[CAB].[Outreach].&amp;[Norfolk (Wymondham Citizens Advice Bureau)]&amp;[Not recorded/not applicable]&amp;[Norfolk (member)]&amp;[Eastern]" c="Not recorded/not applicable">
                <p n="[Local Organisation].[CAB].[Bureau].&amp;[Norfolk (Wymondham Citizens Advice Bureau)]&amp;[Norfolk (member)]&amp;[Eastern]"/>
                <p n="[Local Organisation].[CAB].[Member].&amp;[Norfolk (member)]&amp;[Eastern]"/>
                <p n="[Local Organisation].[CAB].[Government Region].&amp;[Eastern]"/>
              </i>
              <i n="[Local Organisation].[CAB].[Outreach].&amp;[North East Suffolk CAB (Beccles)]&amp;[North East Suffolk Halesworth]&amp;[North East Suffolk (member)]&amp;[Eastern]" c="North East Suffolk Halesworth">
                <p n="[Local Organisation].[CAB].[Bureau].&amp;[North East Suffolk CAB (Beccles)]&amp;[North East Suffolk (member)]&amp;[Eastern]"/>
                <p n="[Local Organisation].[CAB].[Member].&amp;[North East Suffolk (member)]&amp;[Eastern]"/>
                <p n="[Local Organisation].[CAB].[Government Region].&amp;[Eastern]"/>
              </i>
              <i n="[Local Organisation].[CAB].[Outreach].&amp;[North East Suffolk CAB (Beccles)]&amp;[Not recorded/not applicable]&amp;[North East Suffolk (member)]&amp;[Eastern]" c="Not recorded/not applicable">
                <p n="[Local Organisation].[CAB].[Bureau].&amp;[North East Suffolk CAB (Beccles)]&amp;[North East Suffolk (member)]&amp;[Eastern]"/>
                <p n="[Local Organisation].[CAB].[Member].&amp;[North East Suffolk (member)]&amp;[Eastern]"/>
                <p n="[Local Organisation].[CAB].[Government Region].&amp;[Eastern]"/>
              </i>
              <i n="[Local Organisation].[CAB].[Outreach].&amp;[North East Suffolk CAB (Bungay)]&amp;[Not recorded/not applicable]&amp;[North East Suffolk (member)]&amp;[Eastern]" c="Not recorded/not applicable">
                <p n="[Local Organisation].[CAB].[Bureau].&amp;[North East Suffolk CAB (Bungay)]&amp;[North East Suffolk (member)]&amp;[Eastern]"/>
                <p n="[Local Organisation].[CAB].[Member].&amp;[North East Suffolk (member)]&amp;[Eastern]"/>
                <p n="[Local Organisation].[CAB].[Government Region].&amp;[Eastern]"/>
              </i>
              <i n="[Local Organisation].[CAB].[Outreach].&amp;[North East Suffolk CAB (Lowestoft)]&amp;[Not recorded/not applicable]&amp;[North East Suffolk (member)]&amp;[Eastern]" c="Not recorded/not applicable">
                <p n="[Local Organisation].[CAB].[Bureau].&amp;[North East Suffolk CAB (Lowestoft)]&amp;[North East Suffolk (member)]&amp;[Eastern]"/>
                <p n="[Local Organisation].[CAB].[Member].&amp;[North East Suffolk (member)]&amp;[Eastern]"/>
                <p n="[Local Organisation].[CAB].[Government Region].&amp;[Eastern]"/>
              </i>
              <i n="[Local Organisation].[CAB].[Outreach].&amp;[North Hertfordshire District Citizens Advice Bureau]&amp;[North Herts Bassingbourn]&amp;[North Hertfordshire District (member)]&amp;[Eastern]" c="North Herts Bassingbourn">
                <p n="[Local Organisation].[CAB].[Bureau].&amp;[North Hertfordshire District Citizens Advice Bureau]&amp;[North Hertfordshire District (member)]&amp;[Eastern]"/>
                <p n="[Local Organisation].[CAB].[Member].&amp;[North Hertfordshire District (member)]&amp;[Eastern]"/>
                <p n="[Local Organisation].[CAB].[Government Region].&amp;[Eastern]"/>
              </i>
              <i n="[Local Organisation].[CAB].[Outreach].&amp;[North Hertfordshire District Citizens Advice Bureau]&amp;[North Herts EBDX (energy best deal extra)]&amp;[North Hertfordshire District (member)]&amp;[Eastern]" c="North Herts EBDX (energy best deal extra)">
                <p n="[Local Organisation].[CAB].[Bureau].&amp;[North Hertfordshire District Citizens Advice Bureau]&amp;[North Hertfordshire District (member)]&amp;[Eastern]"/>
                <p n="[Local Organisation].[CAB].[Member].&amp;[North Hertfordshire District (member)]&amp;[Eastern]"/>
                <p n="[Local Organisation].[CAB].[Government Region].&amp;[Eastern]"/>
              </i>
              <i n="[Local Organisation].[CAB].[Outreach].&amp;[North Hertfordshire District Citizens Advice Bureau]&amp;[North herts Foodbank (Hitchin)]&amp;[North Hertfordshire District (member)]&amp;[Eastern]" c="North herts Foodbank (Hitchin)">
                <p n="[Local Organisation].[CAB].[Bureau].&amp;[North Hertfordshire District Citizens Advice Bureau]&amp;[North Hertfordshire District (member)]&amp;[Eastern]"/>
                <p n="[Local Organisation].[CAB].[Member].&amp;[North Hertfordshire District (member)]&amp;[Eastern]"/>
                <p n="[Local Organisation].[CAB].[Government Region].&amp;[Eastern]"/>
              </i>
              <i n="[Local Organisation].[CAB].[Outreach].&amp;[North Hertfordshire District Citizens Advice Bureau]&amp;[North Herts Hitchin]&amp;[North Hertfordshire District (member)]&amp;[Eastern]" c="North Herts Hitchin">
                <p n="[Local Organisation].[CAB].[Bureau].&amp;[North Hertfordshire District Citizens Advice Bureau]&amp;[North Hertfordshire District (member)]&amp;[Eastern]"/>
                <p n="[Local Organisation].[CAB].[Member].&amp;[North Hertfordshire District (member)]&amp;[Eastern]"/>
                <p n="[Local Organisation].[CAB].[Government Region].&amp;[Eastern]"/>
              </i>
              <i n="[Local Organisation].[CAB].[Outreach].&amp;[North Hertfordshire District Citizens Advice Bureau]&amp;[North Herts Homes (Letchworth)]&amp;[North Hertfordshire District (member)]&amp;[Eastern]" c="North Herts Homes (Letchworth)">
                <p n="[Local Organisation].[CAB].[Bureau].&amp;[North Hertfordshire District Citizens Advice Bureau]&amp;[North Hertfordshire District (member)]&amp;[Eastern]"/>
                <p n="[Local Organisation].[CAB].[Member].&amp;[North Hertfordshire District (member)]&amp;[Eastern]"/>
                <p n="[Local Organisation].[CAB].[Government Region].&amp;[Eastern]"/>
              </i>
              <i n="[Local Organisation].[CAB].[Outreach].&amp;[North Hertfordshire District Citizens Advice Bureau]&amp;[North Herts Homes (Royston)]&amp;[North Hertfordshire District (member)]&amp;[Eastern]" c="North Herts Homes (Royston)">
                <p n="[Local Organisation].[CAB].[Bureau].&amp;[North Hertfordshire District Citizens Advice Bureau]&amp;[North Hertfordshire District (member)]&amp;[Eastern]"/>
                <p n="[Local Organisation].[CAB].[Member].&amp;[North Hertfordshire District (member)]&amp;[Eastern]"/>
                <p n="[Local Organisation].[CAB].[Government Region].&amp;[Eastern]"/>
              </i>
              <i n="[Local Organisation].[CAB].[Outreach].&amp;[North Hertfordshire District Citizens Advice Bureau]&amp;[North Herts Melbourn Hub]&amp;[North Hertfordshire District (member)]&amp;[Eastern]" c="North Herts Melbourn Hub">
                <p n="[Local Organisation].[CAB].[Bureau].&amp;[North Hertfordshire District Citizens Advice Bureau]&amp;[North Hertfordshire District (member)]&amp;[Eastern]"/>
                <p n="[Local Organisation].[CAB].[Member].&amp;[North Hertfordshire District (member)]&amp;[Eastern]"/>
                <p n="[Local Organisation].[CAB].[Government Region].&amp;[Eastern]"/>
              </i>
              <i n="[Local Organisation].[CAB].[Outreach].&amp;[North Hertfordshire District Citizens Advice Bureau]&amp;[North Herts Royston]&amp;[North Hertfordshire District (member)]&amp;[Eastern]" c="North Herts Royston">
                <p n="[Local Organisation].[CAB].[Bureau].&amp;[North Hertfordshire District Citizens Advice Bureau]&amp;[North Hertfordshire District (member)]&amp;[Eastern]"/>
                <p n="[Local Organisation].[CAB].[Member].&amp;[North Hertfordshire District (member)]&amp;[Eastern]"/>
                <p n="[Local Organisation].[CAB].[Government Region].&amp;[Eastern]"/>
              </i>
              <i n="[Local Organisation].[CAB].[Outreach].&amp;[North Hertfordshire District Citizens Advice Bureau]&amp;[Not recorded/not applicable]&amp;[North Hertfordshire District (member)]&amp;[Eastern]" c="Not recorded/not applicable">
                <p n="[Local Organisation].[CAB].[Bureau].&amp;[North Hertfordshire District Citizens Advice Bureau]&amp;[North Hertfordshire District (member)]&amp;[Eastern]"/>
                <p n="[Local Organisation].[CAB].[Member].&amp;[North Hertfordshire District (member)]&amp;[Eastern]"/>
                <p n="[Local Organisation].[CAB].[Government Region].&amp;[Eastern]"/>
              </i>
              <i n="[Local Organisation].[CAB].[Outreach].&amp;[Peterborough Citizens Advice Bureau]&amp;[Not recorded/not applicable]&amp;[Peterborough (member)]&amp;[Eastern]" c="Not recorded/not applicable">
                <p n="[Local Organisation].[CAB].[Bureau].&amp;[Peterborough Citizens Advice Bureau]&amp;[Peterborough (member)]&amp;[Eastern]"/>
                <p n="[Local Organisation].[CAB].[Member].&amp;[Peterborough (member)]&amp;[Eastern]"/>
                <p n="[Local Organisation].[CAB].[Government Region].&amp;[Eastern]"/>
              </i>
              <i n="[Local Organisation].[CAB].[Outreach].&amp;[Peterborough Citizens Advice Bureau]&amp;[Peterborough County Court]&amp;[Peterborough (member)]&amp;[Eastern]" c="Peterborough County Court">
                <p n="[Local Organisation].[CAB].[Bureau].&amp;[Peterborough Citizens Advice Bureau]&amp;[Peterborough (member)]&amp;[Eastern]"/>
                <p n="[Local Organisation].[CAB].[Member].&amp;[Peterborough (member)]&amp;[Eastern]"/>
                <p n="[Local Organisation].[CAB].[Government Region].&amp;[Eastern]"/>
              </i>
              <i n="[Local Organisation].[CAB].[Outreach].&amp;[Peterborough Citizens Advice Bureau]&amp;[Peterborough Research &amp; Campaigns]&amp;[Peterborough (member)]&amp;[Eastern]" c="Peterborough Research &amp; Campaigns">
                <p n="[Local Organisation].[CAB].[Bureau].&amp;[Peterborough Citizens Advice Bureau]&amp;[Peterborough (member)]&amp;[Eastern]"/>
                <p n="[Local Organisation].[CAB].[Member].&amp;[Peterborough (member)]&amp;[Eastern]"/>
                <p n="[Local Organisation].[CAB].[Government Region].&amp;[Eastern]"/>
              </i>
              <i n="[Local Organisation].[CAB].[Outreach].&amp;[Rayleigh Citizens Advice Bureau]&amp;[Not recorded/not applicable]&amp;[Rochford &amp; Rayleigh (member)]&amp;[Eastern]" c="Not recorded/not applicable">
                <p n="[Local Organisation].[CAB].[Bureau].&amp;[Rayleigh Citizens Advice Bureau]&amp;[Rochford &amp; Rayleigh (member)]&amp;[Eastern]"/>
                <p n="[Local Organisation].[CAB].[Member].&amp;[Rochford &amp; Rayleigh (member)]&amp;[Eastern]"/>
                <p n="[Local Organisation].[CAB].[Government Region].&amp;[Eastern]"/>
              </i>
              <i n="[Local Organisation].[CAB].[Outreach].&amp;[Rochford Citizens Advice Bureau]&amp;[Not recorded/not applicable]&amp;[Rochford &amp; Rayleigh (member)]&amp;[Eastern]" c="Not recorded/not applicable">
                <p n="[Local Organisation].[CAB].[Bureau].&amp;[Rochford Citizens Advice Bureau]&amp;[Rochford &amp; Rayleigh (member)]&amp;[Eastern]"/>
                <p n="[Local Organisation].[CAB].[Member].&amp;[Rochford &amp; Rayleigh (member)]&amp;[Eastern]"/>
                <p n="[Local Organisation].[CAB].[Government Region].&amp;[Eastern]"/>
              </i>
              <i n="[Local Organisation].[CAB].[Outreach].&amp;[Ely CAB]&amp;[Not recorded/not applicable]&amp;[Rural Cambs (member)]&amp;[Eastern]" c="Not recorded/not applicable">
                <p n="[Local Organisation].[CAB].[Bureau].&amp;[Ely CAB]&amp;[Rural Cambs (member)]&amp;[Eastern]"/>
                <p n="[Local Organisation].[CAB].[Member].&amp;[Rural Cambs (member)]&amp;[Eastern]"/>
                <p n="[Local Organisation].[CAB].[Government Region].&amp;[Eastern]"/>
              </i>
              <i n="[Local Organisation].[CAB].[Outreach].&amp;[Ely CAB]&amp;[RCC - Soham]&amp;[Rural Cambs (member)]&amp;[Eastern]" c="RCC - Soham">
                <p n="[Local Organisation].[CAB].[Bureau].&amp;[Ely CAB]&amp;[Rural Cambs (member)]&amp;[Eastern]"/>
                <p n="[Local Organisation].[CAB].[Member].&amp;[Rural Cambs (member)]&amp;[Eastern]"/>
                <p n="[Local Organisation].[CAB].[Government Region].&amp;[Eastern]"/>
              </i>
              <i n="[Local Organisation].[CAB].[Outreach].&amp;[Huntingdonshire]&amp;[Not recorded/not applicable]&amp;[Rural Cambs (member)]&amp;[Eastern]" c="Not recorded/not applicable">
                <p n="[Local Organisation].[CAB].[Bureau].&amp;[Huntingdonshire]&amp;[Rural Cambs (member)]&amp;[Eastern]"/>
                <p n="[Local Organisation].[CAB].[Member].&amp;[Rural Cambs (member)]&amp;[Eastern]"/>
                <p n="[Local Organisation].[CAB].[Government Region].&amp;[Eastern]"/>
              </i>
              <i n="[Local Organisation].[CAB].[Outreach].&amp;[Huntingdonshire]&amp;[RCC - Pathfinder House]&amp;[Rural Cambs (member)]&amp;[Eastern]" c="RCC - Pathfinder House">
                <p n="[Local Organisation].[CAB].[Bureau].&amp;[Huntingdonshire]&amp;[Rural Cambs (member)]&amp;[Eastern]"/>
                <p n="[Local Organisation].[CAB].[Member].&amp;[Rural Cambs (member)]&amp;[Eastern]"/>
                <p n="[Local Organisation].[CAB].[Government Region].&amp;[Eastern]"/>
              </i>
              <i n="[Local Organisation].[CAB].[Outreach].&amp;[Huntingdonshire]&amp;[RCC - Ramsey]&amp;[Rural Cambs (member)]&amp;[Eastern]" c="RCC - Ramsey">
                <p n="[Local Organisation].[CAB].[Bureau].&amp;[Huntingdonshire]&amp;[Rural Cambs (member)]&amp;[Eastern]"/>
                <p n="[Local Organisation].[CAB].[Member].&amp;[Rural Cambs (member)]&amp;[Eastern]"/>
                <p n="[Local Organisation].[CAB].[Government Region].&amp;[Eastern]"/>
              </i>
              <i n="[Local Organisation].[CAB].[Outreach].&amp;[Huntingdonshire]&amp;[RCC - St Neots]&amp;[Rural Cambs (member)]&amp;[Eastern]" c="RCC - St Neots">
                <p n="[Local Organisation].[CAB].[Bureau].&amp;[Huntingdonshire]&amp;[Rural Cambs (member)]&amp;[Eastern]"/>
                <p n="[Local Organisation].[CAB].[Member].&amp;[Rural Cambs (member)]&amp;[Eastern]"/>
                <p n="[Local Organisation].[CAB].[Government Region].&amp;[Eastern]"/>
              </i>
              <i n="[Local Organisation].[CAB].[Outreach].&amp;[Huntingdonshire]&amp;[RCC - Town Hall **DO NOT USE**]&amp;[Rural Cambs (member)]&amp;[Eastern]" c="RCC - Town Hall **DO NOT USE**">
                <p n="[Local Organisation].[CAB].[Bureau].&amp;[Huntingdonshire]&amp;[Rural Cambs (member)]&amp;[Eastern]"/>
                <p n="[Local Organisation].[CAB].[Member].&amp;[Rural Cambs (member)]&amp;[Eastern]"/>
                <p n="[Local Organisation].[CAB].[Government Region].&amp;[Eastern]"/>
              </i>
              <i n="[Local Organisation].[CAB].[Outreach].&amp;[Huntingdonshire]&amp;[RCC - Yaxley]&amp;[Rural Cambs (member)]&amp;[Eastern]" c="RCC - Yaxley">
                <p n="[Local Organisation].[CAB].[Bureau].&amp;[Huntingdonshire]&amp;[Rural Cambs (member)]&amp;[Eastern]"/>
                <p n="[Local Organisation].[CAB].[Member].&amp;[Rural Cambs (member)]&amp;[Eastern]"/>
                <p n="[Local Organisation].[CAB].[Government Region].&amp;[Eastern]"/>
              </i>
              <i n="[Local Organisation].[CAB].[Outreach].&amp;[Wisbech]&amp;[Not recorded/not applicable]&amp;[Rural Cambs (member)]&amp;[Eastern]" c="Not recorded/not applicable">
                <p n="[Local Organisation].[CAB].[Bureau].&amp;[Wisbech]&amp;[Rural Cambs (member)]&amp;[Eastern]"/>
                <p n="[Local Organisation].[CAB].[Member].&amp;[Rural Cambs (member)]&amp;[Eastern]"/>
                <p n="[Local Organisation].[CAB].[Government Region].&amp;[Eastern]"/>
              </i>
              <i n="[Local Organisation].[CAB].[Outreach].&amp;[Wisbech]&amp;[RCC - Chatteris]&amp;[Rural Cambs (member)]&amp;[Eastern]" c="RCC - Chatteris">
                <p n="[Local Organisation].[CAB].[Bureau].&amp;[Wisbech]&amp;[Rural Cambs (member)]&amp;[Eastern]"/>
                <p n="[Local Organisation].[CAB].[Member].&amp;[Rural Cambs (member)]&amp;[Eastern]"/>
                <p n="[Local Organisation].[CAB].[Government Region].&amp;[Eastern]"/>
              </i>
              <i n="[Local Organisation].[CAB].[Outreach].&amp;[Wisbech]&amp;[RCC - Making Money Count]&amp;[Rural Cambs (member)]&amp;[Eastern]" c="RCC - Making Money Count">
                <p n="[Local Organisation].[CAB].[Bureau].&amp;[Wisbech]&amp;[Rural Cambs (member)]&amp;[Eastern]"/>
                <p n="[Local Organisation].[CAB].[Member].&amp;[Rural Cambs (member)]&amp;[Eastern]"/>
                <p n="[Local Organisation].[CAB].[Government Region].&amp;[Eastern]"/>
              </i>
              <i n="[Local Organisation].[CAB].[Outreach].&amp;[Wisbech]&amp;[RCC - Manea]&amp;[Rural Cambs (member)]&amp;[Eastern]" c="RCC - Manea">
                <p n="[Local Organisation].[CAB].[Bureau].&amp;[Wisbech]&amp;[Rural Cambs (member)]&amp;[Eastern]"/>
                <p n="[Local Organisation].[CAB].[Member].&amp;[Rural Cambs (member)]&amp;[Eastern]"/>
                <p n="[Local Organisation].[CAB].[Government Region].&amp;[Eastern]"/>
              </i>
              <i n="[Local Organisation].[CAB].[Outreach].&amp;[Wisbech]&amp;[RCC - March]&amp;[Rural Cambs (member)]&amp;[Eastern]" c="RCC - March">
                <p n="[Local Organisation].[CAB].[Bureau].&amp;[Wisbech]&amp;[Rural Cambs (member)]&amp;[Eastern]"/>
                <p n="[Local Organisation].[CAB].[Member].&amp;[Rural Cambs (member)]&amp;[Eastern]"/>
                <p n="[Local Organisation].[CAB].[Government Region].&amp;[Eastern]"/>
              </i>
              <i n="[Local Organisation].[CAB].[Outreach].&amp;[Wisbech]&amp;[RCC - Whittlesey]&amp;[Rural Cambs (member)]&amp;[Eastern]" c="RCC - Whittlesey">
                <p n="[Local Organisation].[CAB].[Bureau].&amp;[Wisbech]&amp;[Rural Cambs (member)]&amp;[Eastern]"/>
                <p n="[Local Organisation].[CAB].[Member].&amp;[Rural Cambs (member)]&amp;[Eastern]"/>
                <p n="[Local Organisation].[CAB].[Government Region].&amp;[Eastern]"/>
              </i>
              <i n="[Local Organisation].[CAB].[Outreach].&amp;[Wisbech]&amp;[RCC - Wimblington]&amp;[Rural Cambs (member)]&amp;[Eastern]" c="RCC - Wimblington">
                <p n="[Local Organisation].[CAB].[Bureau].&amp;[Wisbech]&amp;[Rural Cambs (member)]&amp;[Eastern]"/>
                <p n="[Local Organisation].[CAB].[Member].&amp;[Rural Cambs (member)]&amp;[Eastern]"/>
                <p n="[Local Organisation].[CAB].[Government Region].&amp;[Eastern]"/>
              </i>
              <i n="[Local Organisation].[CAB].[Outreach].&amp;[Southend Citizens Advice Bureau]&amp;[Not recorded/not applicable]&amp;[Southend (member)]&amp;[Eastern]" c="Not recorded/not applicable">
                <p n="[Local Organisation].[CAB].[Bureau].&amp;[Southend Citizens Advice Bureau]&amp;[Southend (member)]&amp;[Eastern]"/>
                <p n="[Local Organisation].[CAB].[Member].&amp;[Southend (member)]&amp;[Eastern]"/>
                <p n="[Local Organisation].[CAB].[Government Region].&amp;[Eastern]"/>
              </i>
              <i n="[Local Organisation].[CAB].[Outreach].&amp;[St Albans Citizens Advice Bureau]&amp;[Not recorded/not applicable]&amp;[St Albans (member)]&amp;[Eastern]" c="Not recorded/not applicable">
                <p n="[Local Organisation].[CAB].[Bureau].&amp;[St Albans Citizens Advice Bureau]&amp;[St Albans (member)]&amp;[Eastern]"/>
                <p n="[Local Organisation].[CAB].[Member].&amp;[St Albans (member)]&amp;[Eastern]"/>
                <p n="[Local Organisation].[CAB].[Government Region].&amp;[Eastern]"/>
              </i>
              <i n="[Local Organisation].[CAB].[Outreach].&amp;[St Albans Citizens Advice Bureau]&amp;[St Albans F2F Harpenden]&amp;[St Albans (member)]&amp;[Eastern]" c="St Albans F2F Harpenden">
                <p n="[Local Organisation].[CAB].[Bureau].&amp;[St Albans Citizens Advice Bureau]&amp;[St Albans (member)]&amp;[Eastern]"/>
                <p n="[Local Organisation].[CAB].[Member].&amp;[St Albans (member)]&amp;[Eastern]"/>
                <p n="[Local Organisation].[CAB].[Government Region].&amp;[Eastern]"/>
              </i>
              <i n="[Local Organisation].[CAB].[Outreach].&amp;[St Albans Citizens Advice Bureau]&amp;[St Albans F2F London Colney Outreach]&amp;[St Albans (member)]&amp;[Eastern]" c="St Albans F2F London Colney Outreach">
                <p n="[Local Organisation].[CAB].[Bureau].&amp;[St Albans Citizens Advice Bureau]&amp;[St Albans (member)]&amp;[Eastern]"/>
                <p n="[Local Organisation].[CAB].[Member].&amp;[St Albans (member)]&amp;[Eastern]"/>
                <p n="[Local Organisation].[CAB].[Government Region].&amp;[Eastern]"/>
              </i>
              <i n="[Local Organisation].[CAB].[Outreach].&amp;[St Albans Citizens Advice Bureau]&amp;[St Albans F2F Redbourn Outreach]&amp;[St Albans (member)]&amp;[Eastern]" c="St Albans F2F Redbourn Outreach">
                <p n="[Local Organisation].[CAB].[Bureau].&amp;[St Albans Citizens Advice Bureau]&amp;[St Albans (member)]&amp;[Eastern]"/>
                <p n="[Local Organisation].[CAB].[Member].&amp;[St Albans (member)]&amp;[Eastern]"/>
                <p n="[Local Organisation].[CAB].[Government Region].&amp;[Eastern]"/>
              </i>
              <i n="[Local Organisation].[CAB].[Outreach].&amp;[St Albans Citizens Advice Bureau]&amp;[St Albans F2F Wheathampstead Outreach]&amp;[St Albans (member)]&amp;[Eastern]" c="St Albans F2F Wheathampstead Outreach">
                <p n="[Local Organisation].[CAB].[Bureau].&amp;[St Albans Citizens Advice Bureau]&amp;[St Albans (member)]&amp;[Eastern]"/>
                <p n="[Local Organisation].[CAB].[Member].&amp;[St Albans (member)]&amp;[Eastern]"/>
                <p n="[Local Organisation].[CAB].[Government Region].&amp;[Eastern]"/>
              </i>
              <i n="[Local Organisation].[CAB].[Outreach].&amp;[Stevenage Citizens Advice Bureau]&amp;[Not recorded/not applicable]&amp;[Stevenage (member)]&amp;[Eastern]" c="Not recorded/not applicable">
                <p n="[Local Organisation].[CAB].[Bureau].&amp;[Stevenage Citizens Advice Bureau]&amp;[Stevenage (member)]&amp;[Eastern]"/>
                <p n="[Local Organisation].[CAB].[Member].&amp;[Stevenage (member)]&amp;[Eastern]"/>
                <p n="[Local Organisation].[CAB].[Government Region].&amp;[Eastern]"/>
              </i>
              <i n="[Local Organisation].[CAB].[Outreach].&amp;[Stevenage Citizens Advice Bureau]&amp;[Stevenage Borough Council Customer Service Centre]&amp;[Stevenage (member)]&amp;[Eastern]" c="Stevenage Borough Council Customer Service Centre">
                <p n="[Local Organisation].[CAB].[Bureau].&amp;[Stevenage Citizens Advice Bureau]&amp;[Stevenage (member)]&amp;[Eastern]"/>
                <p n="[Local Organisation].[CAB].[Member].&amp;[Stevenage (member)]&amp;[Eastern]"/>
                <p n="[Local Organisation].[CAB].[Government Region].&amp;[Eastern]"/>
              </i>
              <i n="[Local Organisation].[CAB].[Outreach].&amp;[Stevenage Citizens Advice Bureau]&amp;[Stevenage Children's Centres]&amp;[Stevenage (member)]&amp;[Eastern]" c="Stevenage Children's Centres">
                <p n="[Local Organisation].[CAB].[Bureau].&amp;[Stevenage Citizens Advice Bureau]&amp;[Stevenage (member)]&amp;[Eastern]"/>
                <p n="[Local Organisation].[CAB].[Member].&amp;[Stevenage (member)]&amp;[Eastern]"/>
                <p n="[Local Organisation].[CAB].[Government Region].&amp;[Eastern]"/>
              </i>
              <i n="[Local Organisation].[CAB].[Outreach].&amp;[Sudbury CAB]&amp;[Not recorded/not applicable]&amp;[Sudbury (member)]&amp;[Eastern]" c="Not recorded/not applicable">
                <p n="[Local Organisation].[CAB].[Bureau].&amp;[Sudbury CAB]&amp;[Sudbury (member)]&amp;[Eastern]"/>
                <p n="[Local Organisation].[CAB].[Member].&amp;[Sudbury (member)]&amp;[Eastern]"/>
                <p n="[Local Organisation].[CAB].[Government Region].&amp;[Eastern]"/>
              </i>
              <i n="[Local Organisation].[CAB].[Outreach].&amp;[Sudbury CAB]&amp;[Sudbury Hadleigh Outreach]&amp;[Sudbury (member)]&amp;[Eastern]" c="Sudbury Hadleigh Outreach">
                <p n="[Local Organisation].[CAB].[Bureau].&amp;[Sudbury CAB]&amp;[Sudbury (member)]&amp;[Eastern]"/>
                <p n="[Local Organisation].[CAB].[Member].&amp;[Sudbury (member)]&amp;[Eastern]"/>
                <p n="[Local Organisation].[CAB].[Government Region].&amp;[Eastern]"/>
              </i>
              <i n="[Local Organisation].[CAB].[Outreach].&amp;[Sudbury CAB]&amp;[Sudbury Lavenham Outreach]&amp;[Sudbury (member)]&amp;[Eastern]" c="Sudbury Lavenham Outreach">
                <p n="[Local Organisation].[CAB].[Bureau].&amp;[Sudbury CAB]&amp;[Sudbury (member)]&amp;[Eastern]"/>
                <p n="[Local Organisation].[CAB].[Member].&amp;[Sudbury (member)]&amp;[Eastern]"/>
                <p n="[Local Organisation].[CAB].[Government Region].&amp;[Eastern]"/>
              </i>
              <i n="[Local Organisation].[CAB].[Outreach].&amp;[Brandon CAB]&amp;[Not recorded/not applicable]&amp;[Suffolk West (member)]&amp;[Eastern]" c="Not recorded/not applicable">
                <p n="[Local Organisation].[CAB].[Bureau].&amp;[Brandon CAB]&amp;[Suffolk West (member)]&amp;[Eastern]"/>
                <p n="[Local Organisation].[CAB].[Member].&amp;[Suffolk West (member)]&amp;[Eastern]"/>
                <p n="[Local Organisation].[CAB].[Government Region].&amp;[Eastern]"/>
              </i>
              <i n="[Local Organisation].[CAB].[Outreach].&amp;[Bury St Edmunds CAB]&amp;[Not recorded/not applicable]&amp;[Suffolk West (member)]&amp;[Eastern]" c="Not recorded/not applicable">
                <p n="[Local Organisation].[CAB].[Bureau].&amp;[Bury St Edmunds CAB]&amp;[Suffolk West (member)]&amp;[Eastern]"/>
                <p n="[Local Organisation].[CAB].[Member].&amp;[Suffolk West (member)]&amp;[Eastern]"/>
                <p n="[Local Organisation].[CAB].[Government Region].&amp;[Eastern]"/>
              </i>
              <i n="[Local Organisation].[CAB].[Outreach].&amp;[Haverhill CAB]&amp;[Not recorded/not applicable]&amp;[Suffolk West (member)]&amp;[Eastern]" c="Not recorded/not applicable">
                <p n="[Local Organisation].[CAB].[Bureau].&amp;[Haverhill CAB]&amp;[Suffolk West (member)]&amp;[Eastern]"/>
                <p n="[Local Organisation].[CAB].[Member].&amp;[Suffolk West (member)]&amp;[Eastern]"/>
                <p n="[Local Organisation].[CAB].[Government Region].&amp;[Eastern]"/>
              </i>
              <i n="[Local Organisation].[CAB].[Outreach].&amp;[Mildenhall CAB]&amp;[Not recorded/not applicable]&amp;[Suffolk West (member)]&amp;[Eastern]" c="Not recorded/not applicable">
                <p n="[Local Organisation].[CAB].[Bureau].&amp;[Mildenhall CAB]&amp;[Suffolk West (member)]&amp;[Eastern]"/>
                <p n="[Local Organisation].[CAB].[Member].&amp;[Suffolk West (member)]&amp;[Eastern]"/>
                <p n="[Local Organisation].[CAB].[Government Region].&amp;[Eastern]"/>
              </i>
              <i n="[Local Organisation].[CAB].[Outreach].&amp;[Clacton-on-Sea (Tendring) CAB]&amp;[Mental Health Hub]&amp;[Tendring Citizens Advice Bureau (member)]&amp;[Eastern]" c="Mental Health Hub">
                <p n="[Local Organisation].[CAB].[Bureau].&amp;[Clacton-on-Sea (Tendring) CAB]&amp;[Tendring Citizens Advice Bureau (member)]&amp;[Eastern]"/>
                <p n="[Local Organisation].[CAB].[Member].&amp;[Tendring Citizens Advice Bureau (member)]&amp;[Eastern]"/>
                <p n="[Local Organisation].[CAB].[Government Region].&amp;[Eastern]"/>
              </i>
              <i n="[Local Organisation].[CAB].[Outreach].&amp;[Clacton-on-Sea (Tendring) CAB]&amp;[Not recorded/not applicable]&amp;[Tendring Citizens Advice Bureau (member)]&amp;[Eastern]" c="Not recorded/not applicable">
                <p n="[Local Organisation].[CAB].[Bureau].&amp;[Clacton-on-Sea (Tendring) CAB]&amp;[Tendring Citizens Advice Bureau (member)]&amp;[Eastern]"/>
                <p n="[Local Organisation].[CAB].[Member].&amp;[Tendring Citizens Advice Bureau (member)]&amp;[Eastern]"/>
                <p n="[Local Organisation].[CAB].[Government Region].&amp;[Eastern]"/>
              </i>
              <i n="[Local Organisation].[CAB].[Outreach].&amp;[Harwich (Tendring) Citizens Advice Bureau]&amp;[Not recorded/not applicable]&amp;[Tendring Citizens Advice Bureau (member)]&amp;[Eastern]" c="Not recorded/not applicable">
                <p n="[Local Organisation].[CAB].[Bureau].&amp;[Harwich (Tendring) Citizens Advice Bureau]&amp;[Tendring Citizens Advice Bureau (member)]&amp;[Eastern]"/>
                <p n="[Local Organisation].[CAB].[Member].&amp;[Tendring Citizens Advice Bureau (member)]&amp;[Eastern]"/>
                <p n="[Local Organisation].[CAB].[Government Region].&amp;[Eastern]"/>
              </i>
              <i n="[Local Organisation].[CAB].[Outreach].&amp;[Three Rivers CAB (Abbots Langley)]&amp;[Not recorded/not applicable]&amp;[Three Rivers (member)]&amp;[Eastern]" c="Not recorded/not applicable">
                <p n="[Local Organisation].[CAB].[Bureau].&amp;[Three Rivers CAB (Abbots Langley)]&amp;[Three Rivers (member)]&amp;[Eastern]"/>
                <p n="[Local Organisation].[CAB].[Member].&amp;[Three Rivers (member)]&amp;[Eastern]"/>
                <p n="[Local Organisation].[CAB].[Government Region].&amp;[Eastern]"/>
              </i>
              <i n="[Local Organisation].[CAB].[Outreach].&amp;[Three Rivers CAB (Oxhey)]&amp;[Not recorded/not applicable]&amp;[Three Rivers (member)]&amp;[Eastern]" c="Not recorded/not applicable">
                <p n="[Local Organisation].[CAB].[Bureau].&amp;[Three Rivers CAB (Oxhey)]&amp;[Three Rivers (member)]&amp;[Eastern]"/>
                <p n="[Local Organisation].[CAB].[Member].&amp;[Three Rivers (member)]&amp;[Eastern]"/>
                <p n="[Local Organisation].[CAB].[Government Region].&amp;[Eastern]"/>
              </i>
              <i n="[Local Organisation].[CAB].[Outreach].&amp;[Three Rivers CAB (Oxhey)]&amp;[Three Rivers Court Desk]&amp;[Three Rivers (member)]&amp;[Eastern]" c="Three Rivers Court Desk">
                <p n="[Local Organisation].[CAB].[Bureau].&amp;[Three Rivers CAB (Oxhey)]&amp;[Three Rivers (member)]&amp;[Eastern]"/>
                <p n="[Local Organisation].[CAB].[Member].&amp;[Three Rivers (member)]&amp;[Eastern]"/>
                <p n="[Local Organisation].[CAB].[Government Region].&amp;[Eastern]"/>
              </i>
              <i n="[Local Organisation].[CAB].[Outreach].&amp;[Three Rivers CAB (Rickmansworth)]&amp;[Foodbank]&amp;[Three Rivers (member)]&amp;[Eastern]" c="Foodbank">
                <p n="[Local Organisation].[CAB].[Bureau].&amp;[Three Rivers CAB (Rickmansworth)]&amp;[Three Rivers (member)]&amp;[Eastern]"/>
                <p n="[Local Organisation].[CAB].[Member].&amp;[Three Rivers (member)]&amp;[Eastern]"/>
                <p n="[Local Organisation].[CAB].[Government Region].&amp;[Eastern]"/>
              </i>
              <i n="[Local Organisation].[CAB].[Outreach].&amp;[Three Rivers CAB (Rickmansworth)]&amp;[Not recorded/not applicable]&amp;[Three Rivers (member)]&amp;[Eastern]" c="Not recorded/not applicable">
                <p n="[Local Organisation].[CAB].[Bureau].&amp;[Three Rivers CAB (Rickmansworth)]&amp;[Three Rivers (member)]&amp;[Eastern]"/>
                <p n="[Local Organisation].[CAB].[Member].&amp;[Three Rivers (member)]&amp;[Eastern]"/>
                <p n="[Local Organisation].[CAB].[Government Region].&amp;[Eastern]"/>
              </i>
              <i n="[Local Organisation].[CAB].[Outreach].&amp;[Three Rivers CAB (South Bucks Service)]&amp;[Not recorded/not applicable]&amp;[Three Rivers (member)]&amp;[Eastern]" c="Not recorded/not applicable">
                <p n="[Local Organisation].[CAB].[Bureau].&amp;[Three Rivers CAB (South Bucks Service)]&amp;[Three Rivers (member)]&amp;[Eastern]"/>
                <p n="[Local Organisation].[CAB].[Member].&amp;[Three Rivers (member)]&amp;[Eastern]"/>
                <p n="[Local Organisation].[CAB].[Government Region].&amp;[Eastern]"/>
              </i>
              <i n="[Local Organisation].[CAB].[Outreach].&amp;[Three Rivers CAB (South Bucks Service)]&amp;[Three Rivers South Bucks Burnham Children's Centre]&amp;[Three Rivers (member)]&amp;[Eastern]" c="Three Rivers South Bucks Burnham Children's Centre">
                <p n="[Local Organisation].[CAB].[Bureau].&amp;[Three Rivers CAB (South Bucks Service)]&amp;[Three Rivers (member)]&amp;[Eastern]"/>
                <p n="[Local Organisation].[CAB].[Member].&amp;[Three Rivers (member)]&amp;[Eastern]"/>
                <p n="[Local Organisation].[CAB].[Government Region].&amp;[Eastern]"/>
              </i>
              <i n="[Local Organisation].[CAB].[Outreach].&amp;[Thurrock CAB]&amp;[Not recorded/not applicable]&amp;[Thurrock (member)]&amp;[Eastern]" c="Not recorded/not applicable">
                <p n="[Local Organisation].[CAB].[Bureau].&amp;[Thurrock CAB]&amp;[Thurrock (member)]&amp;[Eastern]"/>
                <p n="[Local Organisation].[CAB].[Member].&amp;[Thurrock (member)]&amp;[Eastern]"/>
                <p n="[Local Organisation].[CAB].[Government Region].&amp;[Eastern]"/>
              </i>
              <i n="[Local Organisation].[CAB].[Outreach].&amp;[Thurrock CAB]&amp;[South Ockendon Children's Centre]&amp;[Thurrock (member)]&amp;[Eastern]" c="South Ockendon Children's Centre">
                <p n="[Local Organisation].[CAB].[Bureau].&amp;[Thurrock CAB]&amp;[Thurrock (member)]&amp;[Eastern]"/>
                <p n="[Local Organisation].[CAB].[Member].&amp;[Thurrock (member)]&amp;[Eastern]"/>
                <p n="[Local Organisation].[CAB].[Government Region].&amp;[Eastern]"/>
              </i>
              <i n="[Local Organisation].[CAB].[Outreach].&amp;[Thurrock CAB]&amp;[Thurrock Aveley Children's Centre]&amp;[Thurrock (member)]&amp;[Eastern]" c="Thurrock Aveley Children's Centre">
                <p n="[Local Organisation].[CAB].[Bureau].&amp;[Thurrock CAB]&amp;[Thurrock (member)]&amp;[Eastern]"/>
                <p n="[Local Organisation].[CAB].[Member].&amp;[Thurrock (member)]&amp;[Eastern]"/>
                <p n="[Local Organisation].[CAB].[Government Region].&amp;[Eastern]"/>
              </i>
              <i n="[Local Organisation].[CAB].[Outreach].&amp;[Thurrock CAB]&amp;[Thurrock Stanford le Hope Children's Centre]&amp;[Thurrock (member)]&amp;[Eastern]" c="Thurrock Stanford le Hope Children's Centre">
                <p n="[Local Organisation].[CAB].[Bureau].&amp;[Thurrock CAB]&amp;[Thurrock (member)]&amp;[Eastern]"/>
                <p n="[Local Organisation].[CAB].[Member].&amp;[Thurrock (member)]&amp;[Eastern]"/>
                <p n="[Local Organisation].[CAB].[Government Region].&amp;[Eastern]"/>
              </i>
              <i n="[Local Organisation].[CAB].[Outreach].&amp;[Thurrock CAB]&amp;[Thurrock Tilbury Children's Centre]&amp;[Thurrock (member)]&amp;[Eastern]" c="Thurrock Tilbury Children's Centre">
                <p n="[Local Organisation].[CAB].[Bureau].&amp;[Thurrock CAB]&amp;[Thurrock (member)]&amp;[Eastern]"/>
                <p n="[Local Organisation].[CAB].[Member].&amp;[Thurrock (member)]&amp;[Eastern]"/>
                <p n="[Local Organisation].[CAB].[Government Region].&amp;[Eastern]"/>
              </i>
              <i n="[Local Organisation].[CAB].[Outreach].&amp;[Uttlesford CAB]&amp;[Not recorded/not applicable]&amp;[Uttlesford (member)]&amp;[Eastern]" c="Not recorded/not applicable">
                <p n="[Local Organisation].[CAB].[Bureau].&amp;[Uttlesford CAB]&amp;[Uttlesford (member)]&amp;[Eastern]"/>
                <p n="[Local Organisation].[CAB].[Member].&amp;[Uttlesford (member)]&amp;[Eastern]"/>
                <p n="[Local Organisation].[CAB].[Government Region].&amp;[Eastern]"/>
              </i>
              <i n="[Local Organisation].[CAB].[Outreach].&amp;[Uttlesford CAB]&amp;[Uttlesford Great Dunmow Office]&amp;[Uttlesford (member)]&amp;[Eastern]" c="Uttlesford Great Dunmow Office">
                <p n="[Local Organisation].[CAB].[Bureau].&amp;[Uttlesford CAB]&amp;[Uttlesford (member)]&amp;[Eastern]"/>
                <p n="[Local Organisation].[CAB].[Member].&amp;[Uttlesford (member)]&amp;[Eastern]"/>
                <p n="[Local Organisation].[CAB].[Government Region].&amp;[Eastern]"/>
              </i>
              <i n="[Local Organisation].[CAB].[Outreach].&amp;[Uttlesford CAB]&amp;[Uttlesford Stansted Room]&amp;[Uttlesford (member)]&amp;[Eastern]" c="Uttlesford Stansted Room">
                <p n="[Local Organisation].[CAB].[Bureau].&amp;[Uttlesford CAB]&amp;[Uttlesford (member)]&amp;[Eastern]"/>
                <p n="[Local Organisation].[CAB].[Member].&amp;[Uttlesford (member)]&amp;[Eastern]"/>
                <p n="[Local Organisation].[CAB].[Government Region].&amp;[Eastern]"/>
              </i>
              <i n="[Local Organisation].[CAB].[Outreach].&amp;[Uttlesford CAB]&amp;[Uttlesford Thaxted Room]&amp;[Uttlesford (member)]&amp;[Eastern]" c="Uttlesford Thaxted Room">
                <p n="[Local Organisation].[CAB].[Bureau].&amp;[Uttlesford CAB]&amp;[Uttlesford (member)]&amp;[Eastern]"/>
                <p n="[Local Organisation].[CAB].[Member].&amp;[Uttlesford (member)]&amp;[Eastern]"/>
                <p n="[Local Organisation].[CAB].[Government Region].&amp;[Eastern]"/>
              </i>
              <i n="[Local Organisation].[CAB].[Outreach].&amp;[Uttlesford CAB]&amp;[X Uttlesford Stansted Office]&amp;[Uttlesford (member)]&amp;[Eastern]" c="X Uttlesford Stansted Office">
                <p n="[Local Organisation].[CAB].[Bureau].&amp;[Uttlesford CAB]&amp;[Uttlesford (member)]&amp;[Eastern]"/>
                <p n="[Local Organisation].[CAB].[Member].&amp;[Uttlesford (member)]&amp;[Eastern]"/>
                <p n="[Local Organisation].[CAB].[Government Region].&amp;[Eastern]"/>
              </i>
              <i n="[Local Organisation].[CAB].[Outreach].&amp;[Uttlesford CAB]&amp;[X Uttlesford Thaxted Office]&amp;[Uttlesford (member)]&amp;[Eastern]" c="X Uttlesford Thaxted Office">
                <p n="[Local Organisation].[CAB].[Bureau].&amp;[Uttlesford CAB]&amp;[Uttlesford (member)]&amp;[Eastern]"/>
                <p n="[Local Organisation].[CAB].[Member].&amp;[Uttlesford (member)]&amp;[Eastern]"/>
                <p n="[Local Organisation].[CAB].[Government Region].&amp;[Eastern]"/>
              </i>
              <i n="[Local Organisation].[CAB].[Outreach].&amp;[Watford Citizens Advice Bureau]&amp;[Not recorded/not applicable]&amp;[Watford (member)]&amp;[Eastern]" c="Not recorded/not applicable">
                <p n="[Local Organisation].[CAB].[Bureau].&amp;[Watford Citizens Advice Bureau]&amp;[Watford (member)]&amp;[Eastern]"/>
                <p n="[Local Organisation].[CAB].[Member].&amp;[Watford (member)]&amp;[Eastern]"/>
                <p n="[Local Organisation].[CAB].[Government Region].&amp;[Eastern]"/>
              </i>
              <i n="[Local Organisation].[CAB].[Outreach].&amp;[Watford Citizens Advice Bureau]&amp;[Watford ASTF Outreach]&amp;[Watford (member)]&amp;[Eastern]" c="Watford ASTF Outreach">
                <p n="[Local Organisation].[CAB].[Bureau].&amp;[Watford Citizens Advice Bureau]&amp;[Watford (member)]&amp;[Eastern]"/>
                <p n="[Local Organisation].[CAB].[Member].&amp;[Watford (member)]&amp;[Eastern]"/>
                <p n="[Local Organisation].[CAB].[Government Region].&amp;[Eastern]"/>
              </i>
              <i n="[Local Organisation].[CAB].[Outreach].&amp;[Watford Citizens Advice Bureau]&amp;[Watford Foodbank]&amp;[Watford (member)]&amp;[Eastern]" c="Watford Foodbank">
                <p n="[Local Organisation].[CAB].[Bureau].&amp;[Watford Citizens Advice Bureau]&amp;[Watford (member)]&amp;[Eastern]"/>
                <p n="[Local Organisation].[CAB].[Member].&amp;[Watford (member)]&amp;[Eastern]"/>
                <p n="[Local Organisation].[CAB].[Government Region].&amp;[Eastern]"/>
              </i>
              <i n="[Local Organisation].[CAB].[Outreach].&amp;[Watford Citizens Advice Bureau]&amp;[Watford HWAS Food Bank]&amp;[Watford (member)]&amp;[Eastern]" c="Watford HWAS Food Bank">
                <p n="[Local Organisation].[CAB].[Bureau].&amp;[Watford Citizens Advice Bureau]&amp;[Watford (member)]&amp;[Eastern]"/>
                <p n="[Local Organisation].[CAB].[Member].&amp;[Watford (member)]&amp;[Eastern]"/>
                <p n="[Local Organisation].[CAB].[Government Region].&amp;[Eastern]"/>
              </i>
              <i n="[Local Organisation].[CAB].[Outreach].&amp;[Welwyn Hatfield Citizens Advice Bureau]&amp;[Not recorded/not applicable]&amp;[Welwyn Hatfield (member)]&amp;[Eastern]" c="Not recorded/not applicable">
                <p n="[Local Organisation].[CAB].[Bureau].&amp;[Welwyn Hatfield Citizens Advice Bureau]&amp;[Welwyn Hatfield (member)]&amp;[Eastern]"/>
                <p n="[Local Organisation].[CAB].[Member].&amp;[Welwyn Hatfield (member)]&amp;[Eastern]"/>
                <p n="[Local Organisation].[CAB].[Government Region].&amp;[Eastern]"/>
              </i>
              <i n="[Local Organisation].[CAB].[Outreach].&amp;[Welwyn Hatfield Citizens Advice Bureau]&amp;[Welwyn Hatfield - Welwyn Garden City Christchurch Outreach]&amp;[Welwyn Hatfield (member)]&amp;[Eastern]" c="Welwyn Hatfield - Welwyn Garden City Christchurch Outreach">
                <p n="[Local Organisation].[CAB].[Bureau].&amp;[Welwyn Hatfield Citizens Advice Bureau]&amp;[Welwyn Hatfield (member)]&amp;[Eastern]"/>
                <p n="[Local Organisation].[CAB].[Member].&amp;[Welwyn Hatfield (member)]&amp;[Eastern]"/>
                <p n="[Local Organisation].[CAB].[Government Region].&amp;[Eastern]"/>
              </i>
              <i n="[Local Organisation].[CAB].[Outreach].&amp;[Great Yarmouth Citizens Advice Bureau]&amp;[Not recorded/not applicable]&amp;[Yare Valley &amp; District (member)]&amp;[Eastern]" c="Not recorded/not applicable">
                <p n="[Local Organisation].[CAB].[Bureau].&amp;[Great Yarmouth Citizens Advice Bureau]&amp;[Yare Valley &amp; District (member)]&amp;[Eastern]"/>
                <p n="[Local Organisation].[CAB].[Member].&amp;[Yare Valley &amp; District (member)]&amp;[Eastern]"/>
                <p n="[Local Organisation].[CAB].[Government Region].&amp;[Eastern]"/>
              </i>
              <i n="[Local Organisation].[CAB].[Outreach].&amp;[Wymondham Citizens Advice Bureau]&amp;[Not recorded/not applicable]&amp;[Yare Valley &amp; District (member)]&amp;[Eastern]" c="Not recorded/not applicable">
                <p n="[Local Organisation].[CAB].[Bureau].&amp;[Wymondham Citizens Advice Bureau]&amp;[Yare Valley &amp; District (member)]&amp;[Eastern]"/>
                <p n="[Local Organisation].[CAB].[Member].&amp;[Yare Valley &amp; District (member)]&amp;[Eastern]"/>
                <p n="[Local Organisation].[CAB].[Government Region].&amp;[Eastern]"/>
              </i>
              <i n="[Local Organisation].[CAB].[Outreach].&amp;[Barking CAB]&amp;[Abbey Children Centre]&amp;[Barking &amp; Dagenham (member)]&amp;[London]" c="Abbey Children Centre">
                <p n="[Local Organisation].[CAB].[Bureau].&amp;[Barking CAB]&amp;[Barking &amp; Dagenham (member)]&amp;[London]"/>
                <p n="[Local Organisation].[CAB].[Member].&amp;[Barking &amp; Dagenham (member)]&amp;[London]"/>
                <p n="[Local Organisation].[CAB].[Government Region].&amp;[London]"/>
              </i>
              <i n="[Local Organisation].[CAB].[Outreach].&amp;[Barking CAB]&amp;[Barking &amp; Dagenham - Fords]&amp;[Barking &amp; Dagenham (member)]&amp;[London]" c="Barking &amp; Dagenham - Fords">
                <p n="[Local Organisation].[CAB].[Bureau].&amp;[Barking CAB]&amp;[Barking &amp; Dagenham (member)]&amp;[London]"/>
                <p n="[Local Organisation].[CAB].[Member].&amp;[Barking &amp; Dagenham (member)]&amp;[London]"/>
                <p n="[Local Organisation].[CAB].[Government Region].&amp;[London]"/>
              </i>
              <i n="[Local Organisation].[CAB].[Outreach].&amp;[Barking CAB]&amp;[Barking &amp; Dagenham - Hate Crime Project]&amp;[Barking &amp; Dagenham (member)]&amp;[London]" c="Barking &amp; Dagenham - Hate Crime Project">
                <p n="[Local Organisation].[CAB].[Bureau].&amp;[Barking CAB]&amp;[Barking &amp; Dagenham (member)]&amp;[London]"/>
                <p n="[Local Organisation].[CAB].[Member].&amp;[Barking &amp; Dagenham (member)]&amp;[London]"/>
                <p n="[Local Organisation].[CAB].[Government Region].&amp;[London]"/>
              </i>
              <i n="[Local Organisation].[CAB].[Outreach].&amp;[Barking CAB]&amp;[Barking &amp; Dagenham - Mental Health Project]&amp;[Barking &amp; Dagenham (member)]&amp;[London]" c="Barking &amp; Dagenham - Mental Health Project">
                <p n="[Local Organisation].[CAB].[Bureau].&amp;[Barking CAB]&amp;[Barking &amp; Dagenham (member)]&amp;[London]"/>
                <p n="[Local Organisation].[CAB].[Member].&amp;[Barking &amp; Dagenham (member)]&amp;[London]"/>
                <p n="[Local Organisation].[CAB].[Government Region].&amp;[London]"/>
              </i>
              <i n="[Local Organisation].[CAB].[Outreach].&amp;[Barking CAB]&amp;[Barking &amp; Dagenham Advice Plus]&amp;[Barking &amp; Dagenham (member)]&amp;[London]" c="Barking &amp; Dagenham Advice Plus">
                <p n="[Local Organisation].[CAB].[Bureau].&amp;[Barking CAB]&amp;[Barking &amp; Dagenham (member)]&amp;[London]"/>
                <p n="[Local Organisation].[CAB].[Member].&amp;[Barking &amp; Dagenham (member)]&amp;[London]"/>
                <p n="[Local Organisation].[CAB].[Government Region].&amp;[London]"/>
              </i>
              <i n="[Local Organisation].[CAB].[Outreach].&amp;[Barking CAB]&amp;[Barking &amp; Dagenham Children Centre Gascoigne]&amp;[Barking &amp; Dagenham (member)]&amp;[London]" c="Barking &amp; Dagenham Children Centre Gascoigne">
                <p n="[Local Organisation].[CAB].[Bureau].&amp;[Barking CAB]&amp;[Barking &amp; Dagenham (member)]&amp;[London]"/>
                <p n="[Local Organisation].[CAB].[Member].&amp;[Barking &amp; Dagenham (member)]&amp;[London]"/>
                <p n="[Local Organisation].[CAB].[Government Region].&amp;[London]"/>
              </i>
              <i n="[Local Organisation].[CAB].[Outreach].&amp;[Barking CAB]&amp;[Barking &amp; Dagenham Children Centre Sue Bramley]&amp;[Barking &amp; Dagenham (member)]&amp;[London]" c="Barking &amp; Dagenham Children Centre Sue Bramley">
                <p n="[Local Organisation].[CAB].[Bureau].&amp;[Barking CAB]&amp;[Barking &amp; Dagenham (member)]&amp;[London]"/>
                <p n="[Local Organisation].[CAB].[Member].&amp;[Barking &amp; Dagenham (member)]&amp;[London]"/>
                <p n="[Local Organisation].[CAB].[Government Region].&amp;[London]"/>
              </i>
              <i n="[Local Organisation].[CAB].[Outreach].&amp;[Barking CAB]&amp;[Barking &amp; Dagenham Children Centre Wellgate]&amp;[Barking &amp; Dagenham (member)]&amp;[London]" c="Barking &amp; Dagenham Children Centre Wellgate">
                <p n="[Local Organisation].[CAB].[Bureau].&amp;[Barking CAB]&amp;[Barking &amp; Dagenham (member)]&amp;[London]"/>
                <p n="[Local Organisation].[CAB].[Member].&amp;[Barking &amp; Dagenham (member)]&amp;[London]"/>
                <p n="[Local Organisation].[CAB].[Government Region].&amp;[London]"/>
              </i>
              <i n="[Local Organisation].[CAB].[Outreach].&amp;[Barking CAB]&amp;[Barking &amp; Dagenham Children Centre William Bellamy]&amp;[Barking &amp; Dagenham (member)]&amp;[London]" c="Barking &amp; Dagenham Children Centre William Bellamy">
                <p n="[Local Organisation].[CAB].[Bureau].&amp;[Barking CAB]&amp;[Barking &amp; Dagenham (member)]&amp;[London]"/>
                <p n="[Local Organisation].[CAB].[Member].&amp;[Barking &amp; Dagenham (member)]&amp;[London]"/>
                <p n="[Local Organisation].[CAB].[Government Region].&amp;[London]"/>
              </i>
              <i n="[Local Organisation].[CAB].[Outreach].&amp;[Barking CAB]&amp;[Becontree Children Centre]&amp;[Barking &amp; Dagenham (member)]&amp;[London]" c="Becontree Children Centre">
                <p n="[Local Organisation].[CAB].[Bureau].&amp;[Barking CAB]&amp;[Barking &amp; Dagenham (member)]&amp;[London]"/>
                <p n="[Local Organisation].[CAB].[Member].&amp;[Barking &amp; Dagenham (member)]&amp;[London]"/>
                <p n="[Local Organisation].[CAB].[Government Region].&amp;[London]"/>
              </i>
              <i n="[Local Organisation].[CAB].[Outreach].&amp;[Barking CAB]&amp;[Eastbury Children Centre]&amp;[Barking &amp; Dagenham (member)]&amp;[London]" c="Eastbury Children Centre">
                <p n="[Local Organisation].[CAB].[Bureau].&amp;[Barking CAB]&amp;[Barking &amp; Dagenham (member)]&amp;[London]"/>
                <p n="[Local Organisation].[CAB].[Member].&amp;[Barking &amp; Dagenham (member)]&amp;[London]"/>
                <p n="[Local Organisation].[CAB].[Government Region].&amp;[London]"/>
              </i>
              <i n="[Local Organisation].[CAB].[Outreach].&amp;[Barking CAB]&amp;[Gascoigne Children Centre]&amp;[Barking &amp; Dagenham (member)]&amp;[London]" c="Gascoigne Children Centre">
                <p n="[Local Organisation].[CAB].[Bureau].&amp;[Barking CAB]&amp;[Barking &amp; Dagenham (member)]&amp;[London]"/>
                <p n="[Local Organisation].[CAB].[Member].&amp;[Barking &amp; Dagenham (member)]&amp;[London]"/>
                <p n="[Local Organisation].[CAB].[Government Region].&amp;[London]"/>
              </i>
              <i n="[Local Organisation].[CAB].[Outreach].&amp;[Barking CAB]&amp;[Heathway Centre]&amp;[Barking &amp; Dagenham (member)]&amp;[London]" c="Heathway Centre">
                <p n="[Local Organisation].[CAB].[Bureau].&amp;[Barking CAB]&amp;[Barking &amp; Dagenham (member)]&amp;[London]"/>
                <p n="[Local Organisation].[CAB].[Member].&amp;[Barking &amp; Dagenham (member)]&amp;[London]"/>
                <p n="[Local Organisation].[CAB].[Government Region].&amp;[London]"/>
              </i>
              <i n="[Local Organisation].[CAB].[Outreach].&amp;[Barking CAB]&amp;[Leys Children Centre]&amp;[Barking &amp; Dagenham (member)]&amp;[London]" c="Leys Children Centre">
                <p n="[Local Organisation].[CAB].[Bureau].&amp;[Barking CAB]&amp;[Barking &amp; Dagenham (member)]&amp;[London]"/>
                <p n="[Local Organisation].[CAB].[Member].&amp;[Barking &amp; Dagenham (member)]&amp;[London]"/>
                <p n="[Local Organisation].[CAB].[Government Region].&amp;[London]"/>
              </i>
              <i n="[Local Organisation].[CAB].[Outreach].&amp;[Barking CAB]&amp;[Leys Childrens Centre]&amp;[Barking &amp; Dagenham (member)]&amp;[London]" c="Leys Childrens Centre">
                <p n="[Local Organisation].[CAB].[Bureau].&amp;[Barking CAB]&amp;[Barking &amp; Dagenham (member)]&amp;[London]"/>
                <p n="[Local Organisation].[CAB].[Member].&amp;[Barking &amp; Dagenham (member)]&amp;[London]"/>
                <p n="[Local Organisation].[CAB].[Government Region].&amp;[London]"/>
              </i>
              <i n="[Local Organisation].[CAB].[Outreach].&amp;[Barking CAB]&amp;[Not recorded/not applicable]&amp;[Barking &amp; Dagenham (member)]&amp;[London]" c="Not recorded/not applicable">
                <p n="[Local Organisation].[CAB].[Bureau].&amp;[Barking CAB]&amp;[Barking &amp; Dagenham (member)]&amp;[London]"/>
                <p n="[Local Organisation].[CAB].[Member].&amp;[Barking &amp; Dagenham (member)]&amp;[London]"/>
                <p n="[Local Organisation].[CAB].[Government Region].&amp;[London]"/>
              </i>
              <i n="[Local Organisation].[CAB].[Outreach].&amp;[Barking CAB]&amp;[Sidney Russell Chidlren Centre]&amp;[Barking &amp; Dagenham (member)]&amp;[London]" c="Sidney Russell Chidlren Centre">
                <p n="[Local Organisation].[CAB].[Bureau].&amp;[Barking CAB]&amp;[Barking &amp; Dagenham (member)]&amp;[London]"/>
                <p n="[Local Organisation].[CAB].[Member].&amp;[Barking &amp; Dagenham (member)]&amp;[London]"/>
                <p n="[Local Organisation].[CAB].[Government Region].&amp;[London]"/>
              </i>
              <i n="[Local Organisation].[CAB].[Outreach].&amp;[Dagenham CAB]&amp;[Not recorded/not applicable]&amp;[Barking &amp; Dagenham (member)]&amp;[London]" c="Not recorded/not applicable">
                <p n="[Local Organisation].[CAB].[Bureau].&amp;[Dagenham CAB]&amp;[Barking &amp; Dagenham (member)]&amp;[London]"/>
                <p n="[Local Organisation].[CAB].[Member].&amp;[Barking &amp; Dagenham (member)]&amp;[London]"/>
                <p n="[Local Organisation].[CAB].[Government Region].&amp;[London]"/>
              </i>
              <i n="[Local Organisation].[CAB].[Outreach].&amp;[Hendon CAB]&amp;[Hendon CAB MAP Harrow]&amp;[Barnet (member)]&amp;[London]" c="Hendon CAB MAP Harrow">
                <p n="[Local Organisation].[CAB].[Bureau].&amp;[Hendon CAB]&amp;[Barnet (member)]&amp;[London]"/>
                <p n="[Local Organisation].[CAB].[Member].&amp;[Barnet (member)]&amp;[London]"/>
                <p n="[Local Organisation].[CAB].[Government Region].&amp;[London]"/>
              </i>
              <i n="[Local Organisation].[CAB].[Outreach].&amp;[Hendon CAB]&amp;[Hendon CAB Work Programme Wembley Park]&amp;[Barnet (member)]&amp;[London]" c="Hendon CAB Work Programme Wembley Park">
                <p n="[Local Organisation].[CAB].[Bureau].&amp;[Hendon CAB]&amp;[Barnet (member)]&amp;[London]"/>
                <p n="[Local Organisation].[CAB].[Member].&amp;[Barnet (member)]&amp;[London]"/>
                <p n="[Local Organisation].[CAB].[Government Region].&amp;[London]"/>
              </i>
              <i n="[Local Organisation].[CAB].[Outreach].&amp;[Hendon CAB]&amp;[Hendon CAB Work Programme Wood Green]&amp;[Barnet (member)]&amp;[London]" c="Hendon CAB Work Programme Wood Green">
                <p n="[Local Organisation].[CAB].[Bureau].&amp;[Hendon CAB]&amp;[Barnet (member)]&amp;[London]"/>
                <p n="[Local Organisation].[CAB].[Member].&amp;[Barnet (member)]&amp;[London]"/>
                <p n="[Local Organisation].[CAB].[Government Region].&amp;[London]"/>
              </i>
              <i n="[Local Organisation].[CAB].[Outreach].&amp;[Hendon CAB]&amp;[Not recorded/not applicable]&amp;[Barnet (member)]&amp;[London]" c="Not recorded/not applicable">
                <p n="[Local Organisation].[CAB].[Bureau].&amp;[Hendon CAB]&amp;[Barnet (member)]&amp;[London]"/>
                <p n="[Local Organisation].[CAB].[Member].&amp;[Barnet (member)]&amp;[London]"/>
                <p n="[Local Organisation].[CAB].[Government Region].&amp;[London]"/>
              </i>
              <i n="[Local Organisation].[CAB].[Outreach].&amp;[New Barnet CAB]&amp;[New Barnet CAB MacMillan Barnet General Hospital]&amp;[Barnet (member)]&amp;[London]" c="New Barnet CAB MacMillan Barnet General Hospital">
                <p n="[Local Organisation].[CAB].[Bureau].&amp;[New Barnet CAB]&amp;[Barnet (member)]&amp;[London]"/>
                <p n="[Local Organisation].[CAB].[Member].&amp;[Barnet (member)]&amp;[London]"/>
                <p n="[Local Organisation].[CAB].[Government Region].&amp;[London]"/>
              </i>
              <i n="[Local Organisation].[CAB].[Outreach].&amp;[New Barnet CAB]&amp;[New Barnet CAB MacMillan Chase Farm Hospital]&amp;[Barnet (member)]&amp;[London]" c="New Barnet CAB MacMillan Chase Farm Hospital">
                <p n="[Local Organisation].[CAB].[Bureau].&amp;[New Barnet CAB]&amp;[Barnet (member)]&amp;[London]"/>
                <p n="[Local Organisation].[CAB].[Member].&amp;[Barnet (member)]&amp;[London]"/>
                <p n="[Local Organisation].[CAB].[Government Region].&amp;[London]"/>
              </i>
              <i n="[Local Organisation].[CAB].[Outreach].&amp;[New Barnet CAB]&amp;[New Barnet CAB MacMillan Cherry Lodge]&amp;[Barnet (member)]&amp;[London]" c="New Barnet CAB MacMillan Cherry Lodge">
                <p n="[Local Organisation].[CAB].[Bureau].&amp;[New Barnet CAB]&amp;[Barnet (member)]&amp;[London]"/>
                <p n="[Local Organisation].[CAB].[Member].&amp;[Barnet (member)]&amp;[London]"/>
                <p n="[Local Organisation].[CAB].[Government Region].&amp;[London]"/>
              </i>
              <i n="[Local Organisation].[CAB].[Outreach].&amp;[New Barnet CAB]&amp;[New Barnet CAB MacMillan North London Hospice Enfield]&amp;[Barnet (member)]&amp;[London]" c="New Barnet CAB MacMillan North London Hospice Enfield">
                <p n="[Local Organisation].[CAB].[Bureau].&amp;[New Barnet CAB]&amp;[Barnet (member)]&amp;[London]"/>
                <p n="[Local Organisation].[CAB].[Member].&amp;[Barnet (member)]&amp;[London]"/>
                <p n="[Local Organisation].[CAB].[Government Region].&amp;[London]"/>
              </i>
              <i n="[Local Organisation].[CAB].[Outreach].&amp;[New Barnet CAB]&amp;[New Barnet CAB MacMillan North London Hospice Finchley]&amp;[Barnet (member)]&amp;[London]" c="New Barnet CAB MacMillan North London Hospice Finchley">
                <p n="[Local Organisation].[CAB].[Bureau].&amp;[New Barnet CAB]&amp;[Barnet (member)]&amp;[London]"/>
                <p n="[Local Organisation].[CAB].[Member].&amp;[Barnet (member)]&amp;[London]"/>
                <p n="[Local Organisation].[CAB].[Government Region].&amp;[London]"/>
              </i>
              <i n="[Local Organisation].[CAB].[Outreach].&amp;[New Barnet CAB]&amp;[New Barnet CAB MacMillan North Middlesex Hospital]&amp;[Barnet (member)]&amp;[London]" c="New Barnet CAB MacMillan North Middlesex Hospital">
                <p n="[Local Organisation].[CAB].[Bureau].&amp;[New Barnet CAB]&amp;[Barnet (member)]&amp;[London]"/>
                <p n="[Local Organisation].[CAB].[Member].&amp;[Barnet (member)]&amp;[London]"/>
                <p n="[Local Organisation].[CAB].[Government Region].&amp;[London]"/>
              </i>
              <i n="[Local Organisation].[CAB].[Outreach].&amp;[New Barnet CAB]&amp;[Not recorded/not applicable]&amp;[Barnet (member)]&amp;[London]" c="Not recorded/not applicable">
                <p n="[Local Organisation].[CAB].[Bureau].&amp;[New Barnet CAB]&amp;[Barnet (member)]&amp;[London]"/>
                <p n="[Local Organisation].[CAB].[Member].&amp;[Barnet (member)]&amp;[London]"/>
                <p n="[Local Organisation].[CAB].[Government Region].&amp;[London]"/>
              </i>
              <i n="[Local Organisation].[CAB].[Outreach].&amp;[Bexleyheath CAB]&amp;[Bexleyheath CAB - Sidcup Library]&amp;[Bexley Borough (member)]&amp;[London]" c="Bexleyheath CAB - Sidcup Library">
                <p n="[Local Organisation].[CAB].[Bureau].&amp;[Bexleyheath CAB]&amp;[Bexley Borough (member)]&amp;[London]"/>
                <p n="[Local Organisation].[CAB].[Member].&amp;[Bexley Borough (member)]&amp;[London]"/>
                <p n="[Local Organisation].[CAB].[Government Region].&amp;[London]"/>
              </i>
              <i n="[Local Organisation].[CAB].[Outreach].&amp;[Bexleyheath CAB]&amp;[Not recorded/not applicable]&amp;[Bexley Borough (member)]&amp;[London]" c="Not recorded/not applicable">
                <p n="[Local Organisation].[CAB].[Bureau].&amp;[Bexleyheath CAB]&amp;[Bexley Borough (member)]&amp;[London]"/>
                <p n="[Local Organisation].[CAB].[Member].&amp;[Bexley Borough (member)]&amp;[London]"/>
                <p n="[Local Organisation].[CAB].[Government Region].&amp;[London]"/>
              </i>
              <i n="[Local Organisation].[CAB].[Outreach].&amp;[Erith CAB]&amp;[Bexley Council Outreach]&amp;[Bexley Borough (member)]&amp;[London]" c="Bexley Council Outreach">
                <p n="[Local Organisation].[CAB].[Bureau].&amp;[Erith CAB]&amp;[Bexley Borough (member)]&amp;[London]"/>
                <p n="[Local Organisation].[CAB].[Member].&amp;[Bexley Borough (member)]&amp;[London]"/>
                <p n="[Local Organisation].[CAB].[Government Region].&amp;[London]"/>
              </i>
              <i n="[Local Organisation].[CAB].[Outreach].&amp;[Erith CAB]&amp;[Erith Lakeside Thamesmead]&amp;[Bexley Borough (member)]&amp;[London]" c="Erith Lakeside Thamesmead">
                <p n="[Local Organisation].[CAB].[Bureau].&amp;[Erith CAB]&amp;[Bexley Borough (member)]&amp;[London]"/>
                <p n="[Local Organisation].[CAB].[Member].&amp;[Bexley Borough (member)]&amp;[London]"/>
                <p n="[Local Organisation].[CAB].[Government Region].&amp;[London]"/>
              </i>
              <i n="[Local Organisation].[CAB].[Outreach].&amp;[Erith CAB]&amp;[Not recorded/not applicable]&amp;[Bexley Borough (member)]&amp;[London]" c="Not recorded/not applicable">
                <p n="[Local Organisation].[CAB].[Bureau].&amp;[Erith CAB]&amp;[Bexley Borough (member)]&amp;[London]"/>
                <p n="[Local Organisation].[CAB].[Member].&amp;[Bexley Borough (member)]&amp;[London]"/>
                <p n="[Local Organisation].[CAB].[Government Region].&amp;[London]"/>
              </i>
              <i n="[Local Organisation].[CAB].[Outreach].&amp;[Brent Citizens Advice Bureau]&amp;[Brent - Harrow Capitalise]&amp;[Brent (member)]&amp;[London]" c="Brent - Harrow Capitalise">
                <p n="[Local Organisation].[CAB].[Bureau].&amp;[Brent Citizens Advice Bureau]&amp;[Brent (member)]&amp;[London]"/>
                <p n="[Local Organisation].[CAB].[Member].&amp;[Brent (member)]&amp;[London]"/>
                <p n="[Local Organisation].[CAB].[Government Region].&amp;[London]"/>
              </i>
              <i n="[Local Organisation].[CAB].[Outreach].&amp;[Brent Citizens Advice Bureau]&amp;[Brent Advice Supervisors]&amp;[Brent (member)]&amp;[London]" c="Brent Advice Supervisors">
                <p n="[Local Organisation].[CAB].[Bureau].&amp;[Brent Citizens Advice Bureau]&amp;[Brent (member)]&amp;[London]"/>
                <p n="[Local Organisation].[CAB].[Member].&amp;[Brent (member)]&amp;[London]"/>
                <p n="[Local Organisation].[CAB].[Government Region].&amp;[London]"/>
              </i>
              <i n="[Local Organisation].[CAB].[Outreach].&amp;[Brent Citizens Advice Bureau]&amp;[Brent Alperton CC]&amp;[Brent (member)]&amp;[London]" c="Brent Alperton CC">
                <p n="[Local Organisation].[CAB].[Bureau].&amp;[Brent Citizens Advice Bureau]&amp;[Brent (member)]&amp;[London]"/>
                <p n="[Local Organisation].[CAB].[Member].&amp;[Brent (member)]&amp;[London]"/>
                <p n="[Local Organisation].[CAB].[Government Region].&amp;[London]"/>
              </i>
              <i n="[Local Organisation].[CAB].[Outreach].&amp;[Brent Citizens Advice Bureau]&amp;[Brent BHP]&amp;[Brent (member)]&amp;[London]" c="Brent BHP">
                <p n="[Local Organisation].[CAB].[Bureau].&amp;[Brent Citizens Advice Bureau]&amp;[Brent (member)]&amp;[London]"/>
                <p n="[Local Organisation].[CAB].[Member].&amp;[Brent (member)]&amp;[London]"/>
                <p n="[Local Organisation].[CAB].[Government Region].&amp;[London]"/>
              </i>
              <i n="[Local Organisation].[CAB].[Outreach].&amp;[Brent Citizens Advice Bureau]&amp;[Brent Bureau Appointments]&amp;[Brent (member)]&amp;[London]" c="Brent Bureau Appointments">
                <p n="[Local Organisation].[CAB].[Bureau].&amp;[Brent Citizens Advice Bureau]&amp;[Brent (member)]&amp;[London]"/>
                <p n="[Local Organisation].[CAB].[Member].&amp;[Brent (member)]&amp;[London]"/>
                <p n="[Local Organisation].[CAB].[Government Region].&amp;[London]"/>
              </i>
              <i n="[Local Organisation].[CAB].[Outreach].&amp;[Brent Citizens Advice Bureau]&amp;[Brent Capitalise]&amp;[Brent (member)]&amp;[London]" c="Brent Capitalise">
                <p n="[Local Organisation].[CAB].[Bureau].&amp;[Brent Citizens Advice Bureau]&amp;[Brent (member)]&amp;[London]"/>
                <p n="[Local Organisation].[CAB].[Member].&amp;[Brent (member)]&amp;[London]"/>
                <p n="[Local Organisation].[CAB].[Government Region].&amp;[London]"/>
              </i>
              <i n="[Local Organisation].[CAB].[Outreach].&amp;[Brent Citizens Advice Bureau]&amp;[Brent Catalyst_Brent]&amp;[Brent (member)]&amp;[London]" c="Brent Catalyst_Brent">
                <p n="[Local Organisation].[CAB].[Bureau].&amp;[Brent Citizens Advice Bureau]&amp;[Brent (member)]&amp;[London]"/>
                <p n="[Local Organisation].[CAB].[Member].&amp;[Brent (member)]&amp;[London]"/>
                <p n="[Local Organisation].[CAB].[Government Region].&amp;[London]"/>
              </i>
              <i n="[Local Organisation].[CAB].[Outreach].&amp;[Brent Citizens Advice Bureau]&amp;[Brent Catalyst_Ealing]&amp;[Brent (member)]&amp;[London]" c="Brent Catalyst_Ealing">
                <p n="[Local Organisation].[CAB].[Bureau].&amp;[Brent Citizens Advice Bureau]&amp;[Brent (member)]&amp;[London]"/>
                <p n="[Local Organisation].[CAB].[Member].&amp;[Brent (member)]&amp;[London]"/>
                <p n="[Local Organisation].[CAB].[Government Region].&amp;[London]"/>
              </i>
              <i n="[Local Organisation].[CAB].[Outreach].&amp;[Brent Citizens Advice Bureau]&amp;[Brent Church Lane CC]&amp;[Brent (member)]&amp;[London]" c="Brent Church Lane CC">
                <p n="[Local Organisation].[CAB].[Bureau].&amp;[Brent Citizens Advice Bureau]&amp;[Brent (member)]&amp;[London]"/>
                <p n="[Local Organisation].[CAB].[Member].&amp;[Brent (member)]&amp;[London]"/>
                <p n="[Local Organisation].[CAB].[Government Region].&amp;[London]"/>
              </i>
              <i n="[Local Organisation].[CAB].[Outreach].&amp;[Brent Citizens Advice Bureau]&amp;[Brent Civic Centre]&amp;[Brent (member)]&amp;[London]" c="Brent Civic Centre">
                <p n="[Local Organisation].[CAB].[Bureau].&amp;[Brent Citizens Advice Bureau]&amp;[Brent (member)]&amp;[London]"/>
                <p n="[Local Organisation].[CAB].[Member].&amp;[Brent (member)]&amp;[London]"/>
                <p n="[Local Organisation].[CAB].[Government Region].&amp;[London]"/>
              </i>
              <i n="[Local Organisation].[CAB].[Outreach].&amp;[Brent Citizens Advice Bureau]&amp;[Brent Curzon CC]&amp;[Brent (member)]&amp;[London]" c="Brent Curzon CC">
                <p n="[Local Organisation].[CAB].[Bureau].&amp;[Brent Citizens Advice Bureau]&amp;[Brent (member)]&amp;[London]"/>
                <p n="[Local Organisation].[CAB].[Member].&amp;[Brent (member)]&amp;[London]"/>
                <p n="[Local Organisation].[CAB].[Government Region].&amp;[London]"/>
              </i>
              <i n="[Local Organisation].[CAB].[Outreach].&amp;[Brent Citizens Advice Bureau]&amp;[Brent Digital Champion]&amp;[Brent (member)]&amp;[London]" c="Brent Digital Champion">
                <p n="[Local Organisation].[CAB].[Bureau].&amp;[Brent Citizens Advice Bureau]&amp;[Brent (member)]&amp;[London]"/>
                <p n="[Local Organisation].[CAB].[Member].&amp;[Brent (member)]&amp;[London]"/>
                <p n="[Local Organisation].[CAB].[Government Region].&amp;[London]"/>
              </i>
              <i n="[Local Organisation].[CAB].[Outreach].&amp;[Brent Citizens Advice Bureau]&amp;[Brent Fawood]&amp;[Brent (member)]&amp;[London]" c="Brent Fawood">
                <p n="[Local Organisation].[CAB].[Bureau].&amp;[Brent Citizens Advice Bureau]&amp;[Brent (member)]&amp;[London]"/>
                <p n="[Local Organisation].[CAB].[Member].&amp;[Brent (member)]&amp;[London]"/>
                <p n="[Local Organisation].[CAB].[Government Region].&amp;[London]"/>
              </i>
              <i n="[Local Organisation].[CAB].[Outreach].&amp;[Brent Citizens Advice Bureau]&amp;[Brent Form-filling]&amp;[Brent (member)]&amp;[London]" c="Brent Form-filling">
                <p n="[Local Organisation].[CAB].[Bureau].&amp;[Brent Citizens Advice Bureau]&amp;[Brent (member)]&amp;[London]"/>
                <p n="[Local Organisation].[CAB].[Member].&amp;[Brent (member)]&amp;[London]"/>
                <p n="[Local Organisation].[CAB].[Government Region].&amp;[London]"/>
              </i>
              <i n="[Local Organisation].[CAB].[Outreach].&amp;[Brent Citizens Advice Bureau]&amp;[Brent Gateway-Email]&amp;[Brent (member)]&amp;[London]" c="Brent Gateway-Email">
                <p n="[Local Organisation].[CAB].[Bureau].&amp;[Brent Citizens Advice Bureau]&amp;[Brent (member)]&amp;[London]"/>
                <p n="[Local Organisation].[CAB].[Member].&amp;[Brent (member)]&amp;[London]"/>
                <p n="[Local Organisation].[CAB].[Government Region].&amp;[London]"/>
              </i>
              <i n="[Local Organisation].[CAB].[Outreach].&amp;[Brent Citizens Advice Bureau]&amp;[Brent Gateway-F2F]&amp;[Brent (member)]&amp;[London]" c="Brent Gateway-F2F">
                <p n="[Local Organisation].[CAB].[Bureau].&amp;[Brent Citizens Advice Bureau]&amp;[Brent (member)]&amp;[London]"/>
                <p n="[Local Organisation].[CAB].[Member].&amp;[Brent (member)]&amp;[London]"/>
                <p n="[Local Organisation].[CAB].[Government Region].&amp;[London]"/>
              </i>
              <i n="[Local Organisation].[CAB].[Outreach].&amp;[Brent Citizens Advice Bureau]&amp;[Brent Gateway-Telephone]&amp;[Brent (member)]&amp;[London]" c="Brent Gateway-Telephone">
                <p n="[Local Organisation].[CAB].[Bureau].&amp;[Brent Citizens Advice Bureau]&amp;[Brent (member)]&amp;[London]"/>
                <p n="[Local Organisation].[CAB].[Member].&amp;[Brent (member)]&amp;[London]"/>
                <p n="[Local Organisation].[CAB].[Government Region].&amp;[London]"/>
              </i>
              <i n="[Local Organisation].[CAB].[Outreach].&amp;[Brent Citizens Advice Bureau]&amp;[Brent Granville CC]&amp;[Brent (member)]&amp;[London]" c="Brent Granville CC">
                <p n="[Local Organisation].[CAB].[Bureau].&amp;[Brent Citizens Advice Bureau]&amp;[Brent (member)]&amp;[London]"/>
                <p n="[Local Organisation].[CAB].[Member].&amp;[Brent (member)]&amp;[London]"/>
                <p n="[Local Organisation].[CAB].[Government Region].&amp;[London]"/>
              </i>
              <i n="[Local Organisation].[CAB].[Outreach].&amp;[Brent Citizens Advice Bureau]&amp;[Brent Harmony CC]&amp;[Brent (member)]&amp;[London]" c="Brent Harmony CC">
                <p n="[Local Organisation].[CAB].[Bureau].&amp;[Brent Citizens Advice Bureau]&amp;[Brent (member)]&amp;[London]"/>
                <p n="[Local Organisation].[CAB].[Member].&amp;[Brent (member)]&amp;[London]"/>
                <p n="[Local Organisation].[CAB].[Government Region].&amp;[London]"/>
              </i>
              <i n="[Local Organisation].[CAB].[Outreach].&amp;[Brent Citizens Advice Bureau]&amp;[Brent HLA]&amp;[Brent (member)]&amp;[London]" c="Brent HLA">
                <p n="[Local Organisation].[CAB].[Bureau].&amp;[Brent Citizens Advice Bureau]&amp;[Brent (member)]&amp;[London]"/>
                <p n="[Local Organisation].[CAB].[Member].&amp;[Brent (member)]&amp;[London]"/>
                <p n="[Local Organisation].[CAB].[Government Region].&amp;[London]"/>
              </i>
              <i n="[Local Organisation].[CAB].[Outreach].&amp;[Brent Citizens Advice Bureau]&amp;[Brent Hope CC]&amp;[Brent (member)]&amp;[London]" c="Brent Hope CC">
                <p n="[Local Organisation].[CAB].[Bureau].&amp;[Brent Citizens Advice Bureau]&amp;[Brent (member)]&amp;[London]"/>
                <p n="[Local Organisation].[CAB].[Member].&amp;[Brent (member)]&amp;[London]"/>
                <p n="[Local Organisation].[CAB].[Government Region].&amp;[London]"/>
              </i>
              <i n="[Local Organisation].[CAB].[Outreach].&amp;[Brent Citizens Advice Bureau]&amp;[Brent Initial Check]&amp;[Brent (member)]&amp;[London]" c="Brent Initial Check">
                <p n="[Local Organisation].[CAB].[Bureau].&amp;[Brent Citizens Advice Bureau]&amp;[Brent (member)]&amp;[London]"/>
                <p n="[Local Organisation].[CAB].[Member].&amp;[Brent (member)]&amp;[London]"/>
                <p n="[Local Organisation].[CAB].[Government Region].&amp;[London]"/>
              </i>
              <i n="[Local Organisation].[CAB].[Outreach].&amp;[Brent Citizens Advice Bureau]&amp;[Brent L &amp; Q]&amp;[Brent (member)]&amp;[London]" c="Brent L &amp; Q">
                <p n="[Local Organisation].[CAB].[Bureau].&amp;[Brent Citizens Advice Bureau]&amp;[Brent (member)]&amp;[London]"/>
                <p n="[Local Organisation].[CAB].[Member].&amp;[Brent (member)]&amp;[London]"/>
                <p n="[Local Organisation].[CAB].[Government Region].&amp;[London]"/>
              </i>
              <i n="[Local Organisation].[CAB].[Outreach].&amp;[Brent Citizens Advice Bureau]&amp;[Brent Mt Stewart CC]&amp;[Brent (member)]&amp;[London]" c="Brent Mt Stewart CC">
                <p n="[Local Organisation].[CAB].[Bureau].&amp;[Brent Citizens Advice Bureau]&amp;[Brent (member)]&amp;[London]"/>
                <p n="[Local Organisation].[CAB].[Member].&amp;[Brent (member)]&amp;[London]"/>
                <p n="[Local Organisation].[CAB].[Government Region].&amp;[London]"/>
              </i>
              <i n="[Local Organisation].[CAB].[Outreach].&amp;[Brent Citizens Advice Bureau]&amp;[Brent Pension Wise]&amp;[Brent (member)]&amp;[London]" c="Brent Pension Wise">
                <p n="[Local Organisation].[CAB].[Bureau].&amp;[Brent Citizens Advice Bureau]&amp;[Brent (member)]&amp;[London]"/>
                <p n="[Local Organisation].[CAB].[Member].&amp;[Brent (member)]&amp;[London]"/>
                <p n="[Local Organisation].[CAB].[Government Region].&amp;[London]"/>
              </i>
              <i n="[Local Organisation].[CAB].[Outreach].&amp;[Brent Citizens Advice Bureau]&amp;[Brent PRMH]&amp;[Brent (member)]&amp;[London]" c="Brent PRMH">
                <p n="[Local Organisation].[CAB].[Bureau].&amp;[Brent Citizens Advice Bureau]&amp;[Brent (member)]&amp;[London]"/>
                <p n="[Local Organisation].[CAB].[Member].&amp;[Brent (member)]&amp;[London]"/>
                <p n="[Local Organisation].[CAB].[Government Region].&amp;[London]"/>
              </i>
              <i n="[Local Organisation].[CAB].[Outreach].&amp;[Brent Citizens Advice Bureau]&amp;[Brent Reception]&amp;[Brent (member)]&amp;[London]" c="Brent Reception">
                <p n="[Local Organisation].[CAB].[Bureau].&amp;[Brent Citizens Advice Bureau]&amp;[Brent (member)]&amp;[London]"/>
                <p n="[Local Organisation].[CAB].[Member].&amp;[Brent (member)]&amp;[London]"/>
                <p n="[Local Organisation].[CAB].[Government Region].&amp;[London]"/>
              </i>
              <i n="[Local Organisation].[CAB].[Outreach].&amp;[Brent Citizens Advice Bureau]&amp;[Brent Skype Employment Clinic]&amp;[Brent (member)]&amp;[London]" c="Brent Skype Employment Clinic">
                <p n="[Local Organisation].[CAB].[Bureau].&amp;[Brent Citizens Advice Bureau]&amp;[Brent (member)]&amp;[London]"/>
                <p n="[Local Organisation].[CAB].[Member].&amp;[Brent (member)]&amp;[London]"/>
                <p n="[Local Organisation].[CAB].[Government Region].&amp;[London]"/>
              </i>
              <i n="[Local Organisation].[CAB].[Outreach].&amp;[Brent Citizens Advice Bureau]&amp;[Brent St Raphaels CC]&amp;[Brent (member)]&amp;[London]" c="Brent St Raphaels CC">
                <p n="[Local Organisation].[CAB].[Bureau].&amp;[Brent Citizens Advice Bureau]&amp;[Brent (member)]&amp;[London]"/>
                <p n="[Local Organisation].[CAB].[Member].&amp;[Brent (member)]&amp;[London]"/>
                <p n="[Local Organisation].[CAB].[Government Region].&amp;[London]"/>
              </i>
              <i n="[Local Organisation].[CAB].[Outreach].&amp;[Brent Citizens Advice Bureau]&amp;[Brent Three trees CC]&amp;[Brent (member)]&amp;[London]" c="Brent Three trees CC">
                <p n="[Local Organisation].[CAB].[Bureau].&amp;[Brent Citizens Advice Bureau]&amp;[Brent (member)]&amp;[London]"/>
                <p n="[Local Organisation].[CAB].[Member].&amp;[Brent (member)]&amp;[London]"/>
                <p n="[Local Organisation].[CAB].[Government Region].&amp;[London]"/>
              </i>
              <i n="[Local Organisation].[CAB].[Outreach].&amp;[Brent Citizens Advice Bureau]&amp;[Brent Treetops CC]&amp;[Brent (member)]&amp;[London]" c="Brent Treetops CC">
                <p n="[Local Organisation].[CAB].[Bureau].&amp;[Brent Citizens Advice Bureau]&amp;[Brent (member)]&amp;[London]"/>
                <p n="[Local Organisation].[CAB].[Member].&amp;[Brent (member)]&amp;[London]"/>
                <p n="[Local Organisation].[CAB].[Government Region].&amp;[London]"/>
              </i>
              <i n="[Local Organisation].[CAB].[Outreach].&amp;[Brent Citizens Advice Bureau]&amp;[Brent WDP]&amp;[Brent (member)]&amp;[London]" c="Brent WDP">
                <p n="[Local Organisation].[CAB].[Bureau].&amp;[Brent Citizens Advice Bureau]&amp;[Brent (member)]&amp;[London]"/>
                <p n="[Local Organisation].[CAB].[Member].&amp;[Brent (member)]&amp;[London]"/>
                <p n="[Local Organisation].[CAB].[Government Region].&amp;[London]"/>
              </i>
              <i n="[Local Organisation].[CAB].[Outreach].&amp;[Brent Citizens Advice Bureau]&amp;[Brent Welcome CC]&amp;[Brent (member)]&amp;[London]" c="Brent Welcome CC">
                <p n="[Local Organisation].[CAB].[Bureau].&amp;[Brent Citizens Advice Bureau]&amp;[Brent (member)]&amp;[London]"/>
                <p n="[Local Organisation].[CAB].[Member].&amp;[Brent (member)]&amp;[London]"/>
                <p n="[Local Organisation].[CAB].[Government Region].&amp;[London]"/>
              </i>
              <i n="[Local Organisation].[CAB].[Outreach].&amp;[Brent Citizens Advice Bureau]&amp;[Brent Wembley Primary CC]&amp;[Brent (member)]&amp;[London]" c="Brent Wembley Primary CC">
                <p n="[Local Organisation].[CAB].[Bureau].&amp;[Brent Citizens Advice Bureau]&amp;[Brent (member)]&amp;[London]"/>
                <p n="[Local Organisation].[CAB].[Member].&amp;[Brent (member)]&amp;[London]"/>
                <p n="[Local Organisation].[CAB].[Government Region].&amp;[London]"/>
              </i>
              <i n="[Local Organisation].[CAB].[Outreach].&amp;[Brent Citizens Advice Bureau]&amp;[Brent Willow CC]&amp;[Brent (member)]&amp;[London]" c="Brent Willow CC">
                <p n="[Local Organisation].[CAB].[Bureau].&amp;[Brent Citizens Advice Bureau]&amp;[Brent (member)]&amp;[London]"/>
                <p n="[Local Organisation].[CAB].[Member].&amp;[Brent (member)]&amp;[London]"/>
                <p n="[Local Organisation].[CAB].[Government Region].&amp;[London]"/>
              </i>
              <i n="[Local Organisation].[CAB].[Outreach].&amp;[Brent Citizens Advice Bureau]&amp;[Brent WReform]&amp;[Brent (member)]&amp;[London]" c="Brent WReform">
                <p n="[Local Organisation].[CAB].[Bureau].&amp;[Brent Citizens Advice Bureau]&amp;[Brent (member)]&amp;[London]"/>
                <p n="[Local Organisation].[CAB].[Member].&amp;[Brent (member)]&amp;[London]"/>
                <p n="[Local Organisation].[CAB].[Government Region].&amp;[London]"/>
              </i>
              <i n="[Local Organisation].[CAB].[Outreach].&amp;[Brent Citizens Advice Bureau]&amp;[Brent Wykeham CC]&amp;[Brent (member)]&amp;[London]" c="Brent Wykeham CC">
                <p n="[Local Organisation].[CAB].[Bureau].&amp;[Brent Citizens Advice Bureau]&amp;[Brent (member)]&amp;[London]"/>
                <p n="[Local Organisation].[CAB].[Member].&amp;[Brent (member)]&amp;[London]"/>
                <p n="[Local Organisation].[CAB].[Government Region].&amp;[London]"/>
              </i>
              <i n="[Local Organisation].[CAB].[Outreach].&amp;[Brent Citizens Advice Bureau]&amp;[Not recorded/not applicable]&amp;[Brent (member)]&amp;[London]" c="Not recorded/not applicable">
                <p n="[Local Organisation].[CAB].[Bureau].&amp;[Brent Citizens Advice Bureau]&amp;[Brent (member)]&amp;[London]"/>
                <p n="[Local Organisation].[CAB].[Member].&amp;[Brent (member)]&amp;[London]"/>
                <p n="[Local Organisation].[CAB].[Government Region].&amp;[London]"/>
              </i>
              <i n="[Local Organisation].[CAB].[Outreach].&amp;[Bromley Town CAB]&amp;[Bromley AnerleyTown Hall]&amp;[Bromley (member)]&amp;[London]" c="Bromley AnerleyTown Hall">
                <p n="[Local Organisation].[CAB].[Bureau].&amp;[Bromley Town CAB]&amp;[Bromley (member)]&amp;[London]"/>
                <p n="[Local Organisation].[CAB].[Member].&amp;[Bromley (member)]&amp;[London]"/>
                <p n="[Local Organisation].[CAB].[Government Region].&amp;[London]"/>
              </i>
              <i n="[Local Organisation].[CAB].[Outreach].&amp;[Bromley Town CAB]&amp;[Bromley Bleinheim Centre DO NOT USE]&amp;[Bromley (member)]&amp;[London]" c="Bromley Bleinheim Centre DO NOT USE">
                <p n="[Local Organisation].[CAB].[Bureau].&amp;[Bromley Town CAB]&amp;[Bromley (member)]&amp;[London]"/>
                <p n="[Local Organisation].[CAB].[Member].&amp;[Bromley (member)]&amp;[London]"/>
                <p n="[Local Organisation].[CAB].[Government Region].&amp;[London]"/>
              </i>
              <i n="[Local Organisation].[CAB].[Outreach].&amp;[Bromley Town CAB]&amp;[Bromley Community Vision]&amp;[Bromley (member)]&amp;[London]" c="Bromley Community Vision">
                <p n="[Local Organisation].[CAB].[Bureau].&amp;[Bromley Town CAB]&amp;[Bromley (member)]&amp;[London]"/>
                <p n="[Local Organisation].[CAB].[Member].&amp;[Bromley (member)]&amp;[London]"/>
                <p n="[Local Organisation].[CAB].[Government Region].&amp;[London]"/>
              </i>
              <i n="[Local Organisation].[CAB].[Outreach].&amp;[Bromley Town CAB]&amp;[Bromley Cottmandene Centre]&amp;[Bromley (member)]&amp;[London]" c="Bromley Cottmandene Centre">
                <p n="[Local Organisation].[CAB].[Bureau].&amp;[Bromley Town CAB]&amp;[Bromley (member)]&amp;[London]"/>
                <p n="[Local Organisation].[CAB].[Member].&amp;[Bromley (member)]&amp;[London]"/>
                <p n="[Local Organisation].[CAB].[Government Region].&amp;[London]"/>
              </i>
              <i n="[Local Organisation].[CAB].[Outreach].&amp;[Bromley Town CAB]&amp;[Bromley Hope Church]&amp;[Bromley (member)]&amp;[London]" c="Bromley Hope Church">
                <p n="[Local Organisation].[CAB].[Bureau].&amp;[Bromley Town CAB]&amp;[Bromley (member)]&amp;[London]"/>
                <p n="[Local Organisation].[CAB].[Member].&amp;[Bromley (member)]&amp;[London]"/>
                <p n="[Local Organisation].[CAB].[Government Region].&amp;[London]"/>
              </i>
              <i n="[Local Organisation].[CAB].[Outreach].&amp;[Bromley Town CAB]&amp;[Bromley Turpington Lane]&amp;[Bromley (member)]&amp;[London]" c="Bromley Turpington Lane">
                <p n="[Local Organisation].[CAB].[Bureau].&amp;[Bromley Town CAB]&amp;[Bromley (member)]&amp;[London]"/>
                <p n="[Local Organisation].[CAB].[Member].&amp;[Bromley (member)]&amp;[London]"/>
                <p n="[Local Organisation].[CAB].[Government Region].&amp;[London]"/>
              </i>
              <i n="[Local Organisation].[CAB].[Outreach].&amp;[Bromley Town CAB]&amp;[Not recorded/not applicable]&amp;[Bromley (member)]&amp;[London]" c="Not recorded/not applicable">
                <p n="[Local Organisation].[CAB].[Bureau].&amp;[Bromley Town CAB]&amp;[Bromley (member)]&amp;[London]"/>
                <p n="[Local Organisation].[CAB].[Member].&amp;[Bromley (member)]&amp;[London]"/>
                <p n="[Local Organisation].[CAB].[Government Region].&amp;[London]"/>
              </i>
              <i n="[Local Organisation].[CAB].[Outreach].&amp;[Albany CAB]&amp;[Not recorded/not applicable]&amp;[Camden (member)]&amp;[London]" c="Not recorded/not applicable">
                <p n="[Local Organisation].[CAB].[Bureau].&amp;[Albany CAB]&amp;[Camden (member)]&amp;[London]"/>
                <p n="[Local Organisation].[CAB].[Member].&amp;[Camden (member)]&amp;[London]"/>
                <p n="[Local Organisation].[CAB].[Government Region].&amp;[London]"/>
              </i>
              <i n="[Local Organisation].[CAB].[Outreach].&amp;[Holborn 3rd floor CAB]&amp;[Not recorded/not applicable]&amp;[Camden (member)]&amp;[London]" c="Not recorded/not applicable">
                <p n="[Local Organisation].[CAB].[Bureau].&amp;[Holborn 3rd floor CAB]&amp;[Camden (member)]&amp;[London]"/>
                <p n="[Local Organisation].[CAB].[Member].&amp;[Camden (member)]&amp;[London]"/>
                <p n="[Local Organisation].[CAB].[Government Region].&amp;[London]"/>
              </i>
              <i n="[Local Organisation].[CAB].[Outreach].&amp;[Holborn 4th floor Project Office]&amp;[Not recorded/not applicable]&amp;[Camden (member)]&amp;[London]" c="Not recorded/not applicable">
                <p n="[Local Organisation].[CAB].[Bureau].&amp;[Holborn 4th floor Project Office]&amp;[Camden (member)]&amp;[London]"/>
                <p n="[Local Organisation].[CAB].[Member].&amp;[Camden (member)]&amp;[London]"/>
                <p n="[Local Organisation].[CAB].[Government Region].&amp;[London]"/>
              </i>
              <i n="[Local Organisation].[CAB].[Outreach].&amp;[Kentish Town CAB]&amp;[Not recorded/not applicable]&amp;[Camden (member)]&amp;[London]" c="Not recorded/not applicable">
                <p n="[Local Organisation].[CAB].[Bureau].&amp;[Kentish Town CAB]&amp;[Camden (member)]&amp;[London]"/>
                <p n="[Local Organisation].[CAB].[Member].&amp;[Camden (member)]&amp;[London]"/>
                <p n="[Local Organisation].[CAB].[Government Region].&amp;[London]"/>
              </i>
              <i n="[Local Organisation].[CAB].[Outreach].&amp;[Kilburn CAB]&amp;[Camden - St Pancras Community Centre]&amp;[Camden (member)]&amp;[London]" c="Camden - St Pancras Community Centre">
                <p n="[Local Organisation].[CAB].[Bureau].&amp;[Kilburn CAB]&amp;[Camden (member)]&amp;[London]"/>
                <p n="[Local Organisation].[CAB].[Member].&amp;[Camden (member)]&amp;[London]"/>
                <p n="[Local Organisation].[CAB].[Government Region].&amp;[London]"/>
              </i>
              <i n="[Local Organisation].[CAB].[Outreach].&amp;[Kilburn CAB]&amp;[Not recorded/not applicable]&amp;[Camden (member)]&amp;[London]" c="Not recorded/not applicable">
                <p n="[Local Organisation].[CAB].[Bureau].&amp;[Kilburn CAB]&amp;[Camden (member)]&amp;[London]"/>
                <p n="[Local Organisation].[CAB].[Member].&amp;[Camden (member)]&amp;[London]"/>
                <p n="[Local Organisation].[CAB].[Government Region].&amp;[London]"/>
              </i>
              <i n="[Local Organisation].[CAB].[Outreach].&amp;[Troutbeck Project Office]&amp;[Camden - Abbey Medical Centre]&amp;[Camden (member)]&amp;[London]" c="Camden - Abbey Medical Centre">
                <p n="[Local Organisation].[CAB].[Bureau].&amp;[Troutbeck Project Office]&amp;[Camden (member)]&amp;[London]"/>
                <p n="[Local Organisation].[CAB].[Member].&amp;[Camden (member)]&amp;[London]"/>
                <p n="[Local Organisation].[CAB].[Government Region].&amp;[London]"/>
              </i>
              <i n="[Local Organisation].[CAB].[Outreach].&amp;[Troutbeck Project Office]&amp;[Camden - Adelaide Medical Centre]&amp;[Camden (member)]&amp;[London]" c="Camden - Adelaide Medical Centre">
                <p n="[Local Organisation].[CAB].[Bureau].&amp;[Troutbeck Project Office]&amp;[Camden (member)]&amp;[London]"/>
                <p n="[Local Organisation].[CAB].[Member].&amp;[Camden (member)]&amp;[London]"/>
                <p n="[Local Organisation].[CAB].[Government Region].&amp;[London]"/>
              </i>
              <i n="[Local Organisation].[CAB].[Outreach].&amp;[Troutbeck Project Office]&amp;[Camden - Albany]&amp;[Camden (member)]&amp;[London]" c="Camden - Albany">
                <p n="[Local Organisation].[CAB].[Bureau].&amp;[Troutbeck Project Office]&amp;[Camden (member)]&amp;[London]"/>
                <p n="[Local Organisation].[CAB].[Member].&amp;[Camden (member)]&amp;[London]"/>
                <p n="[Local Organisation].[CAB].[Government Region].&amp;[London]"/>
              </i>
              <i n="[Local Organisation].[CAB].[Outreach].&amp;[Troutbeck Project Office]&amp;[Camden - Amwell Medical Centre]&amp;[Camden (member)]&amp;[London]" c="Camden - Amwell Medical Centre">
                <p n="[Local Organisation].[CAB].[Bureau].&amp;[Troutbeck Project Office]&amp;[Camden (member)]&amp;[London]"/>
                <p n="[Local Organisation].[CAB].[Member].&amp;[Camden (member)]&amp;[London]"/>
                <p n="[Local Organisation].[CAB].[Government Region].&amp;[London]"/>
              </i>
              <i n="[Local Organisation].[CAB].[Outreach].&amp;[Troutbeck Project Office]&amp;[Camden - Archway Medical Practice]&amp;[Camden (member)]&amp;[London]" c="Camden - Archway Medical Practice">
                <p n="[Local Organisation].[CAB].[Bureau].&amp;[Troutbeck Project Office]&amp;[Camden (member)]&amp;[London]"/>
                <p n="[Local Organisation].[CAB].[Member].&amp;[Camden (member)]&amp;[London]"/>
                <p n="[Local Organisation].[CAB].[Government Region].&amp;[London]"/>
              </i>
              <i n="[Local Organisation].[CAB].[Outreach].&amp;[Troutbeck Project Office]&amp;[Camden - Bloomsbury Surgery]&amp;[Camden (member)]&amp;[London]" c="Camden - Bloomsbury Surgery">
                <p n="[Local Organisation].[CAB].[Bureau].&amp;[Troutbeck Project Office]&amp;[Camden (member)]&amp;[London]"/>
                <p n="[Local Organisation].[CAB].[Member].&amp;[Camden (member)]&amp;[London]"/>
                <p n="[Local Organisation].[CAB].[Government Region].&amp;[London]"/>
              </i>
              <i n="[Local Organisation].[CAB].[Outreach].&amp;[Troutbeck Project Office]&amp;[Camden - Brondesbury Medical Centre]&amp;[Camden (member)]&amp;[London]" c="Camden - Brondesbury Medical Centre">
                <p n="[Local Organisation].[CAB].[Bureau].&amp;[Troutbeck Project Office]&amp;[Camden (member)]&amp;[London]"/>
                <p n="[Local Organisation].[CAB].[Member].&amp;[Camden (member)]&amp;[London]"/>
                <p n="[Local Organisation].[CAB].[Government Region].&amp;[London]"/>
              </i>
              <i n="[Local Organisation].[CAB].[Outreach].&amp;[Troutbeck Project Office]&amp;[Camden - C.H.I.P. (Troutbeck)]&amp;[Camden (member)]&amp;[London]" c="Camden - C.H.I.P. (Troutbeck)">
                <p n="[Local Organisation].[CAB].[Bureau].&amp;[Troutbeck Project Office]&amp;[Camden (member)]&amp;[London]"/>
                <p n="[Local Organisation].[CAB].[Member].&amp;[Camden (member)]&amp;[London]"/>
                <p n="[Local Organisation].[CAB].[Government Region].&amp;[London]"/>
              </i>
              <i n="[Local Organisation].[CAB].[Outreach].&amp;[Troutbeck Project Office]&amp;[Camden - Edgware dialysis centre]&amp;[Camden (member)]&amp;[London]" c="Camden - Edgware dialysis centre">
                <p n="[Local Organisation].[CAB].[Bureau].&amp;[Troutbeck Project Office]&amp;[Camden (member)]&amp;[London]"/>
                <p n="[Local Organisation].[CAB].[Member].&amp;[Camden (member)]&amp;[London]"/>
                <p n="[Local Organisation].[CAB].[Government Region].&amp;[London]"/>
              </i>
              <i n="[Local Organisation].[CAB].[Outreach].&amp;[Troutbeck Project Office]&amp;[Camden - Elizabeth Avenue GP Surgery]&amp;[Camden (member)]&amp;[London]" c="Camden - Elizabeth Avenue GP Surgery">
                <p n="[Local Organisation].[CAB].[Bureau].&amp;[Troutbeck Project Office]&amp;[Camden (member)]&amp;[London]"/>
                <p n="[Local Organisation].[CAB].[Member].&amp;[Camden (member)]&amp;[London]"/>
                <p n="[Local Organisation].[CAB].[Government Region].&amp;[London]"/>
              </i>
              <i n="[Local Organisation].[CAB].[Outreach].&amp;[Troutbeck Project Office]&amp;[Camden - Goodinge Medical Centre]&amp;[Camden (member)]&amp;[London]" c="Camden - Goodinge Medical Centre">
                <p n="[Local Organisation].[CAB].[Bureau].&amp;[Troutbeck Project Office]&amp;[Camden (member)]&amp;[London]"/>
                <p n="[Local Organisation].[CAB].[Member].&amp;[Camden (member)]&amp;[London]"/>
                <p n="[Local Organisation].[CAB].[Government Region].&amp;[London]"/>
              </i>
              <i n="[Local Organisation].[CAB].[Outreach].&amp;[Troutbeck Project Office]&amp;[Camden - Gospel Oak Health Centre]&amp;[Camden (member)]&amp;[London]" c="Camden - Gospel Oak Health Centre">
                <p n="[Local Organisation].[CAB].[Bureau].&amp;[Troutbeck Project Office]&amp;[Camden (member)]&amp;[London]"/>
                <p n="[Local Organisation].[CAB].[Member].&amp;[Camden (member)]&amp;[London]"/>
                <p n="[Local Organisation].[CAB].[Government Region].&amp;[London]"/>
              </i>
              <i n="[Local Organisation].[CAB].[Outreach].&amp;[Troutbeck Project Office]&amp;[Camden - Great Ormond Street Hospital]&amp;[Camden (member)]&amp;[London]" c="Camden - Great Ormond Street Hospital">
                <p n="[Local Organisation].[CAB].[Bureau].&amp;[Troutbeck Project Office]&amp;[Camden (member)]&amp;[London]"/>
                <p n="[Local Organisation].[CAB].[Member].&amp;[Camden (member)]&amp;[London]"/>
                <p n="[Local Organisation].[CAB].[Government Region].&amp;[London]"/>
              </i>
              <i n="[Local Organisation].[CAB].[Outreach].&amp;[Troutbeck Project Office]&amp;[Camden - Hampstead Group Practice]&amp;[Camden (member)]&amp;[London]" c="Camden - Hampstead Group Practice">
                <p n="[Local Organisation].[CAB].[Bureau].&amp;[Troutbeck Project Office]&amp;[Camden (member)]&amp;[London]"/>
                <p n="[Local Organisation].[CAB].[Member].&amp;[Camden (member)]&amp;[London]"/>
                <p n="[Local Organisation].[CAB].[Government Region].&amp;[London]"/>
              </i>
              <i n="[Local Organisation].[CAB].[Outreach].&amp;[Troutbeck Project Office]&amp;[Camden - Hanley Primary Care Centre]&amp;[Camden (member)]&amp;[London]" c="Camden - Hanley Primary Care Centre">
                <p n="[Local Organisation].[CAB].[Bureau].&amp;[Troutbeck Project Office]&amp;[Camden (member)]&amp;[London]"/>
                <p n="[Local Organisation].[CAB].[Member].&amp;[Camden (member)]&amp;[London]"/>
                <p n="[Local Organisation].[CAB].[Government Region].&amp;[London]"/>
              </i>
              <i n="[Local Organisation].[CAB].[Outreach].&amp;[Troutbeck Project Office]&amp;[Camden - Holloway Road Medical Centre]&amp;[Camden (member)]&amp;[London]" c="Camden - Holloway Road Medical Centre">
                <p n="[Local Organisation].[CAB].[Bureau].&amp;[Troutbeck Project Office]&amp;[Camden (member)]&amp;[London]"/>
                <p n="[Local Organisation].[CAB].[Member].&amp;[Camden (member)]&amp;[London]"/>
                <p n="[Local Organisation].[CAB].[Government Region].&amp;[London]"/>
              </i>
              <i n="[Local Organisation].[CAB].[Outreach].&amp;[Troutbeck Project Office]&amp;[Camden - Hunter Street Health Centre]&amp;[Camden (member)]&amp;[London]" c="Camden - Hunter Street Health Centre">
                <p n="[Local Organisation].[CAB].[Bureau].&amp;[Troutbeck Project Office]&amp;[Camden (member)]&amp;[London]"/>
                <p n="[Local Organisation].[CAB].[Member].&amp;[Camden (member)]&amp;[London]"/>
                <p n="[Local Organisation].[CAB].[Government Region].&amp;[London]"/>
              </i>
              <i n="[Local Organisation].[CAB].[Outreach].&amp;[Troutbeck Project Office]&amp;[Camden - Kentish Town Health Centre]&amp;[Camden (member)]&amp;[London]" c="Camden - Kentish Town Health Centre">
                <p n="[Local Organisation].[CAB].[Bureau].&amp;[Troutbeck Project Office]&amp;[Camden (member)]&amp;[London]"/>
                <p n="[Local Organisation].[CAB].[Member].&amp;[Camden (member)]&amp;[London]"/>
                <p n="[Local Organisation].[CAB].[Government Region].&amp;[London]"/>
              </i>
              <i n="[Local Organisation].[CAB].[Outreach].&amp;[Troutbeck Project Office]&amp;[Camden - Killick Street GP Surgery]&amp;[Camden (member)]&amp;[London]" c="Camden - Killick Street GP Surgery">
                <p n="[Local Organisation].[CAB].[Bureau].&amp;[Troutbeck Project Office]&amp;[Camden (member)]&amp;[London]"/>
                <p n="[Local Organisation].[CAB].[Member].&amp;[Camden (member)]&amp;[London]"/>
                <p n="[Local Organisation].[CAB].[Government Region].&amp;[London]"/>
              </i>
              <i n="[Local Organisation].[CAB].[Outreach].&amp;[Troutbeck Project Office]&amp;[Camden - Mortimer Market]&amp;[Camden (member)]&amp;[London]" c="Camden - Mortimer Market">
                <p n="[Local Organisation].[CAB].[Bureau].&amp;[Troutbeck Project Office]&amp;[Camden (member)]&amp;[London]"/>
                <p n="[Local Organisation].[CAB].[Member].&amp;[Camden (member)]&amp;[London]"/>
                <p n="[Local Organisation].[CAB].[Government Region].&amp;[London]"/>
              </i>
              <i n="[Local Organisation].[CAB].[Outreach].&amp;[Troutbeck Project Office]&amp;[Camden - Parliament Hill Medical Centre]&amp;[Camden (member)]&amp;[London]" c="Camden - Parliament Hill Medical Centre">
                <p n="[Local Organisation].[CAB].[Bureau].&amp;[Troutbeck Project Office]&amp;[Camden (member)]&amp;[London]"/>
                <p n="[Local Organisation].[CAB].[Member].&amp;[Camden (member)]&amp;[London]"/>
                <p n="[Local Organisation].[CAB].[Government Region].&amp;[London]"/>
              </i>
              <i n="[Local Organisation].[CAB].[Outreach].&amp;[Troutbeck Project Office]&amp;[Camden - Queens Crescent Practice]&amp;[Camden (member)]&amp;[London]" c="Camden - Queens Crescent Practice">
                <p n="[Local Organisation].[CAB].[Bureau].&amp;[Troutbeck Project Office]&amp;[Camden (member)]&amp;[London]"/>
                <p n="[Local Organisation].[CAB].[Member].&amp;[Camden (member)]&amp;[London]"/>
                <p n="[Local Organisation].[CAB].[Government Region].&amp;[London]"/>
              </i>
              <i n="[Local Organisation].[CAB].[Outreach].&amp;[Troutbeck Project Office]&amp;[Camden - Ritchie Street GP Practice]&amp;[Camden (member)]&amp;[London]" c="Camden - Ritchie Street GP Practice">
                <p n="[Local Organisation].[CAB].[Bureau].&amp;[Troutbeck Project Office]&amp;[Camden (member)]&amp;[London]"/>
                <p n="[Local Organisation].[CAB].[Member].&amp;[Camden (member)]&amp;[London]"/>
                <p n="[Local Organisation].[CAB].[Government Region].&amp;[London]"/>
              </i>
              <i n="[Local Organisation].[CAB].[Outreach].&amp;[Troutbeck Project Office]&amp;[Camden - River Place Health Centre]&amp;[Camden (member)]&amp;[London]" c="Camden - River Place Health Centre">
                <p n="[Local Organisation].[CAB].[Bureau].&amp;[Troutbeck Project Office]&amp;[Camden (member)]&amp;[London]"/>
                <p n="[Local Organisation].[CAB].[Member].&amp;[Camden (member)]&amp;[London]"/>
                <p n="[Local Organisation].[CAB].[Government Region].&amp;[London]"/>
              </i>
              <i n="[Local Organisation].[CAB].[Outreach].&amp;[Troutbeck Project Office]&amp;[Camden - Royal Free Hospital (ICDC)]&amp;[Camden (member)]&amp;[London]" c="Camden - Royal Free Hospital (ICDC)">
                <p n="[Local Organisation].[CAB].[Bureau].&amp;[Troutbeck Project Office]&amp;[Camden (member)]&amp;[London]"/>
                <p n="[Local Organisation].[CAB].[Member].&amp;[Camden (member)]&amp;[London]"/>
                <p n="[Local Organisation].[CAB].[Government Region].&amp;[London]"/>
              </i>
              <i n="[Local Organisation].[CAB].[Outreach].&amp;[Troutbeck Project Office]&amp;[Camden - Royal Free Hospital (Oncology)]&amp;[Camden (member)]&amp;[London]" c="Camden - Royal Free Hospital (Oncology)">
                <p n="[Local Organisation].[CAB].[Bureau].&amp;[Troutbeck Project Office]&amp;[Camden (member)]&amp;[London]"/>
                <p n="[Local Organisation].[CAB].[Member].&amp;[Camden (member)]&amp;[London]"/>
                <p n="[Local Organisation].[CAB].[Government Region].&amp;[London]"/>
              </i>
              <i n="[Local Organisation].[CAB].[Outreach].&amp;[Troutbeck Project Office]&amp;[Camden - Somers Town Health Centre]&amp;[Camden (member)]&amp;[London]" c="Camden - Somers Town Health Centre">
                <p n="[Local Organisation].[CAB].[Bureau].&amp;[Troutbeck Project Office]&amp;[Camden (member)]&amp;[London]"/>
                <p n="[Local Organisation].[CAB].[Member].&amp;[Camden (member)]&amp;[London]"/>
                <p n="[Local Organisation].[CAB].[Government Region].&amp;[London]"/>
              </i>
              <i n="[Local Organisation].[CAB].[Outreach].&amp;[Troutbeck Project Office]&amp;[Camden - St Marys Hospital]&amp;[Camden (member)]&amp;[London]" c="Camden - St Marys Hospital">
                <p n="[Local Organisation].[CAB].[Bureau].&amp;[Troutbeck Project Office]&amp;[Camden (member)]&amp;[London]"/>
                <p n="[Local Organisation].[CAB].[Member].&amp;[Camden (member)]&amp;[London]"/>
                <p n="[Local Organisation].[CAB].[Government Region].&amp;[London]"/>
              </i>
              <i n="[Local Organisation].[CAB].[Outreach].&amp;[Troutbeck Project Office]&amp;[Camden - St Pancras dialysis centre]&amp;[Camden (member)]&amp;[London]" c="Camden - St Pancras dialysis centre">
                <p n="[Local Organisation].[CAB].[Bureau].&amp;[Troutbeck Project Office]&amp;[Camden (member)]&amp;[London]"/>
                <p n="[Local Organisation].[CAB].[Member].&amp;[Camden (member)]&amp;[London]"/>
                <p n="[Local Organisation].[CAB].[Government Region].&amp;[London]"/>
              </i>
              <i n="[Local Organisation].[CAB].[Outreach].&amp;[Troutbeck Project Office]&amp;[Camden - St Peters Street Medical Practice]&amp;[Camden (member)]&amp;[London]" c="Camden - St Peters Street Medical Practice">
                <p n="[Local Organisation].[CAB].[Bureau].&amp;[Troutbeck Project Office]&amp;[Camden (member)]&amp;[London]"/>
                <p n="[Local Organisation].[CAB].[Member].&amp;[Camden (member)]&amp;[London]"/>
                <p n="[Local Organisation].[CAB].[Government Region].&amp;[London]"/>
              </i>
              <i n="[Local Organisation].[CAB].[Outreach].&amp;[Troutbeck Project Office]&amp;[Camden - Swiss Cottage Surgery]&amp;[Camden (member)]&amp;[London]" c="Camden - Swiss Cottage Surgery">
                <p n="[Local Organisation].[CAB].[Bureau].&amp;[Troutbeck Project Office]&amp;[Camden (member)]&amp;[London]"/>
                <p n="[Local Organisation].[CAB].[Member].&amp;[Camden (member)]&amp;[London]"/>
                <p n="[Local Organisation].[CAB].[Government Region].&amp;[London]"/>
              </i>
              <i n="[Local Organisation].[CAB].[Outreach].&amp;[Troutbeck Project Office]&amp;[Camden - Tottenham Hale Kidney and Diabetes Centre]&amp;[Camden (member)]&amp;[London]" c="Camden - Tottenham Hale Kidney and Diabetes Centre">
                <p n="[Local Organisation].[CAB].[Bureau].&amp;[Troutbeck Project Office]&amp;[Camden (member)]&amp;[London]"/>
                <p n="[Local Organisation].[CAB].[Member].&amp;[Camden (member)]&amp;[London]"/>
                <p n="[Local Organisation].[CAB].[Government Region].&amp;[London]"/>
              </i>
              <i n="[Local Organisation].[CAB].[Outreach].&amp;[Troutbeck Project Office]&amp;[Camden - West Hampstead Womens Centre]&amp;[Camden (member)]&amp;[London]" c="Camden - West Hampstead Womens Centre">
                <p n="[Local Organisation].[CAB].[Bureau].&amp;[Troutbeck Project Office]&amp;[Camden (member)]&amp;[London]"/>
                <p n="[Local Organisation].[CAB].[Member].&amp;[Camden (member)]&amp;[London]"/>
                <p n="[Local Organisation].[CAB].[Government Region].&amp;[London]"/>
              </i>
              <i n="[Local Organisation].[CAB].[Outreach].&amp;[Troutbeck Project Office]&amp;[Not recorded/not applicable]&amp;[Camden (member)]&amp;[London]" c="Not recorded/not applicable">
                <p n="[Local Organisation].[CAB].[Bureau].&amp;[Troutbeck Project Office]&amp;[Camden (member)]&amp;[London]"/>
                <p n="[Local Organisation].[CAB].[Member].&amp;[Camden (member)]&amp;[London]"/>
                <p n="[Local Organisation].[CAB].[Government Region].&amp;[London]"/>
              </i>
              <i n="[Local Organisation].[CAB].[Outreach].&amp;[Addington Citizens Advice Bureau]&amp;[Not recorded/not applicable]&amp;[Croydon CAB Ltd (member)]&amp;[London]" c="Not recorded/not applicable">
                <p n="[Local Organisation].[CAB].[Bureau].&amp;[Addington Citizens Advice Bureau]&amp;[Croydon CAB Ltd (member)]&amp;[London]"/>
                <p n="[Local Organisation].[CAB].[Member].&amp;[Croydon CAB Ltd (member)]&amp;[London]"/>
                <p n="[Local Organisation].[CAB].[Government Region].&amp;[London]"/>
              </i>
              <i n="[Local Organisation].[CAB].[Outreach].&amp;[South Norwood]&amp;[Croydon - Access Croydon]&amp;[Croydon CAB Ltd (member)]&amp;[London]" c="Croydon - Access Croydon">
                <p n="[Local Organisation].[CAB].[Bureau].&amp;[South Norwood]&amp;[Croydon CAB Ltd (member)]&amp;[London]"/>
                <p n="[Local Organisation].[CAB].[Member].&amp;[Croydon CAB Ltd (member)]&amp;[London]"/>
                <p n="[Local Organisation].[CAB].[Government Region].&amp;[London]"/>
              </i>
              <i n="[Local Organisation].[CAB].[Outreach].&amp;[South Norwood]&amp;[Croydon - Fieldway Family Centre]&amp;[Croydon CAB Ltd (member)]&amp;[London]" c="Croydon - Fieldway Family Centre">
                <p n="[Local Organisation].[CAB].[Bureau].&amp;[South Norwood]&amp;[Croydon CAB Ltd (member)]&amp;[London]"/>
                <p n="[Local Organisation].[CAB].[Member].&amp;[Croydon CAB Ltd (member)]&amp;[London]"/>
                <p n="[Local Organisation].[CAB].[Government Region].&amp;[London]"/>
              </i>
              <i n="[Local Organisation].[CAB].[Outreach].&amp;[South Norwood]&amp;[Croydon - Macmillan Addington]&amp;[Croydon CAB Ltd (member)]&amp;[London]" c="Croydon - Macmillan Addington">
                <p n="[Local Organisation].[CAB].[Bureau].&amp;[South Norwood]&amp;[Croydon CAB Ltd (member)]&amp;[London]"/>
                <p n="[Local Organisation].[CAB].[Member].&amp;[Croydon CAB Ltd (member)]&amp;[London]"/>
                <p n="[Local Organisation].[CAB].[Government Region].&amp;[London]"/>
              </i>
              <i n="[Local Organisation].[CAB].[Outreach].&amp;[South Norwood]&amp;[Croydon - Macmillan Banstead CAB]&amp;[Croydon CAB Ltd (member)]&amp;[London]" c="Croydon - Macmillan Banstead CAB">
                <p n="[Local Organisation].[CAB].[Bureau].&amp;[South Norwood]&amp;[Croydon CAB Ltd (member)]&amp;[London]"/>
                <p n="[Local Organisation].[CAB].[Member].&amp;[Croydon CAB Ltd (member)]&amp;[London]"/>
                <p n="[Local Organisation].[CAB].[Government Region].&amp;[London]"/>
              </i>
              <i n="[Local Organisation].[CAB].[Outreach].&amp;[South Norwood]&amp;[Croydon - Macmillan Cancer Information Centre CUH]&amp;[Croydon CAB Ltd (member)]&amp;[London]" c="Croydon - Macmillan Cancer Information Centre CUH">
                <p n="[Local Organisation].[CAB].[Bureau].&amp;[South Norwood]&amp;[Croydon CAB Ltd (member)]&amp;[London]"/>
                <p n="[Local Organisation].[CAB].[Member].&amp;[Croydon CAB Ltd (member)]&amp;[London]"/>
                <p n="[Local Organisation].[CAB].[Government Region].&amp;[London]"/>
              </i>
              <i n="[Local Organisation].[CAB].[Outreach].&amp;[South Norwood]&amp;[Croydon - Macmillan Epsom Hospital]&amp;[Croydon CAB Ltd (member)]&amp;[London]" c="Croydon - Macmillan Epsom Hospital">
                <p n="[Local Organisation].[CAB].[Bureau].&amp;[South Norwood]&amp;[Croydon CAB Ltd (member)]&amp;[London]"/>
                <p n="[Local Organisation].[CAB].[Member].&amp;[Croydon CAB Ltd (member)]&amp;[London]"/>
                <p n="[Local Organisation].[CAB].[Government Region].&amp;[London]"/>
              </i>
              <i n="[Local Organisation].[CAB].[Outreach].&amp;[South Norwood]&amp;[Croydon - Macmillan Other]&amp;[Croydon CAB Ltd (member)]&amp;[London]" c="Croydon - Macmillan Other">
                <p n="[Local Organisation].[CAB].[Bureau].&amp;[South Norwood]&amp;[Croydon CAB Ltd (member)]&amp;[London]"/>
                <p n="[Local Organisation].[CAB].[Member].&amp;[Croydon CAB Ltd (member)]&amp;[London]"/>
                <p n="[Local Organisation].[CAB].[Government Region].&amp;[London]"/>
              </i>
              <i n="[Local Organisation].[CAB].[Outreach].&amp;[South Norwood]&amp;[Croydon - Macmillan SECHC Purley]&amp;[Croydon CAB Ltd (member)]&amp;[London]" c="Croydon - Macmillan SECHC Purley">
                <p n="[Local Organisation].[CAB].[Bureau].&amp;[South Norwood]&amp;[Croydon CAB Ltd (member)]&amp;[London]"/>
                <p n="[Local Organisation].[CAB].[Member].&amp;[Croydon CAB Ltd (member)]&amp;[London]"/>
                <p n="[Local Organisation].[CAB].[Government Region].&amp;[London]"/>
              </i>
              <i n="[Local Organisation].[CAB].[Outreach].&amp;[South Norwood]&amp;[Croydon - Macmillan South Norwood]&amp;[Croydon CAB Ltd (member)]&amp;[London]" c="Croydon - Macmillan South Norwood">
                <p n="[Local Organisation].[CAB].[Bureau].&amp;[South Norwood]&amp;[Croydon CAB Ltd (member)]&amp;[London]"/>
                <p n="[Local Organisation].[CAB].[Member].&amp;[Croydon CAB Ltd (member)]&amp;[London]"/>
                <p n="[Local Organisation].[CAB].[Government Region].&amp;[London]"/>
              </i>
              <i n="[Local Organisation].[CAB].[Outreach].&amp;[South Norwood]&amp;[Croydon - Macmillan St Helier Hospital]&amp;[Croydon CAB Ltd (member)]&amp;[London]" c="Croydon - Macmillan St Helier Hospital">
                <p n="[Local Organisation].[CAB].[Bureau].&amp;[South Norwood]&amp;[Croydon CAB Ltd (member)]&amp;[London]"/>
                <p n="[Local Organisation].[CAB].[Member].&amp;[Croydon CAB Ltd (member)]&amp;[London]"/>
                <p n="[Local Organisation].[CAB].[Government Region].&amp;[London]"/>
              </i>
              <i n="[Local Organisation].[CAB].[Outreach].&amp;[South Norwood]&amp;[Croydon - Old Coulsdon Med Centre]&amp;[Croydon CAB Ltd (member)]&amp;[London]" c="Croydon - Old Coulsdon Med Centre">
                <p n="[Local Organisation].[CAB].[Bureau].&amp;[South Norwood]&amp;[Croydon CAB Ltd (member)]&amp;[London]"/>
                <p n="[Local Organisation].[CAB].[Member].&amp;[Croydon CAB Ltd (member)]&amp;[London]"/>
                <p n="[Local Organisation].[CAB].[Government Region].&amp;[London]"/>
              </i>
              <i n="[Local Organisation].[CAB].[Outreach].&amp;[South Norwood]&amp;[Not recorded/not applicable]&amp;[Croydon CAB Ltd (member)]&amp;[London]" c="Not recorded/not applicable">
                <p n="[Local Organisation].[CAB].[Bureau].&amp;[South Norwood]&amp;[Croydon CAB Ltd (member)]&amp;[London]"/>
                <p n="[Local Organisation].[CAB].[Member].&amp;[Croydon CAB Ltd (member)]&amp;[London]"/>
                <p n="[Local Organisation].[CAB].[Government Region].&amp;[London]"/>
              </i>
              <i n="[Local Organisation].[CAB].[Outreach].&amp;[East End (Hackney) CAB]&amp;[Age UK Pension Wise]&amp;[East End (member)]&amp;[London]" c="Age UK Pension Wise">
                <p n="[Local Organisation].[CAB].[Bureau].&amp;[East End (Hackney) CAB]&amp;[East End (member)]&amp;[London]"/>
                <p n="[Local Organisation].[CAB].[Member].&amp;[East End (member)]&amp;[London]"/>
                <p n="[Local Organisation].[CAB].[Government Region].&amp;[London]"/>
              </i>
              <i n="[Local Organisation].[CAB].[Outreach].&amp;[East End (Hackney) CAB]&amp;[Ann Tayler CC]&amp;[East End (member)]&amp;[London]" c="Ann Tayler CC">
                <p n="[Local Organisation].[CAB].[Bureau].&amp;[East End (Hackney) CAB]&amp;[East End (member)]&amp;[London]"/>
                <p n="[Local Organisation].[CAB].[Member].&amp;[East End (member)]&amp;[London]"/>
                <p n="[Local Organisation].[CAB].[Government Region].&amp;[London]"/>
              </i>
              <i n="[Local Organisation].[CAB].[Outreach].&amp;[East End (Hackney) CAB]&amp;[Brook CC]&amp;[East End (member)]&amp;[London]" c="Brook CC">
                <p n="[Local Organisation].[CAB].[Bureau].&amp;[East End (Hackney) CAB]&amp;[East End (member)]&amp;[London]"/>
                <p n="[Local Organisation].[CAB].[Member].&amp;[East End (member)]&amp;[London]"/>
                <p n="[Local Organisation].[CAB].[Government Region].&amp;[London]"/>
              </i>
              <i n="[Local Organisation].[CAB].[Outreach].&amp;[East End (Hackney) CAB]&amp;[Cedar Practice]&amp;[East End (member)]&amp;[London]" c="Cedar Practice">
                <p n="[Local Organisation].[CAB].[Bureau].&amp;[East End (Hackney) CAB]&amp;[East End (member)]&amp;[London]"/>
                <p n="[Local Organisation].[CAB].[Member].&amp;[East End (member)]&amp;[London]"/>
                <p n="[Local Organisation].[CAB].[Government Region].&amp;[London]"/>
              </i>
              <i n="[Local Organisation].[CAB].[Outreach].&amp;[East End (Hackney) CAB]&amp;[Comberton CC]&amp;[East End (member)]&amp;[London]" c="Comberton CC">
                <p n="[Local Organisation].[CAB].[Bureau].&amp;[East End (Hackney) CAB]&amp;[East End (member)]&amp;[London]"/>
                <p n="[Local Organisation].[CAB].[Member].&amp;[East End (member)]&amp;[London]"/>
                <p n="[Local Organisation].[CAB].[Government Region].&amp;[London]"/>
              </i>
              <i n="[Local Organisation].[CAB].[Outreach].&amp;[East End (Hackney) CAB]&amp;[Daubeney CC]&amp;[East End (member)]&amp;[London]" c="Daubeney CC">
                <p n="[Local Organisation].[CAB].[Bureau].&amp;[East End (Hackney) CAB]&amp;[East End (member)]&amp;[London]"/>
                <p n="[Local Organisation].[CAB].[Member].&amp;[East End (member)]&amp;[London]"/>
                <p n="[Local Organisation].[CAB].[Government Region].&amp;[London]"/>
              </i>
              <i n="[Local Organisation].[CAB].[Outreach].&amp;[East End (Hackney) CAB]&amp;[East End CAB (Hackney) Genesis]&amp;[East End (member)]&amp;[London]" c="East End CAB (Hackney) Genesis">
                <p n="[Local Organisation].[CAB].[Bureau].&amp;[East End (Hackney) CAB]&amp;[East End (member)]&amp;[London]"/>
                <p n="[Local Organisation].[CAB].[Member].&amp;[East End (member)]&amp;[London]"/>
                <p n="[Local Organisation].[CAB].[Government Region].&amp;[London]"/>
              </i>
              <i n="[Local Organisation].[CAB].[Outreach].&amp;[East End (Hackney) CAB]&amp;[Eastham Workplace]&amp;[East End (member)]&amp;[London]" c="Eastham Workplace">
                <p n="[Local Organisation].[CAB].[Bureau].&amp;[East End (Hackney) CAB]&amp;[East End (member)]&amp;[London]"/>
                <p n="[Local Organisation].[CAB].[Member].&amp;[East End (member)]&amp;[London]"/>
                <p n="[Local Organisation].[CAB].[Government Region].&amp;[London]"/>
              </i>
              <i n="[Local Organisation].[CAB].[Outreach].&amp;[East End (Hackney) CAB]&amp;[Enfield Pension Wise]&amp;[East End (member)]&amp;[London]" c="Enfield Pension Wise">
                <p n="[Local Organisation].[CAB].[Bureau].&amp;[East End (Hackney) CAB]&amp;[East End (member)]&amp;[London]"/>
                <p n="[Local Organisation].[CAB].[Member].&amp;[East End (member)]&amp;[London]"/>
                <p n="[Local Organisation].[CAB].[Government Region].&amp;[London]"/>
              </i>
              <i n="[Local Organisation].[CAB].[Outreach].&amp;[East End (Hackney) CAB]&amp;[Gainsborough CC]&amp;[East End (member)]&amp;[London]" c="Gainsborough CC">
                <p n="[Local Organisation].[CAB].[Bureau].&amp;[East End (Hackney) CAB]&amp;[East End (member)]&amp;[London]"/>
                <p n="[Local Organisation].[CAB].[Member].&amp;[East End (member)]&amp;[London]"/>
                <p n="[Local Organisation].[CAB].[Government Region].&amp;[London]"/>
              </i>
              <i n="[Local Organisation].[CAB].[Outreach].&amp;[East End (Hackney) CAB]&amp;[Haringey CAB (Tottenham) pension Wise]&amp;[East End (member)]&amp;[London]" c="Haringey CAB (Tottenham) pension Wise">
                <p n="[Local Organisation].[CAB].[Bureau].&amp;[East End (Hackney) CAB]&amp;[East End (member)]&amp;[London]"/>
                <p n="[Local Organisation].[CAB].[Member].&amp;[East End (member)]&amp;[London]"/>
                <p n="[Local Organisation].[CAB].[Government Region].&amp;[London]"/>
              </i>
              <i n="[Local Organisation].[CAB].[Outreach].&amp;[East End (Hackney) CAB]&amp;[L &amp; Q Mare street]&amp;[East End (member)]&amp;[London]" c="L &amp; Q Mare street">
                <p n="[Local Organisation].[CAB].[Bureau].&amp;[East End (Hackney) CAB]&amp;[East End (member)]&amp;[London]"/>
                <p n="[Local Organisation].[CAB].[Member].&amp;[East End (member)]&amp;[London]"/>
                <p n="[Local Organisation].[CAB].[Government Region].&amp;[London]"/>
              </i>
              <i n="[Local Organisation].[CAB].[Outreach].&amp;[East End (Hackney) CAB]&amp;[L &amp; Q Newham]&amp;[East End (member)]&amp;[London]" c="L &amp; Q Newham">
                <p n="[Local Organisation].[CAB].[Bureau].&amp;[East End (Hackney) CAB]&amp;[East End (member)]&amp;[London]"/>
                <p n="[Local Organisation].[CAB].[Member].&amp;[East End (member)]&amp;[London]"/>
                <p n="[Local Organisation].[CAB].[Government Region].&amp;[London]"/>
              </i>
              <i n="[Local Organisation].[CAB].[Outreach].&amp;[East End (Hackney) CAB]&amp;[Lifeline]&amp;[East End (member)]&amp;[London]" c="Lifeline">
                <p n="[Local Organisation].[CAB].[Bureau].&amp;[East End (Hackney) CAB]&amp;[East End (member)]&amp;[London]"/>
                <p n="[Local Organisation].[CAB].[Member].&amp;[East End (member)]&amp;[London]"/>
                <p n="[Local Organisation].[CAB].[Government Region].&amp;[London]"/>
              </i>
              <i n="[Local Organisation].[CAB].[Outreach].&amp;[East End (Hackney) CAB]&amp;[London Fields HC]&amp;[East End (member)]&amp;[London]" c="London Fields HC">
                <p n="[Local Organisation].[CAB].[Bureau].&amp;[East End (Hackney) CAB]&amp;[East End (member)]&amp;[London]"/>
                <p n="[Local Organisation].[CAB].[Member].&amp;[East End (member)]&amp;[London]"/>
                <p n="[Local Organisation].[CAB].[Government Region].&amp;[London]"/>
              </i>
              <i n="[Local Organisation].[CAB].[Outreach].&amp;[East End (Hackney) CAB]&amp;[Lower Clapton HC]&amp;[East End (member)]&amp;[London]" c="Lower Clapton HC">
                <p n="[Local Organisation].[CAB].[Bureau].&amp;[East End (Hackney) CAB]&amp;[East End (member)]&amp;[London]"/>
                <p n="[Local Organisation].[CAB].[Member].&amp;[East End (member)]&amp;[London]"/>
                <p n="[Local Organisation].[CAB].[Government Region].&amp;[London]"/>
              </i>
              <i n="[Local Organisation].[CAB].[Outreach].&amp;[East End (Hackney) CAB]&amp;[Mapledene]&amp;[East End (member)]&amp;[London]" c="Mapledene">
                <p n="[Local Organisation].[CAB].[Bureau].&amp;[East End (Hackney) CAB]&amp;[East End (member)]&amp;[London]"/>
                <p n="[Local Organisation].[CAB].[Member].&amp;[East End (member)]&amp;[London]"/>
                <p n="[Local Organisation].[CAB].[Government Region].&amp;[London]"/>
              </i>
              <i n="[Local Organisation].[CAB].[Outreach].&amp;[East End (Hackney) CAB]&amp;[Newham Freemason Rd Pension Wise]&amp;[East End (member)]&amp;[London]" c="Newham Freemason Rd Pension Wise">
                <p n="[Local Organisation].[CAB].[Bureau].&amp;[East End (Hackney) CAB]&amp;[East End (member)]&amp;[London]"/>
                <p n="[Local Organisation].[CAB].[Member].&amp;[East End (member)]&amp;[London]"/>
                <p n="[Local Organisation].[CAB].[Government Region].&amp;[London]"/>
              </i>
              <i n="[Local Organisation].[CAB].[Outreach].&amp;[East End (Hackney) CAB]&amp;[Not recorded/not applicable]&amp;[East End (member)]&amp;[London]" c="Not recorded/not applicable">
                <p n="[Local Organisation].[CAB].[Bureau].&amp;[East End (Hackney) CAB]&amp;[East End (member)]&amp;[London]"/>
                <p n="[Local Organisation].[CAB].[Member].&amp;[East End (member)]&amp;[London]"/>
                <p n="[Local Organisation].[CAB].[Government Region].&amp;[London]"/>
              </i>
              <i n="[Local Organisation].[CAB].[Outreach].&amp;[East End (Hackney) CAB]&amp;[Sebright CC]&amp;[East End (member)]&amp;[London]" c="Sebright CC">
                <p n="[Local Organisation].[CAB].[Bureau].&amp;[East End (Hackney) CAB]&amp;[East End (member)]&amp;[London]"/>
                <p n="[Local Organisation].[CAB].[Member].&amp;[East End (member)]&amp;[London]"/>
                <p n="[Local Organisation].[CAB].[Government Region].&amp;[London]"/>
              </i>
              <i n="[Local Organisation].[CAB].[Outreach].&amp;[East End (Hackney) CAB]&amp;[Sommerford Grove HC]&amp;[East End (member)]&amp;[London]" c="Sommerford Grove HC">
                <p n="[Local Organisation].[CAB].[Bureau].&amp;[East End (Hackney) CAB]&amp;[East End (member)]&amp;[London]"/>
                <p n="[Local Organisation].[CAB].[Member].&amp;[East End (member)]&amp;[London]"/>
                <p n="[Local Organisation].[CAB].[Government Region].&amp;[London]"/>
              </i>
              <i n="[Local Organisation].[CAB].[Outreach].&amp;[East End (Hackney) CAB]&amp;[Stratford Workplace]&amp;[East End (member)]&amp;[London]" c="Stratford Workplace">
                <p n="[Local Organisation].[CAB].[Bureau].&amp;[East End (Hackney) CAB]&amp;[East End (member)]&amp;[London]"/>
                <p n="[Local Organisation].[CAB].[Member].&amp;[East End (member)]&amp;[London]"/>
                <p n="[Local Organisation].[CAB].[Government Region].&amp;[London]"/>
              </i>
              <i n="[Local Organisation].[CAB].[Outreach].&amp;[East End (Hackney) CAB]&amp;[TH or Parents Advice Pension Wise]&amp;[East End (member)]&amp;[London]" c="TH or Parents Advice Pension Wise">
                <p n="[Local Organisation].[CAB].[Bureau].&amp;[East End (Hackney) CAB]&amp;[East End (member)]&amp;[London]"/>
                <p n="[Local Organisation].[CAB].[Member].&amp;[East End (member)]&amp;[London]"/>
                <p n="[Local Organisation].[CAB].[Government Region].&amp;[London]"/>
              </i>
              <i n="[Local Organisation].[CAB].[Outreach].&amp;[East End (Hackney) CAB]&amp;[Tyssen CC]&amp;[East End (member)]&amp;[London]" c="Tyssen CC">
                <p n="[Local Organisation].[CAB].[Bureau].&amp;[East End (Hackney) CAB]&amp;[East End (member)]&amp;[London]"/>
                <p n="[Local Organisation].[CAB].[Member].&amp;[East End (member)]&amp;[London]"/>
                <p n="[Local Organisation].[CAB].[Government Region].&amp;[London]"/>
              </i>
              <i n="[Local Organisation].[CAB].[Outreach].&amp;[East End (Hackney) CAB]&amp;[Well Street HC]&amp;[East End (member)]&amp;[London]" c="Well Street HC">
                <p n="[Local Organisation].[CAB].[Bureau].&amp;[East End (Hackney) CAB]&amp;[East End (member)]&amp;[London]"/>
                <p n="[Local Organisation].[CAB].[Member].&amp;[East End (member)]&amp;[London]"/>
                <p n="[Local Organisation].[CAB].[Government Region].&amp;[London]"/>
              </i>
              <i n="[Local Organisation].[CAB].[Outreach].&amp;[East End (Hackney) CAB]&amp;[Woodberry down CC]&amp;[East End (member)]&amp;[London]" c="Woodberry down CC">
                <p n="[Local Organisation].[CAB].[Bureau].&amp;[East End (Hackney) CAB]&amp;[East End (member)]&amp;[London]"/>
                <p n="[Local Organisation].[CAB].[Member].&amp;[East End (member)]&amp;[London]"/>
                <p n="[Local Organisation].[CAB].[Government Region].&amp;[London]"/>
              </i>
              <i n="[Local Organisation].[CAB].[Outreach].&amp;[East End (Newham) CAB]&amp;[Forest Gate- ASTF]&amp;[East End (member)]&amp;[London]" c="Forest Gate- ASTF">
                <p n="[Local Organisation].[CAB].[Bureau].&amp;[East End (Newham) CAB]&amp;[East End (member)]&amp;[London]"/>
                <p n="[Local Organisation].[CAB].[Member].&amp;[East End (member)]&amp;[London]"/>
                <p n="[Local Organisation].[CAB].[Government Region].&amp;[London]"/>
              </i>
              <i n="[Local Organisation].[CAB].[Outreach].&amp;[East End (Newham) CAB]&amp;[Freemasons Road (ASTF)]&amp;[East End (member)]&amp;[London]" c="Freemasons Road (ASTF)">
                <p n="[Local Organisation].[CAB].[Bureau].&amp;[East End (Newham) CAB]&amp;[East End (member)]&amp;[London]"/>
                <p n="[Local Organisation].[CAB].[Member].&amp;[East End (member)]&amp;[London]"/>
                <p n="[Local Organisation].[CAB].[Government Region].&amp;[London]"/>
              </i>
              <i n="[Local Organisation].[CAB].[Outreach].&amp;[East End (Newham) CAB]&amp;[NHS Transitional project-Manor Park]&amp;[East End (member)]&amp;[London]" c="NHS Transitional project-Manor Park">
                <p n="[Local Organisation].[CAB].[Bureau].&amp;[East End (Newham) CAB]&amp;[East End (member)]&amp;[London]"/>
                <p n="[Local Organisation].[CAB].[Member].&amp;[East End (member)]&amp;[London]"/>
                <p n="[Local Organisation].[CAB].[Government Region].&amp;[London]"/>
              </i>
              <i n="[Local Organisation].[CAB].[Outreach].&amp;[East End (Newham) CAB]&amp;[NHS Transitional project-Vicarage]&amp;[East End (member)]&amp;[London]" c="NHS Transitional project-Vicarage">
                <p n="[Local Organisation].[CAB].[Bureau].&amp;[East End (Newham) CAB]&amp;[East End (member)]&amp;[London]"/>
                <p n="[Local Organisation].[CAB].[Member].&amp;[East End (member)]&amp;[London]"/>
                <p n="[Local Organisation].[CAB].[Government Region].&amp;[London]"/>
              </i>
              <i n="[Local Organisation].[CAB].[Outreach].&amp;[East End (Newham) CAB]&amp;[Not recorded/not applicable]&amp;[East End (member)]&amp;[London]" c="Not recorded/not applicable">
                <p n="[Local Organisation].[CAB].[Bureau].&amp;[East End (Newham) CAB]&amp;[East End (member)]&amp;[London]"/>
                <p n="[Local Organisation].[CAB].[Member].&amp;[East End (member)]&amp;[London]"/>
                <p n="[Local Organisation].[CAB].[Government Region].&amp;[London]"/>
              </i>
              <i n="[Local Organisation].[CAB].[Outreach].&amp;[East End (Tower Hamlets) CAB]&amp;[Albion HC]&amp;[East End (member)]&amp;[London]" c="Albion HC">
                <p n="[Local Organisation].[CAB].[Bureau].&amp;[East End (Tower Hamlets) CAB]&amp;[East End (member)]&amp;[London]"/>
                <p n="[Local Organisation].[CAB].[Member].&amp;[East End (member)]&amp;[London]"/>
                <p n="[Local Organisation].[CAB].[Government Region].&amp;[London]"/>
              </i>
              <i n="[Local Organisation].[CAB].[Outreach].&amp;[East End (Tower Hamlets) CAB]&amp;[CTM Mile End Hosp]&amp;[East End (member)]&amp;[London]" c="CTM Mile End Hosp">
                <p n="[Local Organisation].[CAB].[Bureau].&amp;[East End (Tower Hamlets) CAB]&amp;[East End (member)]&amp;[London]"/>
                <p n="[Local Organisation].[CAB].[Member].&amp;[East End (member)]&amp;[London]"/>
                <p n="[Local Organisation].[CAB].[Government Region].&amp;[London]"/>
              </i>
              <i n="[Local Organisation].[CAB].[Outreach].&amp;[East End (Tower Hamlets) CAB]&amp;[CTM-Home visit]&amp;[East End (member)]&amp;[London]" c="CTM-Home visit">
                <p n="[Local Organisation].[CAB].[Bureau].&amp;[East End (Tower Hamlets) CAB]&amp;[East End (member)]&amp;[London]"/>
                <p n="[Local Organisation].[CAB].[Member].&amp;[East End (member)]&amp;[London]"/>
                <p n="[Local Organisation].[CAB].[Government Region].&amp;[London]"/>
              </i>
              <i n="[Local Organisation].[CAB].[Outreach].&amp;[East End (Tower Hamlets) CAB]&amp;[CTM-Ocean]&amp;[East End (member)]&amp;[London]" c="CTM-Ocean">
                <p n="[Local Organisation].[CAB].[Bureau].&amp;[East End (Tower Hamlets) CAB]&amp;[East End (member)]&amp;[London]"/>
                <p n="[Local Organisation].[CAB].[Member].&amp;[East End (member)]&amp;[London]"/>
                <p n="[Local Organisation].[CAB].[Government Region].&amp;[London]"/>
              </i>
              <i n="[Local Organisation].[CAB].[Outreach].&amp;[East End (Tower Hamlets) CAB]&amp;[Idea Store-Chrisp Street Mkt]&amp;[East End (member)]&amp;[London]" c="Idea Store-Chrisp Street Mkt">
                <p n="[Local Organisation].[CAB].[Bureau].&amp;[East End (Tower Hamlets) CAB]&amp;[East End (member)]&amp;[London]"/>
                <p n="[Local Organisation].[CAB].[Member].&amp;[East End (member)]&amp;[London]"/>
                <p n="[Local Organisation].[CAB].[Government Region].&amp;[London]"/>
              </i>
              <i n="[Local Organisation].[CAB].[Outreach].&amp;[East End (Tower Hamlets) CAB]&amp;[LAP2 - Greatorex Street]&amp;[East End (member)]&amp;[London]" c="LAP2 - Greatorex Street">
                <p n="[Local Organisation].[CAB].[Bureau].&amp;[East End (Tower Hamlets) CAB]&amp;[East End (member)]&amp;[London]"/>
                <p n="[Local Organisation].[CAB].[Member].&amp;[East End (member)]&amp;[London]"/>
                <p n="[Local Organisation].[CAB].[Government Region].&amp;[London]"/>
              </i>
              <i n="[Local Organisation].[CAB].[Outreach].&amp;[East End (Tower Hamlets) CAB]&amp;[LAP2 - PAC]&amp;[East End (member)]&amp;[London]" c="LAP2 - PAC">
                <p n="[Local Organisation].[CAB].[Bureau].&amp;[East End (Tower Hamlets) CAB]&amp;[East End (member)]&amp;[London]"/>
                <p n="[Local Organisation].[CAB].[Member].&amp;[East End (member)]&amp;[London]"/>
                <p n="[Local Organisation].[CAB].[Government Region].&amp;[London]"/>
              </i>
              <i n="[Local Organisation].[CAB].[Outreach].&amp;[East End (Tower Hamlets) CAB]&amp;[Not recorded/not applicable]&amp;[East End (member)]&amp;[London]" c="Not recorded/not applicable">
                <p n="[Local Organisation].[CAB].[Bureau].&amp;[East End (Tower Hamlets) CAB]&amp;[East End (member)]&amp;[London]"/>
                <p n="[Local Organisation].[CAB].[Member].&amp;[East End (member)]&amp;[London]"/>
                <p n="[Local Organisation].[CAB].[Government Region].&amp;[London]"/>
              </i>
              <i n="[Local Organisation].[CAB].[Outreach].&amp;[East End (Tower Hamlets) CAB]&amp;[PAC]&amp;[East End (member)]&amp;[London]" c="PAC">
                <p n="[Local Organisation].[CAB].[Bureau].&amp;[East End (Tower Hamlets) CAB]&amp;[East End (member)]&amp;[London]"/>
                <p n="[Local Organisation].[CAB].[Member].&amp;[East End (member)]&amp;[London]"/>
                <p n="[Local Organisation].[CAB].[Government Region].&amp;[London]"/>
              </i>
              <i n="[Local Organisation].[CAB].[Outreach].&amp;[East End (Tower Hamlets) CAB]&amp;[Royal London hospital]&amp;[East End (member)]&amp;[London]" c="Royal London hospital">
                <p n="[Local Organisation].[CAB].[Bureau].&amp;[East End (Tower Hamlets) CAB]&amp;[East End (member)]&amp;[London]"/>
                <p n="[Local Organisation].[CAB].[Member].&amp;[East End (member)]&amp;[London]"/>
                <p n="[Local Organisation].[CAB].[Government Region].&amp;[London]"/>
              </i>
              <i n="[Local Organisation].[CAB].[Outreach].&amp;[East End (Tower Hamlets) CAB]&amp;[St Stephens HC]&amp;[East End (member)]&amp;[London]" c="St Stephens HC">
                <p n="[Local Organisation].[CAB].[Bureau].&amp;[East End (Tower Hamlets) CAB]&amp;[East End (member)]&amp;[London]"/>
                <p n="[Local Organisation].[CAB].[Member].&amp;[East End (member)]&amp;[London]"/>
                <p n="[Local Organisation].[CAB].[Government Region].&amp;[London]"/>
              </i>
              <i n="[Local Organisation].[CAB].[Outreach].&amp;[East End (Tower Hamlets) CAB]&amp;[Tower Hamlets - Bureau]&amp;[East End (member)]&amp;[London]" c="Tower Hamlets - Bureau">
                <p n="[Local Organisation].[CAB].[Bureau].&amp;[East End (Tower Hamlets) CAB]&amp;[East End (member)]&amp;[London]"/>
                <p n="[Local Organisation].[CAB].[Member].&amp;[East End (member)]&amp;[London]"/>
                <p n="[Local Organisation].[CAB].[Government Region].&amp;[London]"/>
              </i>
              <i n="[Local Organisation].[CAB].[Outreach].&amp;[East End (Tower Hamlets) CAB]&amp;[Wapping HC]&amp;[East End (member)]&amp;[London]" c="Wapping HC">
                <p n="[Local Organisation].[CAB].[Bureau].&amp;[East End (Tower Hamlets) CAB]&amp;[East End (member)]&amp;[London]"/>
                <p n="[Local Organisation].[CAB].[Member].&amp;[East End (member)]&amp;[London]"/>
                <p n="[Local Organisation].[CAB].[Government Region].&amp;[London]"/>
              </i>
              <i n="[Local Organisation].[CAB].[Outreach].&amp;[East End (Tower Hamlets) CAB]&amp;[Watney Market]&amp;[East End (member)]&amp;[London]" c="Watney Market">
                <p n="[Local Organisation].[CAB].[Bureau].&amp;[East End (Tower Hamlets) CAB]&amp;[East End (member)]&amp;[London]"/>
                <p n="[Local Organisation].[CAB].[Member].&amp;[East End (member)]&amp;[London]"/>
                <p n="[Local Organisation].[CAB].[Government Region].&amp;[London]"/>
              </i>
              <i n="[Local Organisation].[CAB].[Outreach].&amp;[East End (Tower Hamlets) CAB]&amp;[XX Place surgery]&amp;[East End (member)]&amp;[London]" c="XX Place surgery">
                <p n="[Local Organisation].[CAB].[Bureau].&amp;[East End (Tower Hamlets) CAB]&amp;[East End (member)]&amp;[London]"/>
                <p n="[Local Organisation].[CAB].[Member].&amp;[East End (member)]&amp;[London]"/>
                <p n="[Local Organisation].[CAB].[Government Region].&amp;[London]"/>
              </i>
              <i n="[Local Organisation].[CAB].[Outreach].&amp;[Enfield CAB]&amp;[Enfield - Alexander Pringle Centre]&amp;[Enfield (member)]&amp;[London]" c="Enfield - Alexander Pringle Centre">
                <p n="[Local Organisation].[CAB].[Bureau].&amp;[Enfield CAB]&amp;[Enfield (member)]&amp;[London]"/>
                <p n="[Local Organisation].[CAB].[Member].&amp;[Enfield (member)]&amp;[London]"/>
                <p n="[Local Organisation].[CAB].[Government Region].&amp;[London]"/>
              </i>
              <i n="[Local Organisation].[CAB].[Outreach].&amp;[Enfield CAB]&amp;[Enfield - Alma Road]&amp;[Enfield (member)]&amp;[London]" c="Enfield - Alma Road">
                <p n="[Local Organisation].[CAB].[Bureau].&amp;[Enfield CAB]&amp;[Enfield (member)]&amp;[London]"/>
                <p n="[Local Organisation].[CAB].[Member].&amp;[Enfield (member)]&amp;[London]"/>
                <p n="[Local Organisation].[CAB].[Government Region].&amp;[London]"/>
              </i>
              <i n="[Local Organisation].[CAB].[Outreach].&amp;[Enfield CAB]&amp;[Enfield - Alma Road at VH]&amp;[Enfield (member)]&amp;[London]" c="Enfield - Alma Road at VH">
                <p n="[Local Organisation].[CAB].[Bureau].&amp;[Enfield CAB]&amp;[Enfield (member)]&amp;[London]"/>
                <p n="[Local Organisation].[CAB].[Member].&amp;[Enfield (member)]&amp;[London]"/>
                <p n="[Local Organisation].[CAB].[Government Region].&amp;[London]"/>
              </i>
              <i n="[Local Organisation].[CAB].[Outreach].&amp;[Enfield CAB]&amp;[Enfield - Angel Community Centre]&amp;[Enfield (member)]&amp;[London]" c="Enfield - Angel Community Centre">
                <p n="[Local Organisation].[CAB].[Bureau].&amp;[Enfield CAB]&amp;[Enfield (member)]&amp;[London]"/>
                <p n="[Local Organisation].[CAB].[Member].&amp;[Enfield (member)]&amp;[London]"/>
                <p n="[Local Organisation].[CAB].[Government Region].&amp;[London]"/>
              </i>
              <i n="[Local Organisation].[CAB].[Outreach].&amp;[Enfield CAB]&amp;[Enfield - Angel Raynham Children's Centre]&amp;[Enfield (member)]&amp;[London]" c="Enfield - Angel Raynham Children's Centre">
                <p n="[Local Organisation].[CAB].[Bureau].&amp;[Enfield CAB]&amp;[Enfield (member)]&amp;[London]"/>
                <p n="[Local Organisation].[CAB].[Member].&amp;[Enfield (member)]&amp;[London]"/>
                <p n="[Local Organisation].[CAB].[Government Region].&amp;[London]"/>
              </i>
              <i n="[Local Organisation].[CAB].[Outreach].&amp;[Enfield CAB]&amp;[Enfield - Carterhatch Children's Centre]&amp;[Enfield (member)]&amp;[London]" c="Enfield - Carterhatch Children's Centre">
                <p n="[Local Organisation].[CAB].[Bureau].&amp;[Enfield CAB]&amp;[Enfield (member)]&amp;[London]"/>
                <p n="[Local Organisation].[CAB].[Member].&amp;[Enfield (member)]&amp;[London]"/>
                <p n="[Local Organisation].[CAB].[Government Region].&amp;[London]"/>
              </i>
              <i n="[Local Organisation].[CAB].[Outreach].&amp;[Enfield CAB]&amp;[Enfield - Carterhatch School at VH]&amp;[Enfield (member)]&amp;[London]" c="Enfield - Carterhatch School at VH">
                <p n="[Local Organisation].[CAB].[Bureau].&amp;[Enfield CAB]&amp;[Enfield (member)]&amp;[London]"/>
                <p n="[Local Organisation].[CAB].[Member].&amp;[Enfield (member)]&amp;[London]"/>
                <p n="[Local Organisation].[CAB].[Government Region].&amp;[London]"/>
              </i>
              <i n="[Local Organisation].[CAB].[Outreach].&amp;[Enfield CAB]&amp;[Enfield - Catalyst at VH]&amp;[Enfield (member)]&amp;[London]" c="Enfield - Catalyst at VH">
                <p n="[Local Organisation].[CAB].[Bureau].&amp;[Enfield CAB]&amp;[Enfield (member)]&amp;[London]"/>
                <p n="[Local Organisation].[CAB].[Member].&amp;[Enfield (member)]&amp;[London]"/>
                <p n="[Local Organisation].[CAB].[Government Region].&amp;[London]"/>
              </i>
              <i n="[Local Organisation].[CAB].[Outreach].&amp;[Enfield CAB]&amp;[Enfield - Catalyst Chase Farm]&amp;[Enfield (member)]&amp;[London]" c="Enfield - Catalyst Chase Farm">
                <p n="[Local Organisation].[CAB].[Bureau].&amp;[Enfield CAB]&amp;[Enfield (member)]&amp;[London]"/>
                <p n="[Local Organisation].[CAB].[Member].&amp;[Enfield (member)]&amp;[London]"/>
                <p n="[Local Organisation].[CAB].[Government Region].&amp;[London]"/>
              </i>
              <i n="[Local Organisation].[CAB].[Outreach].&amp;[Enfield CAB]&amp;[Enfield - Catalyst Home Visit]&amp;[Enfield (member)]&amp;[London]" c="Enfield - Catalyst Home Visit">
                <p n="[Local Organisation].[CAB].[Bureau].&amp;[Enfield CAB]&amp;[Enfield (member)]&amp;[London]"/>
                <p n="[Local Organisation].[CAB].[Member].&amp;[Enfield (member)]&amp;[London]"/>
                <p n="[Local Organisation].[CAB].[Government Region].&amp;[London]"/>
              </i>
              <i n="[Local Organisation].[CAB].[Outreach].&amp;[Enfield CAB]&amp;[Enfield - CC WR &amp; Debt VH]&amp;[Enfield (member)]&amp;[London]" c="Enfield - CC WR &amp; Debt VH">
                <p n="[Local Organisation].[CAB].[Bureau].&amp;[Enfield CAB]&amp;[Enfield (member)]&amp;[London]"/>
                <p n="[Local Organisation].[CAB].[Member].&amp;[Enfield (member)]&amp;[London]"/>
                <p n="[Local Organisation].[CAB].[Government Region].&amp;[London]"/>
              </i>
              <i n="[Local Organisation].[CAB].[Outreach].&amp;[Enfield CAB]&amp;[Enfield - CCE at Vincent House]&amp;[Enfield (member)]&amp;[London]" c="Enfield - CCE at Vincent House">
                <p n="[Local Organisation].[CAB].[Bureau].&amp;[Enfield CAB]&amp;[Enfield (member)]&amp;[London]"/>
                <p n="[Local Organisation].[CAB].[Member].&amp;[Enfield (member)]&amp;[London]"/>
                <p n="[Local Organisation].[CAB].[Government Region].&amp;[London]"/>
              </i>
              <i n="[Local Organisation].[CAB].[Outreach].&amp;[Enfield CAB]&amp;[Enfield - Christian Action]&amp;[Enfield (member)]&amp;[London]" c="Enfield - Christian Action">
                <p n="[Local Organisation].[CAB].[Bureau].&amp;[Enfield CAB]&amp;[Enfield (member)]&amp;[London]"/>
                <p n="[Local Organisation].[CAB].[Member].&amp;[Enfield (member)]&amp;[London]"/>
                <p n="[Local Organisation].[CAB].[Government Region].&amp;[London]"/>
              </i>
              <i n="[Local Organisation].[CAB].[Outreach].&amp;[Enfield CAB]&amp;[Enfield - Christian Action at Vincent House]&amp;[Enfield (member)]&amp;[London]" c="Enfield - Christian Action at Vincent House">
                <p n="[Local Organisation].[CAB].[Bureau].&amp;[Enfield CAB]&amp;[Enfield (member)]&amp;[London]"/>
                <p n="[Local Organisation].[CAB].[Member].&amp;[Enfield (member)]&amp;[London]"/>
                <p n="[Local Organisation].[CAB].[Government Region].&amp;[London]"/>
              </i>
              <i n="[Local Organisation].[CAB].[Outreach].&amp;[Enfield CAB]&amp;[Enfield - City Bridge Trust at Alma Road]&amp;[Enfield (member)]&amp;[London]" c="Enfield - City Bridge Trust at Alma Road">
                <p n="[Local Organisation].[CAB].[Bureau].&amp;[Enfield CAB]&amp;[Enfield (member)]&amp;[London]"/>
                <p n="[Local Organisation].[CAB].[Member].&amp;[Enfield (member)]&amp;[London]"/>
                <p n="[Local Organisation].[CAB].[Government Region].&amp;[London]"/>
              </i>
              <i n="[Local Organisation].[CAB].[Outreach].&amp;[Enfield CAB]&amp;[Enfield - City Bridge Trust at Dugdale Centre]&amp;[Enfield (member)]&amp;[London]" c="Enfield - City Bridge Trust at Dugdale Centre">
                <p n="[Local Organisation].[CAB].[Bureau].&amp;[Enfield CAB]&amp;[Enfield (member)]&amp;[London]"/>
                <p n="[Local Organisation].[CAB].[Member].&amp;[Enfield (member)]&amp;[London]"/>
                <p n="[Local Organisation].[CAB].[Government Region].&amp;[London]"/>
              </i>
              <i n="[Local Organisation].[CAB].[Outreach].&amp;[Enfield CAB]&amp;[Enfield - City Bridge Trust at Edmonton Green Library]&amp;[Enfield (member)]&amp;[London]" c="Enfield - City Bridge Trust at Edmonton Green Library">
                <p n="[Local Organisation].[CAB].[Bureau].&amp;[Enfield CAB]&amp;[Enfield (member)]&amp;[London]"/>
                <p n="[Local Organisation].[CAB].[Member].&amp;[Enfield (member)]&amp;[London]"/>
                <p n="[Local Organisation].[CAB].[Government Region].&amp;[London]"/>
              </i>
              <i n="[Local Organisation].[CAB].[Outreach].&amp;[Enfield CAB]&amp;[Enfield - City Bridge Trust at Other Outreach]&amp;[Enfield (member)]&amp;[London]" c="Enfield - City Bridge Trust at Other Outreach">
                <p n="[Local Organisation].[CAB].[Bureau].&amp;[Enfield CAB]&amp;[Enfield (member)]&amp;[London]"/>
                <p n="[Local Organisation].[CAB].[Member].&amp;[Enfield (member)]&amp;[London]"/>
                <p n="[Local Organisation].[CAB].[Government Region].&amp;[London]"/>
              </i>
              <i n="[Local Organisation].[CAB].[Outreach].&amp;[Enfield CAB]&amp;[Enfield - City Bridge Trust at VH]&amp;[Enfield (member)]&amp;[London]" c="Enfield - City Bridge Trust at VH">
                <p n="[Local Organisation].[CAB].[Bureau].&amp;[Enfield CAB]&amp;[Enfield (member)]&amp;[London]"/>
                <p n="[Local Organisation].[CAB].[Member].&amp;[Enfield (member)]&amp;[London]"/>
                <p n="[Local Organisation].[CAB].[Government Region].&amp;[London]"/>
              </i>
              <i n="[Local Organisation].[CAB].[Outreach].&amp;[Enfield CAB]&amp;[Enfield - Comic Relief at Foodbank]&amp;[Enfield (member)]&amp;[London]" c="Enfield - Comic Relief at Foodbank">
                <p n="[Local Organisation].[CAB].[Bureau].&amp;[Enfield CAB]&amp;[Enfield (member)]&amp;[London]"/>
                <p n="[Local Organisation].[CAB].[Member].&amp;[Enfield (member)]&amp;[London]"/>
                <p n="[Local Organisation].[CAB].[Government Region].&amp;[London]"/>
              </i>
              <i n="[Local Organisation].[CAB].[Outreach].&amp;[Enfield CAB]&amp;[Enfield - Comic Relief at VH]&amp;[Enfield (member)]&amp;[London]" c="Enfield - Comic Relief at VH">
                <p n="[Local Organisation].[CAB].[Bureau].&amp;[Enfield CAB]&amp;[Enfield (member)]&amp;[London]"/>
                <p n="[Local Organisation].[CAB].[Member].&amp;[Enfield (member)]&amp;[London]"/>
                <p n="[Local Organisation].[CAB].[Government Region].&amp;[London]"/>
              </i>
              <i n="[Local Organisation].[CAB].[Outreach].&amp;[Enfield CAB]&amp;[Enfield - Craig Park Children's Centre]&amp;[Enfield (member)]&amp;[London]" c="Enfield - Craig Park Children's Centre">
                <p n="[Local Organisation].[CAB].[Bureau].&amp;[Enfield CAB]&amp;[Enfield (member)]&amp;[London]"/>
                <p n="[Local Organisation].[CAB].[Member].&amp;[Enfield (member)]&amp;[London]"/>
                <p n="[Local Organisation].[CAB].[Government Region].&amp;[London]"/>
              </i>
              <i n="[Local Organisation].[CAB].[Outreach].&amp;[Enfield CAB]&amp;[Enfield - CSC at Vincent House]&amp;[Enfield (member)]&amp;[London]" c="Enfield - CSC at Vincent House">
                <p n="[Local Organisation].[CAB].[Bureau].&amp;[Enfield CAB]&amp;[Enfield (member)]&amp;[London]"/>
                <p n="[Local Organisation].[CAB].[Member].&amp;[Enfield (member)]&amp;[London]"/>
                <p n="[Local Organisation].[CAB].[Government Region].&amp;[London]"/>
              </i>
              <i n="[Local Organisation].[CAB].[Outreach].&amp;[Enfield CAB]&amp;[Enfield - De Bohun Hub]&amp;[Enfield (member)]&amp;[London]" c="Enfield - De Bohun Hub">
                <p n="[Local Organisation].[CAB].[Bureau].&amp;[Enfield CAB]&amp;[Enfield (member)]&amp;[London]"/>
                <p n="[Local Organisation].[CAB].[Member].&amp;[Enfield (member)]&amp;[London]"/>
                <p n="[Local Organisation].[CAB].[Government Region].&amp;[London]"/>
              </i>
              <i n="[Local Organisation].[CAB].[Outreach].&amp;[Enfield CAB]&amp;[Enfield - EAST at Vincent House]&amp;[Enfield (member)]&amp;[London]" c="Enfield - EAST at Vincent House">
                <p n="[Local Organisation].[CAB].[Bureau].&amp;[Enfield CAB]&amp;[Enfield (member)]&amp;[London]"/>
                <p n="[Local Organisation].[CAB].[Member].&amp;[Enfield (member)]&amp;[London]"/>
                <p n="[Local Organisation].[CAB].[Government Region].&amp;[London]"/>
              </i>
              <i n="[Local Organisation].[CAB].[Outreach].&amp;[Enfield CAB]&amp;[Enfield - Edmonton Green Children's Centre]&amp;[Enfield (member)]&amp;[London]" c="Enfield - Edmonton Green Children's Centre">
                <p n="[Local Organisation].[CAB].[Bureau].&amp;[Enfield CAB]&amp;[Enfield (member)]&amp;[London]"/>
                <p n="[Local Organisation].[CAB].[Member].&amp;[Enfield (member)]&amp;[London]"/>
                <p n="[Local Organisation].[CAB].[Government Region].&amp;[London]"/>
              </i>
              <i n="[Local Organisation].[CAB].[Outreach].&amp;[Enfield CAB]&amp;[Enfield - Edmonton Green Library]&amp;[Enfield (member)]&amp;[London]" c="Enfield - Edmonton Green Library">
                <p n="[Local Organisation].[CAB].[Bureau].&amp;[Enfield CAB]&amp;[Enfield (member)]&amp;[London]"/>
                <p n="[Local Organisation].[CAB].[Member].&amp;[Enfield (member)]&amp;[London]"/>
                <p n="[Local Organisation].[CAB].[Government Region].&amp;[London]"/>
              </i>
              <i n="[Local Organisation].[CAB].[Outreach].&amp;[Enfield CAB]&amp;[Enfield - Eldon Hub]&amp;[Enfield (member)]&amp;[London]" c="Enfield - Eldon Hub">
                <p n="[Local Organisation].[CAB].[Bureau].&amp;[Enfield CAB]&amp;[Enfield (member)]&amp;[London]"/>
                <p n="[Local Organisation].[CAB].[Member].&amp;[Enfield (member)]&amp;[London]"/>
                <p n="[Local Organisation].[CAB].[Government Region].&amp;[London]"/>
              </i>
              <i n="[Local Organisation].[CAB].[Outreach].&amp;[Enfield CAB]&amp;[Enfield - Enfield Gay Men's Group]&amp;[Enfield (member)]&amp;[London]" c="Enfield - Enfield Gay Men's Group">
                <p n="[Local Organisation].[CAB].[Bureau].&amp;[Enfield CAB]&amp;[Enfield (member)]&amp;[London]"/>
                <p n="[Local Organisation].[CAB].[Member].&amp;[Enfield (member)]&amp;[London]"/>
                <p n="[Local Organisation].[CAB].[Government Region].&amp;[London]"/>
              </i>
              <i n="[Local Organisation].[CAB].[Outreach].&amp;[Enfield CAB]&amp;[Enfield - Enfield Highway Library]&amp;[Enfield (member)]&amp;[London]" c="Enfield - Enfield Highway Library">
                <p n="[Local Organisation].[CAB].[Bureau].&amp;[Enfield CAB]&amp;[Enfield (member)]&amp;[London]"/>
                <p n="[Local Organisation].[CAB].[Member].&amp;[Enfield (member)]&amp;[London]"/>
                <p n="[Local Organisation].[CAB].[Government Region].&amp;[London]"/>
              </i>
              <i n="[Local Organisation].[CAB].[Outreach].&amp;[Enfield CAB]&amp;[Enfield - Galliard Children's Centre]&amp;[Enfield (member)]&amp;[London]" c="Enfield - Galliard Children's Centre">
                <p n="[Local Organisation].[CAB].[Bureau].&amp;[Enfield CAB]&amp;[Enfield (member)]&amp;[London]"/>
                <p n="[Local Organisation].[CAB].[Member].&amp;[Enfield (member)]&amp;[London]"/>
                <p n="[Local Organisation].[CAB].[Government Region].&amp;[London]"/>
              </i>
              <i n="[Local Organisation].[CAB].[Outreach].&amp;[Enfield CAB]&amp;[Enfield - Hazelbury North Hub]&amp;[Enfield (member)]&amp;[London]" c="Enfield - Hazelbury North Hub">
                <p n="[Local Organisation].[CAB].[Bureau].&amp;[Enfield CAB]&amp;[Enfield (member)]&amp;[London]"/>
                <p n="[Local Organisation].[CAB].[Member].&amp;[Enfield (member)]&amp;[London]"/>
                <p n="[Local Organisation].[CAB].[Government Region].&amp;[London]"/>
              </i>
              <i n="[Local Organisation].[CAB].[Outreach].&amp;[Enfield CAB]&amp;[Enfield - Hazelbury South Hub]&amp;[Enfield (member)]&amp;[London]" c="Enfield - Hazelbury South Hub">
                <p n="[Local Organisation].[CAB].[Bureau].&amp;[Enfield CAB]&amp;[Enfield (member)]&amp;[London]"/>
                <p n="[Local Organisation].[CAB].[Member].&amp;[Enfield (member)]&amp;[London]"/>
                <p n="[Local Organisation].[CAB].[Government Region].&amp;[London]"/>
              </i>
              <i n="[Local Organisation].[CAB].[Outreach].&amp;[Enfield CAB]&amp;[Enfield - HIV Vincent House]&amp;[Enfield (member)]&amp;[London]" c="Enfield - HIV Vincent House">
                <p n="[Local Organisation].[CAB].[Bureau].&amp;[Enfield CAB]&amp;[Enfield (member)]&amp;[London]"/>
                <p n="[Local Organisation].[CAB].[Member].&amp;[Enfield (member)]&amp;[London]"/>
                <p n="[Local Organisation].[CAB].[Government Region].&amp;[London]"/>
              </i>
              <i n="[Local Organisation].[CAB].[Outreach].&amp;[Enfield CAB]&amp;[Enfield - Lancaster Centre]&amp;[Enfield (member)]&amp;[London]" c="Enfield - Lancaster Centre">
                <p n="[Local Organisation].[CAB].[Bureau].&amp;[Enfield CAB]&amp;[Enfield (member)]&amp;[London]"/>
                <p n="[Local Organisation].[CAB].[Member].&amp;[Enfield (member)]&amp;[London]"/>
                <p n="[Local Organisation].[CAB].[Government Region].&amp;[London]"/>
              </i>
              <i n="[Local Organisation].[CAB].[Outreach].&amp;[Enfield CAB]&amp;[Enfield - Lancaster Centre at VH]&amp;[Enfield (member)]&amp;[London]" c="Enfield - Lancaster Centre at VH">
                <p n="[Local Organisation].[CAB].[Bureau].&amp;[Enfield CAB]&amp;[Enfield (member)]&amp;[London]"/>
                <p n="[Local Organisation].[CAB].[Member].&amp;[Enfield (member)]&amp;[London]"/>
                <p n="[Local Organisation].[CAB].[Government Region].&amp;[London]"/>
              </i>
              <i n="[Local Organisation].[CAB].[Outreach].&amp;[Enfield CAB]&amp;[Enfield - MOAC at Carterhatch CC]&amp;[Enfield (member)]&amp;[London]" c="Enfield - MOAC at Carterhatch CC">
                <p n="[Local Organisation].[CAB].[Bureau].&amp;[Enfield CAB]&amp;[Enfield (member)]&amp;[London]"/>
                <p n="[Local Organisation].[CAB].[Member].&amp;[Enfield (member)]&amp;[London]"/>
                <p n="[Local Organisation].[CAB].[Government Region].&amp;[London]"/>
              </i>
              <i n="[Local Organisation].[CAB].[Outreach].&amp;[Enfield CAB]&amp;[Enfield - MOAC at VH]&amp;[Enfield (member)]&amp;[London]" c="Enfield - MOAC at VH">
                <p n="[Local Organisation].[CAB].[Bureau].&amp;[Enfield CAB]&amp;[Enfield (member)]&amp;[London]"/>
                <p n="[Local Organisation].[CAB].[Member].&amp;[Enfield (member)]&amp;[London]"/>
                <p n="[Local Organisation].[CAB].[Government Region].&amp;[London]"/>
              </i>
              <i n="[Local Organisation].[CAB].[Outreach].&amp;[Enfield CAB]&amp;[Enfield - Ordnance Road Library]&amp;[Enfield (member)]&amp;[London]" c="Enfield - Ordnance Road Library">
                <p n="[Local Organisation].[CAB].[Bureau].&amp;[Enfield CAB]&amp;[Enfield (member)]&amp;[London]"/>
                <p n="[Local Organisation].[CAB].[Member].&amp;[Enfield (member)]&amp;[London]"/>
                <p n="[Local Organisation].[CAB].[Government Region].&amp;[London]"/>
              </i>
              <i n="[Local Organisation].[CAB].[Outreach].&amp;[Enfield CAB]&amp;[Enfield - Ordnance Road Library at VH]&amp;[Enfield (member)]&amp;[London]" c="Enfield - Ordnance Road Library at VH">
                <p n="[Local Organisation].[CAB].[Bureau].&amp;[Enfield CAB]&amp;[Enfield (member)]&amp;[London]"/>
                <p n="[Local Organisation].[CAB].[Member].&amp;[Enfield (member)]&amp;[London]"/>
                <p n="[Local Organisation].[CAB].[Government Region].&amp;[London]"/>
              </i>
              <i n="[Local Organisation].[CAB].[Outreach].&amp;[Enfield CAB]&amp;[Enfield - Over 50's Forum]&amp;[Enfield (member)]&amp;[London]" c="Enfield - Over 50's Forum">
                <p n="[Local Organisation].[CAB].[Bureau].&amp;[Enfield CAB]&amp;[Enfield (member)]&amp;[London]"/>
                <p n="[Local Organisation].[CAB].[Member].&amp;[Enfield (member)]&amp;[London]"/>
                <p n="[Local Organisation].[CAB].[Government Region].&amp;[London]"/>
              </i>
              <i n="[Local Organisation].[CAB].[Outreach].&amp;[Enfield CAB]&amp;[Enfield - Raynham Hub]&amp;[Enfield (member)]&amp;[London]" c="Enfield - Raynham Hub">
                <p n="[Local Organisation].[CAB].[Bureau].&amp;[Enfield CAB]&amp;[Enfield (member)]&amp;[London]"/>
                <p n="[Local Organisation].[CAB].[Member].&amp;[Enfield (member)]&amp;[London]"/>
                <p n="[Local Organisation].[CAB].[Government Region].&amp;[London]"/>
              </i>
              <i n="[Local Organisation].[CAB].[Outreach].&amp;[Enfield CAB]&amp;[Enfield - Thames Water Debt at Age UK]&amp;[Enfield (member)]&amp;[London]" c="Enfield - Thames Water Debt at Age UK">
                <p n="[Local Organisation].[CAB].[Bureau].&amp;[Enfield CAB]&amp;[Enfield (member)]&amp;[London]"/>
                <p n="[Local Organisation].[CAB].[Member].&amp;[Enfield (member)]&amp;[London]"/>
                <p n="[Local Organisation].[CAB].[Government Region].&amp;[London]"/>
              </i>
              <i n="[Local Organisation].[CAB].[Outreach].&amp;[Enfield CAB]&amp;[Enfield - Thames Water Debt at VH]&amp;[Enfield (member)]&amp;[London]" c="Enfield - Thames Water Debt at VH">
                <p n="[Local Organisation].[CAB].[Bureau].&amp;[Enfield CAB]&amp;[Enfield (member)]&amp;[London]"/>
                <p n="[Local Organisation].[CAB].[Member].&amp;[Enfield (member)]&amp;[London]"/>
                <p n="[Local Organisation].[CAB].[Government Region].&amp;[London]"/>
              </i>
              <i n="[Local Organisation].[CAB].[Outreach].&amp;[Enfield CAB]&amp;[Enfield - Umoja Group]&amp;[Enfield (member)]&amp;[London]" c="Enfield - Umoja Group">
                <p n="[Local Organisation].[CAB].[Bureau].&amp;[Enfield CAB]&amp;[Enfield (member)]&amp;[London]"/>
                <p n="[Local Organisation].[CAB].[Member].&amp;[Enfield (member)]&amp;[London]"/>
                <p n="[Local Organisation].[CAB].[Government Region].&amp;[London]"/>
              </i>
              <i n="[Local Organisation].[CAB].[Outreach].&amp;[Enfield CAB]&amp;[Enfield - WASH Vincent House]&amp;[Enfield (member)]&amp;[London]" c="Enfield - WASH Vincent House">
                <p n="[Local Organisation].[CAB].[Bureau].&amp;[Enfield CAB]&amp;[Enfield (member)]&amp;[London]"/>
                <p n="[Local Organisation].[CAB].[Member].&amp;[Enfield (member)]&amp;[London]"/>
                <p n="[Local Organisation].[CAB].[Government Region].&amp;[London]"/>
              </i>
              <i n="[Local Organisation].[CAB].[Outreach].&amp;[Enfield CAB]&amp;[Enfield - Westminster Drugs Project]&amp;[Enfield (member)]&amp;[London]" c="Enfield - Westminster Drugs Project">
                <p n="[Local Organisation].[CAB].[Bureau].&amp;[Enfield CAB]&amp;[Enfield (member)]&amp;[London]"/>
                <p n="[Local Organisation].[CAB].[Member].&amp;[Enfield (member)]&amp;[London]"/>
                <p n="[Local Organisation].[CAB].[Government Region].&amp;[London]"/>
              </i>
              <i n="[Local Organisation].[CAB].[Outreach].&amp;[Enfield CAB]&amp;[Enfield - Westminster Drugs Project at Vincent House]&amp;[Enfield (member)]&amp;[London]" c="Enfield - Westminster Drugs Project at Vincent House">
                <p n="[Local Organisation].[CAB].[Bureau].&amp;[Enfield CAB]&amp;[Enfield (member)]&amp;[London]"/>
                <p n="[Local Organisation].[CAB].[Member].&amp;[Enfield (member)]&amp;[London]"/>
                <p n="[Local Organisation].[CAB].[Government Region].&amp;[London]"/>
              </i>
              <i n="[Local Organisation].[CAB].[Outreach].&amp;[Enfield CAB]&amp;[Enfield - Wilbury School]&amp;[Enfield (member)]&amp;[London]" c="Enfield - Wilbury School">
                <p n="[Local Organisation].[CAB].[Bureau].&amp;[Enfield CAB]&amp;[Enfield (member)]&amp;[London]"/>
                <p n="[Local Organisation].[CAB].[Member].&amp;[Enfield (member)]&amp;[London]"/>
                <p n="[Local Organisation].[CAB].[Government Region].&amp;[London]"/>
              </i>
              <i n="[Local Organisation].[CAB].[Outreach].&amp;[Enfield CAB]&amp;[Enfield - Women's Project at VH]&amp;[Enfield (member)]&amp;[London]" c="Enfield - Women's Project at VH">
                <p n="[Local Organisation].[CAB].[Bureau].&amp;[Enfield CAB]&amp;[Enfield (member)]&amp;[London]"/>
                <p n="[Local Organisation].[CAB].[Member].&amp;[Enfield (member)]&amp;[London]"/>
                <p n="[Local Organisation].[CAB].[Government Region].&amp;[London]"/>
              </i>
              <i n="[Local Organisation].[CAB].[Outreach].&amp;[Enfield CAB]&amp;[Not recorded/not applicable]&amp;[Enfield (member)]&amp;[London]" c="Not recorded/not applicable">
                <p n="[Local Organisation].[CAB].[Bureau].&amp;[Enfield CAB]&amp;[Enfield (member)]&amp;[London]"/>
                <p n="[Local Organisation].[CAB].[Member].&amp;[Enfield (member)]&amp;[London]"/>
                <p n="[Local Organisation].[CAB].[Government Region].&amp;[London]"/>
              </i>
              <i n="[Local Organisation].[CAB].[Outreach].&amp;[Greenwich (MAS Centre)]&amp;[Not recorded/not applicable]&amp;[Greenwich District (member)]&amp;[London]" c="Not recorded/not applicable">
                <p n="[Local Organisation].[CAB].[Bureau].&amp;[Greenwich (MAS Centre)]&amp;[Greenwich District (member)]&amp;[London]"/>
                <p n="[Local Organisation].[CAB].[Member].&amp;[Greenwich District (member)]&amp;[London]"/>
                <p n="[Local Organisation].[CAB].[Government Region].&amp;[London]"/>
              </i>
              <i n="[Local Organisation].[CAB].[Outreach].&amp;[Greenwich (Seafarers Advice &amp; Information Line)]&amp;[Not recorded/not applicable]&amp;[Greenwich District (member)]&amp;[London]" c="Not recorded/not applicable">
                <p n="[Local Organisation].[CAB].[Bureau].&amp;[Greenwich (Seafarers Advice &amp; Information Line)]&amp;[Greenwich District (member)]&amp;[London]"/>
                <p n="[Local Organisation].[CAB].[Member].&amp;[Greenwich District (member)]&amp;[London]"/>
                <p n="[Local Organisation].[CAB].[Government Region].&amp;[London]"/>
              </i>
              <i n="[Local Organisation].[CAB].[Outreach].&amp;[Greenwich (Woolwich)]&amp;[DO NOT USE Greenwich Debt Mulberry Park Childrens Centre]&amp;[Greenwich District (member)]&amp;[London]" c="DO NOT USE Greenwich Debt Mulberry Park Childrens Centre">
                <p n="[Local Organisation].[CAB].[Bureau].&amp;[Greenwich (Woolwich)]&amp;[Greenwich District (member)]&amp;[London]"/>
                <p n="[Local Organisation].[CAB].[Member].&amp;[Greenwich District (member)]&amp;[London]"/>
                <p n="[Local Organisation].[CAB].[Government Region].&amp;[London]"/>
              </i>
              <i n="[Local Organisation].[CAB].[Outreach].&amp;[Greenwich (Woolwich)]&amp;[Greenwich Generalist Advice Fairfield Centre]&amp;[Greenwich District (member)]&amp;[London]" c="Greenwich Generalist Advice Fairfield Centre">
                <p n="[Local Organisation].[CAB].[Bureau].&amp;[Greenwich (Woolwich)]&amp;[Greenwich District (member)]&amp;[London]"/>
                <p n="[Local Organisation].[CAB].[Member].&amp;[Greenwich District (member)]&amp;[London]"/>
                <p n="[Local Organisation].[CAB].[Government Region].&amp;[London]"/>
              </i>
              <i n="[Local Organisation].[CAB].[Outreach].&amp;[Greenwich (Woolwich)]&amp;[Greenwich Generalist Advice Plumstead Library]&amp;[Greenwich District (member)]&amp;[London]" c="Greenwich Generalist Advice Plumstead Library">
                <p n="[Local Organisation].[CAB].[Bureau].&amp;[Greenwich (Woolwich)]&amp;[Greenwich District (member)]&amp;[London]"/>
                <p n="[Local Organisation].[CAB].[Member].&amp;[Greenwich District (member)]&amp;[London]"/>
                <p n="[Local Organisation].[CAB].[Government Region].&amp;[London]"/>
              </i>
              <i n="[Local Organisation].[CAB].[Outreach].&amp;[Greenwich (Woolwich)]&amp;[Greenwich Generalist Advice Vanbrugh Health Centre]&amp;[Greenwich District (member)]&amp;[London]" c="Greenwich Generalist Advice Vanbrugh Health Centre">
                <p n="[Local Organisation].[CAB].[Bureau].&amp;[Greenwich (Woolwich)]&amp;[Greenwich District (member)]&amp;[London]"/>
                <p n="[Local Organisation].[CAB].[Member].&amp;[Greenwich District (member)]&amp;[London]"/>
                <p n="[Local Organisation].[CAB].[Government Region].&amp;[London]"/>
              </i>
              <i n="[Local Organisation].[CAB].[Outreach].&amp;[Greenwich (Woolwich)]&amp;[Greenwich Robert Owen Early Years Centre]&amp;[Greenwich District (member)]&amp;[London]" c="Greenwich Robert Owen Early Years Centre">
                <p n="[Local Organisation].[CAB].[Bureau].&amp;[Greenwich (Woolwich)]&amp;[Greenwich District (member)]&amp;[London]"/>
                <p n="[Local Organisation].[CAB].[Member].&amp;[Greenwich District (member)]&amp;[London]"/>
                <p n="[Local Organisation].[CAB].[Government Region].&amp;[London]"/>
              </i>
              <i n="[Local Organisation].[CAB].[Outreach].&amp;[Greenwich (Woolwich)]&amp;[Not recorded/not applicable]&amp;[Greenwich District (member)]&amp;[London]" c="Not recorded/not applicable">
                <p n="[Local Organisation].[CAB].[Bureau].&amp;[Greenwich (Woolwich)]&amp;[Greenwich District (member)]&amp;[London]"/>
                <p n="[Local Organisation].[CAB].[Member].&amp;[Greenwich District (member)]&amp;[London]"/>
                <p n="[Local Organisation].[CAB].[Government Region].&amp;[London]"/>
              </i>
              <i n="[Local Organisation].[CAB].[Outreach].&amp;[Hammersmith &amp; Fulham Avonmore Library]&amp;[HIV Riverhouse]&amp;[Hammersmith &amp; Fulham (member)]&amp;[London]" c="HIV Riverhouse">
                <p n="[Local Organisation].[CAB].[Bureau].&amp;[Hammersmith &amp; Fulham Avonmore Library]&amp;[Hammersmith &amp; Fulham (member)]&amp;[London]"/>
                <p n="[Local Organisation].[CAB].[Member].&amp;[Hammersmith &amp; Fulham (member)]&amp;[London]"/>
                <p n="[Local Organisation].[CAB].[Government Region].&amp;[London]"/>
              </i>
              <i n="[Local Organisation].[CAB].[Outreach].&amp;[Hammersmith &amp; Fulham Avonmore Library]&amp;[Not recorded/not applicable]&amp;[Hammersmith &amp; Fulham (member)]&amp;[London]" c="Not recorded/not applicable">
                <p n="[Local Organisation].[CAB].[Bureau].&amp;[Hammersmith &amp; Fulham Avonmore Library]&amp;[Hammersmith &amp; Fulham (member)]&amp;[London]"/>
                <p n="[Local Organisation].[CAB].[Member].&amp;[Hammersmith &amp; Fulham (member)]&amp;[London]"/>
                <p n="[Local Organisation].[CAB].[Government Region].&amp;[London]"/>
              </i>
              <i n="[Local Organisation].[CAB].[Outreach].&amp;[Hammersmith &amp; Fulham Uxbridge Road]&amp;[Not recorded/not applicable]&amp;[Hammersmith &amp; Fulham (member)]&amp;[London]" c="Not recorded/not applicable">
                <p n="[Local Organisation].[CAB].[Bureau].&amp;[Hammersmith &amp; Fulham Uxbridge Road]&amp;[Hammersmith &amp; Fulham (member)]&amp;[London]"/>
                <p n="[Local Organisation].[CAB].[Member].&amp;[Hammersmith &amp; Fulham (member)]&amp;[London]"/>
                <p n="[Local Organisation].[CAB].[Government Region].&amp;[London]"/>
              </i>
              <i n="[Local Organisation].[CAB].[Outreach].&amp;[Tottenham Citizens Advice Bureau]&amp;[Not recorded/not applicable]&amp;[Haringey District (member)]&amp;[London]" c="Not recorded/not applicable">
                <p n="[Local Organisation].[CAB].[Bureau].&amp;[Tottenham Citizens Advice Bureau]&amp;[Haringey District (member)]&amp;[London]"/>
                <p n="[Local Organisation].[CAB].[Member].&amp;[Haringey District (member)]&amp;[London]"/>
                <p n="[Local Organisation].[CAB].[Government Region].&amp;[London]"/>
              </i>
              <i n="[Local Organisation].[CAB].[Outreach].&amp;[Turnpike Lane Citizens Advice Bureau]&amp;[Haringey - Bounds Green Health Centre]&amp;[Haringey District (member)]&amp;[London]" c="Haringey - Bounds Green Health Centr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Broadwater Farm Health Centre]&amp;[Haringey District (member)]&amp;[London]" c="Haringey - Broadwater Farm Health Centr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Campsbourne Children's Centre]&amp;[Haringey District (member)]&amp;[London]" c="Haringey - Campsbourne Children's Centr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HAGA (DAAT)]&amp;[Haringey District (member)]&amp;[London]" c="Haringey - HAGA (DAAT)">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HRS]&amp;[Haringey District (member)]&amp;[London]" c="Haringey - HRS">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Laurels Healthy Living Centre]&amp;[Haringey District (member)]&amp;[London]" c="Haringey - Laurels Healthy Living Centr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Noel Park Children's Centre]&amp;[Haringey District (member)]&amp;[London]" c="Haringey - Noel Park Children's Centr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Pembury Children's Centre]&amp;[Haringey District (member)]&amp;[London]" c="Haringey - Pembury Children's Centr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Queenswood Medical Practice]&amp;[Haringey District (member)]&amp;[London]" c="Haringey - Queenswood Medical Practic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Triangle Children's Centre]&amp;[Haringey District (member)]&amp;[London]" c="Haringey - Triangle Children's Centr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Tynemouth Road Health Centre]&amp;[Haringey District (member)]&amp;[London]" c="Haringey - Tynemouth Road Health Centr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Haringey - Woodlands Park Children's Centre]&amp;[Haringey District (member)]&amp;[London]" c="Haringey - Woodlands Park Children's Centre">
                <p n="[Local Organisation].[CAB].[Bureau].&amp;[Turnpike Lane Citizens Advice Bureau]&amp;[Haringey District (member)]&amp;[London]"/>
                <p n="[Local Organisation].[CAB].[Member].&amp;[Haringey District (member)]&amp;[London]"/>
                <p n="[Local Organisation].[CAB].[Government Region].&amp;[London]"/>
              </i>
              <i n="[Local Organisation].[CAB].[Outreach].&amp;[Turnpike Lane Citizens Advice Bureau]&amp;[Not recorded/not applicable]&amp;[Haringey District (member)]&amp;[London]" c="Not recorded/not applicable">
                <p n="[Local Organisation].[CAB].[Bureau].&amp;[Turnpike Lane Citizens Advice Bureau]&amp;[Haringey District (member)]&amp;[London]"/>
                <p n="[Local Organisation].[CAB].[Member].&amp;[Haringey District (member)]&amp;[London]"/>
                <p n="[Local Organisation].[CAB].[Government Region].&amp;[London]"/>
              </i>
              <i n="[Local Organisation].[CAB].[Outreach].&amp;[Harrow Citizens Advice Bureau]&amp;[Harrow - Home Visit]&amp;[Harrow (member)]&amp;[London]" c="Harrow - Home Visit">
                <p n="[Local Organisation].[CAB].[Bureau].&amp;[Harrow Citizens Advice Bureau]&amp;[Harrow (member)]&amp;[London]"/>
                <p n="[Local Organisation].[CAB].[Member].&amp;[Harrow (member)]&amp;[London]"/>
                <p n="[Local Organisation].[CAB].[Government Region].&amp;[London]"/>
              </i>
              <i n="[Local Organisation].[CAB].[Outreach].&amp;[Harrow Citizens Advice Bureau]&amp;[Harrow Catalyst-Brent]&amp;[Harrow (member)]&amp;[London]" c="Harrow Catalyst-Brent">
                <p n="[Local Organisation].[CAB].[Bureau].&amp;[Harrow Citizens Advice Bureau]&amp;[Harrow (member)]&amp;[London]"/>
                <p n="[Local Organisation].[CAB].[Member].&amp;[Harrow (member)]&amp;[London]"/>
                <p n="[Local Organisation].[CAB].[Government Region].&amp;[London]"/>
              </i>
              <i n="[Local Organisation].[CAB].[Outreach].&amp;[Harrow Citizens Advice Bureau]&amp;[Harrow Catalyst-Hillingdon]&amp;[Harrow (member)]&amp;[London]" c="Harrow Catalyst-Hillingdon">
                <p n="[Local Organisation].[CAB].[Bureau].&amp;[Harrow Citizens Advice Bureau]&amp;[Harrow (member)]&amp;[London]"/>
                <p n="[Local Organisation].[CAB].[Member].&amp;[Harrow (member)]&amp;[London]"/>
                <p n="[Local Organisation].[CAB].[Government Region].&amp;[London]"/>
              </i>
              <i n="[Local Organisation].[CAB].[Outreach].&amp;[Harrow Citizens Advice Bureau]&amp;[Harrow Cedars Children's Centre]&amp;[Harrow (member)]&amp;[London]" c="Harrow Cedars Children's Centre">
                <p n="[Local Organisation].[CAB].[Bureau].&amp;[Harrow Citizens Advice Bureau]&amp;[Harrow (member)]&amp;[London]"/>
                <p n="[Local Organisation].[CAB].[Member].&amp;[Harrow (member)]&amp;[London]"/>
                <p n="[Local Organisation].[CAB].[Government Region].&amp;[London]"/>
              </i>
              <i n="[Local Organisation].[CAB].[Outreach].&amp;[Harrow Citizens Advice Bureau]&amp;[Harrow Gange Children's Centre]&amp;[Harrow (member)]&amp;[London]" c="Harrow Gange Children's Centre">
                <p n="[Local Organisation].[CAB].[Bureau].&amp;[Harrow Citizens Advice Bureau]&amp;[Harrow (member)]&amp;[London]"/>
                <p n="[Local Organisation].[CAB].[Member].&amp;[Harrow (member)]&amp;[London]"/>
                <p n="[Local Organisation].[CAB].[Government Region].&amp;[London]"/>
              </i>
              <i n="[Local Organisation].[CAB].[Outreach].&amp;[Harrow Citizens Advice Bureau]&amp;[Harrow Hillview Children' s Centre]&amp;[Harrow (member)]&amp;[London]" c="Harrow Hillview Children' s Centre">
                <p n="[Local Organisation].[CAB].[Bureau].&amp;[Harrow Citizens Advice Bureau]&amp;[Harrow (member)]&amp;[London]"/>
                <p n="[Local Organisation].[CAB].[Member].&amp;[Harrow (member)]&amp;[London]"/>
                <p n="[Local Organisation].[CAB].[Government Region].&amp;[London]"/>
              </i>
              <i n="[Local Organisation].[CAB].[Outreach].&amp;[Harrow Citizens Advice Bureau]&amp;[Harrow Initial Check]&amp;[Harrow (member)]&amp;[London]" c="Harrow Initial Check">
                <p n="[Local Organisation].[CAB].[Bureau].&amp;[Harrow Citizens Advice Bureau]&amp;[Harrow (member)]&amp;[London]"/>
                <p n="[Local Organisation].[CAB].[Member].&amp;[Harrow (member)]&amp;[London]"/>
                <p n="[Local Organisation].[CAB].[Government Region].&amp;[London]"/>
              </i>
              <i n="[Local Organisation].[CAB].[Outreach].&amp;[Harrow Citizens Advice Bureau]&amp;[Harrow Kenmore Park Children's Centre]&amp;[Harrow (member)]&amp;[London]" c="Harrow Kenmore Park Children's Centre">
                <p n="[Local Organisation].[CAB].[Bureau].&amp;[Harrow Citizens Advice Bureau]&amp;[Harrow (member)]&amp;[London]"/>
                <p n="[Local Organisation].[CAB].[Member].&amp;[Harrow (member)]&amp;[London]"/>
                <p n="[Local Organisation].[CAB].[Government Region].&amp;[London]"/>
              </i>
              <i n="[Local Organisation].[CAB].[Outreach].&amp;[Harrow Citizens Advice Bureau]&amp;[Harrow Northwick Park Hospital Mental Health Unit]&amp;[Harrow (member)]&amp;[London]" c="Harrow Northwick Park Hospital Mental Health Unit">
                <p n="[Local Organisation].[CAB].[Bureau].&amp;[Harrow Citizens Advice Bureau]&amp;[Harrow (member)]&amp;[London]"/>
                <p n="[Local Organisation].[CAB].[Member].&amp;[Harrow (member)]&amp;[London]"/>
                <p n="[Local Organisation].[CAB].[Government Region].&amp;[London]"/>
              </i>
              <i n="[Local Organisation].[CAB].[Outreach].&amp;[Harrow Citizens Advice Bureau]&amp;[Harrow Stanmore Park Children's Centre]&amp;[Harrow (member)]&amp;[London]" c="Harrow Stanmore Park Children's Centre">
                <p n="[Local Organisation].[CAB].[Bureau].&amp;[Harrow Citizens Advice Bureau]&amp;[Harrow (member)]&amp;[London]"/>
                <p n="[Local Organisation].[CAB].[Member].&amp;[Harrow (member)]&amp;[London]"/>
                <p n="[Local Organisation].[CAB].[Government Region].&amp;[London]"/>
              </i>
              <i n="[Local Organisation].[CAB].[Outreach].&amp;[Harrow Citizens Advice Bureau]&amp;[Harrow Whitefriars Children's Centre]&amp;[Harrow (member)]&amp;[London]" c="Harrow Whitefriars Children's Centre">
                <p n="[Local Organisation].[CAB].[Bureau].&amp;[Harrow Citizens Advice Bureau]&amp;[Harrow (member)]&amp;[London]"/>
                <p n="[Local Organisation].[CAB].[Member].&amp;[Harrow (member)]&amp;[London]"/>
                <p n="[Local Organisation].[CAB].[Government Region].&amp;[London]"/>
              </i>
              <i n="[Local Organisation].[CAB].[Outreach].&amp;[Harrow Citizens Advice Bureau]&amp;[Not recorded/not applicable]&amp;[Harrow (member)]&amp;[London]" c="Not recorded/not applicable">
                <p n="[Local Organisation].[CAB].[Bureau].&amp;[Harrow Citizens Advice Bureau]&amp;[Harrow (member)]&amp;[London]"/>
                <p n="[Local Organisation].[CAB].[Member].&amp;[Harrow (member)]&amp;[London]"/>
                <p n="[Local Organisation].[CAB].[Government Region].&amp;[London]"/>
              </i>
              <i n="[Local Organisation].[CAB].[Outreach].&amp;[Romford CAB]&amp;[Not recorded/not applicable]&amp;[Havering (member)]&amp;[London]" c="Not recorded/not applicable">
                <p n="[Local Organisation].[CAB].[Bureau].&amp;[Romford CAB]&amp;[Havering (member)]&amp;[London]"/>
                <p n="[Local Organisation].[CAB].[Member].&amp;[Havering (member)]&amp;[London]"/>
                <p n="[Local Organisation].[CAB].[Government Region].&amp;[London]"/>
              </i>
              <i n="[Local Organisation].[CAB].[Outreach].&amp;[Romford CAB]&amp;[Romford Care Point]&amp;[Havering (member)]&amp;[London]" c="Romford Care Point">
                <p n="[Local Organisation].[CAB].[Bureau].&amp;[Romford CAB]&amp;[Havering (member)]&amp;[London]"/>
                <p n="[Local Organisation].[CAB].[Member].&amp;[Havering (member)]&amp;[London]"/>
                <p n="[Local Organisation].[CAB].[Government Region].&amp;[London]"/>
              </i>
              <i n="[Local Organisation].[CAB].[Outreach].&amp;[Romford CAB]&amp;[Romford Hornchurch Library]&amp;[Havering (member)]&amp;[London]" c="Romford Hornchurch Library">
                <p n="[Local Organisation].[CAB].[Bureau].&amp;[Romford CAB]&amp;[Havering (member)]&amp;[London]"/>
                <p n="[Local Organisation].[CAB].[Member].&amp;[Havering (member)]&amp;[London]"/>
                <p n="[Local Organisation].[CAB].[Government Region].&amp;[London]"/>
              </i>
              <i n="[Local Organisation].[CAB].[Outreach].&amp;[Romford CAB]&amp;[Romford Mardyke Community Centre]&amp;[Havering (member)]&amp;[London]" c="Romford Mardyke Community Centre">
                <p n="[Local Organisation].[CAB].[Bureau].&amp;[Romford CAB]&amp;[Havering (member)]&amp;[London]"/>
                <p n="[Local Organisation].[CAB].[Member].&amp;[Havering (member)]&amp;[London]"/>
                <p n="[Local Organisation].[CAB].[Government Region].&amp;[London]"/>
              </i>
              <i n="[Local Organisation].[CAB].[Outreach].&amp;[Hillingdon Hayes CAB]&amp;[Hillingdon - Potentiality Plus - UB3]&amp;[Hillingdon (member)]&amp;[London]" c="Hillingdon - Potentiality Plus - UB3">
                <p n="[Local Organisation].[CAB].[Bureau].&amp;[Hillingdon Hayes CAB]&amp;[Hillingdon (member)]&amp;[London]"/>
                <p n="[Local Organisation].[CAB].[Member].&amp;[Hillingdon (member)]&amp;[London]"/>
                <p n="[Local Organisation].[CAB].[Government Region].&amp;[London]"/>
              </i>
              <i n="[Local Organisation].[CAB].[Outreach].&amp;[Hillingdon Hayes CAB]&amp;[Not recorded/not applicable]&amp;[Hillingdon (member)]&amp;[London]" c="Not recorded/not applicable">
                <p n="[Local Organisation].[CAB].[Bureau].&amp;[Hillingdon Hayes CAB]&amp;[Hillingdon (member)]&amp;[London]"/>
                <p n="[Local Organisation].[CAB].[Member].&amp;[Hillingdon (member)]&amp;[London]"/>
                <p n="[Local Organisation].[CAB].[Government Region].&amp;[London]"/>
              </i>
              <i n="[Local Organisation].[CAB].[Outreach].&amp;[Hillingdon Ruislip CAB]&amp;[Not recorded/not applicable]&amp;[Hillingdon (member)]&amp;[London]" c="Not recorded/not applicable">
                <p n="[Local Organisation].[CAB].[Bureau].&amp;[Hillingdon Ruislip CAB]&amp;[Hillingdon (member)]&amp;[London]"/>
                <p n="[Local Organisation].[CAB].[Member].&amp;[Hillingdon (member)]&amp;[London]"/>
                <p n="[Local Organisation].[CAB].[Government Region].&amp;[London]"/>
              </i>
              <i n="[Local Organisation].[CAB].[Outreach].&amp;[Hillingdon Uxbridge CAB]&amp;[Hillingdon - Adviceline - UB8]&amp;[Hillingdon (member)]&amp;[London]" c="Hillingdon - Adviceline - UB8">
                <p n="[Local Organisation].[CAB].[Bureau].&amp;[Hillingdon Uxbridge CAB]&amp;[Hillingdon (member)]&amp;[London]"/>
                <p n="[Local Organisation].[CAB].[Member].&amp;[Hillingdon (member)]&amp;[London]"/>
                <p n="[Local Organisation].[CAB].[Government Region].&amp;[London]"/>
              </i>
              <i n="[Local Organisation].[CAB].[Outreach].&amp;[Hillingdon Uxbridge CAB]&amp;[Hillingdon - Capitalise - UB8]&amp;[Hillingdon (member)]&amp;[London]" c="Hillingdon - Capitalise - UB8">
                <p n="[Local Organisation].[CAB].[Bureau].&amp;[Hillingdon Uxbridge CAB]&amp;[Hillingdon (member)]&amp;[London]"/>
                <p n="[Local Organisation].[CAB].[Member].&amp;[Hillingdon (member)]&amp;[London]"/>
                <p n="[Local Organisation].[CAB].[Government Region].&amp;[London]"/>
              </i>
              <i n="[Local Organisation].[CAB].[Outreach].&amp;[Hillingdon Uxbridge CAB]&amp;[Hillingdon - Capitalise Harrow - HA1]&amp;[Hillingdon (member)]&amp;[London]" c="Hillingdon - Capitalise Harrow - HA1">
                <p n="[Local Organisation].[CAB].[Bureau].&amp;[Hillingdon Uxbridge CAB]&amp;[Hillingdon (member)]&amp;[London]"/>
                <p n="[Local Organisation].[CAB].[Member].&amp;[Hillingdon (member)]&amp;[London]"/>
                <p n="[Local Organisation].[CAB].[Government Region].&amp;[London]"/>
              </i>
              <i n="[Local Organisation].[CAB].[Outreach].&amp;[Hillingdon Uxbridge CAB]&amp;[Hillingdon - EBDx - UB8]&amp;[Hillingdon (member)]&amp;[London]" c="Hillingdon - EBDx - UB8">
                <p n="[Local Organisation].[CAB].[Bureau].&amp;[Hillingdon Uxbridge CAB]&amp;[Hillingdon (member)]&amp;[London]"/>
                <p n="[Local Organisation].[CAB].[Member].&amp;[Hillingdon (member)]&amp;[London]"/>
                <p n="[Local Organisation].[CAB].[Government Region].&amp;[London]"/>
              </i>
              <i n="[Local Organisation].[CAB].[Outreach].&amp;[Hillingdon Uxbridge CAB]&amp;[Hillingdon - HART - UB8]&amp;[Hillingdon (member)]&amp;[London]" c="Hillingdon - HART - UB8">
                <p n="[Local Organisation].[CAB].[Bureau].&amp;[Hillingdon Uxbridge CAB]&amp;[Hillingdon (member)]&amp;[London]"/>
                <p n="[Local Organisation].[CAB].[Member].&amp;[Hillingdon (member)]&amp;[London]"/>
                <p n="[Local Organisation].[CAB].[Government Region].&amp;[London]"/>
              </i>
              <i n="[Local Organisation].[CAB].[Outreach].&amp;[Hillingdon Uxbridge CAB]&amp;[Hillingdon - MAT - Hillingdon Homes - UB3]&amp;[Hillingdon (member)]&amp;[London]" c="Hillingdon - MAT - Hillingdon Homes - UB3">
                <p n="[Local Organisation].[CAB].[Bureau].&amp;[Hillingdon Uxbridge CAB]&amp;[Hillingdon (member)]&amp;[London]"/>
                <p n="[Local Organisation].[CAB].[Member].&amp;[Hillingdon (member)]&amp;[London]"/>
                <p n="[Local Organisation].[CAB].[Government Region].&amp;[London]"/>
              </i>
              <i n="[Local Organisation].[CAB].[Outreach].&amp;[Hillingdon Uxbridge CAB]&amp;[Hillingdon - Mental Health Outreach - UB8]&amp;[Hillingdon (member)]&amp;[London]" c="Hillingdon - Mental Health Outreach - UB8">
                <p n="[Local Organisation].[CAB].[Bureau].&amp;[Hillingdon Uxbridge CAB]&amp;[Hillingdon (member)]&amp;[London]"/>
                <p n="[Local Organisation].[CAB].[Member].&amp;[Hillingdon (member)]&amp;[London]"/>
                <p n="[Local Organisation].[CAB].[Government Region].&amp;[London]"/>
              </i>
              <i n="[Local Organisation].[CAB].[Outreach].&amp;[Hillingdon Uxbridge CAB]&amp;[Hillingdon - Money Smarter HCT - UB8]&amp;[Hillingdon (member)]&amp;[London]" c="Hillingdon - Money Smarter HCT - UB8">
                <p n="[Local Organisation].[CAB].[Bureau].&amp;[Hillingdon Uxbridge CAB]&amp;[Hillingdon (member)]&amp;[London]"/>
                <p n="[Local Organisation].[CAB].[Member].&amp;[Hillingdon (member)]&amp;[London]"/>
                <p n="[Local Organisation].[CAB].[Government Region].&amp;[London]"/>
              </i>
              <i n="[Local Organisation].[CAB].[Outreach].&amp;[Hillingdon Uxbridge CAB]&amp;[Hillingdon - Money Smarter LBH - UB8]&amp;[Hillingdon (member)]&amp;[London]" c="Hillingdon - Money Smarter LBH - UB8">
                <p n="[Local Organisation].[CAB].[Bureau].&amp;[Hillingdon Uxbridge CAB]&amp;[Hillingdon (member)]&amp;[London]"/>
                <p n="[Local Organisation].[CAB].[Member].&amp;[Hillingdon (member)]&amp;[London]"/>
                <p n="[Local Organisation].[CAB].[Government Region].&amp;[London]"/>
              </i>
              <i n="[Local Organisation].[CAB].[Outreach].&amp;[Hillingdon Uxbridge CAB]&amp;[Hillingdon - Money Smarter LBH Six Wards - UB8]&amp;[Hillingdon (member)]&amp;[London]" c="Hillingdon - Money Smarter LBH Six Wards - UB8">
                <p n="[Local Organisation].[CAB].[Bureau].&amp;[Hillingdon Uxbridge CAB]&amp;[Hillingdon (member)]&amp;[London]"/>
                <p n="[Local Organisation].[CAB].[Member].&amp;[Hillingdon (member)]&amp;[London]"/>
                <p n="[Local Organisation].[CAB].[Government Region].&amp;[London]"/>
              </i>
              <i n="[Local Organisation].[CAB].[Outreach].&amp;[Hillingdon Uxbridge CAB]&amp;[Hillingdon - RAF Northolt - HA4]&amp;[Hillingdon (member)]&amp;[London]" c="Hillingdon - RAF Northolt - HA4">
                <p n="[Local Organisation].[CAB].[Bureau].&amp;[Hillingdon Uxbridge CAB]&amp;[Hillingdon (member)]&amp;[London]"/>
                <p n="[Local Organisation].[CAB].[Member].&amp;[Hillingdon (member)]&amp;[London]"/>
                <p n="[Local Organisation].[CAB].[Government Region].&amp;[London]"/>
              </i>
              <i n="[Local Organisation].[CAB].[Outreach].&amp;[Hillingdon Uxbridge CAB]&amp;[Hillingdon - Telephone Call Back - UB8]&amp;[Hillingdon (member)]&amp;[London]" c="Hillingdon - Telephone Call Back - UB8">
                <p n="[Local Organisation].[CAB].[Bureau].&amp;[Hillingdon Uxbridge CAB]&amp;[Hillingdon (member)]&amp;[London]"/>
                <p n="[Local Organisation].[CAB].[Member].&amp;[Hillingdon (member)]&amp;[London]"/>
                <p n="[Local Organisation].[CAB].[Government Region].&amp;[London]"/>
              </i>
              <i n="[Local Organisation].[CAB].[Outreach].&amp;[Hillingdon Uxbridge CAB]&amp;[Not recorded/not applicable]&amp;[Hillingdon (member)]&amp;[London]" c="Not recorded/not applicable">
                <p n="[Local Organisation].[CAB].[Bureau].&amp;[Hillingdon Uxbridge CAB]&amp;[Hillingdon (member)]&amp;[London]"/>
                <p n="[Local Organisation].[CAB].[Member].&amp;[Hillingdon (member)]&amp;[London]"/>
                <p n="[Local Organisation].[CAB].[Government Region].&amp;[London]"/>
              </i>
              <i n="[Local Organisation].[CAB].[Outreach].&amp;[Brentford &amp; Chiswick Citizens Advice Bureau]&amp;[Not recorded/not applicable]&amp;[Hounslow District (member)]&amp;[London]" c="Not recorded/not applicable">
                <p n="[Local Organisation].[CAB].[Bureau].&amp;[Brentford &amp; Chiswick Citizens Advice Bureau]&amp;[Hounslow District (member)]&amp;[London]"/>
                <p n="[Local Organisation].[CAB].[Member].&amp;[Hounslow District (member)]&amp;[London]"/>
                <p n="[Local Organisation].[CAB].[Government Region].&amp;[London]"/>
              </i>
              <i n="[Local Organisation].[CAB].[Outreach].&amp;[Feltham Citizens Advice Bureau]&amp;[Not recorded/not applicable]&amp;[Hounslow District (member)]&amp;[London]" c="Not recorded/not applicable">
                <p n="[Local Organisation].[CAB].[Bureau].&amp;[Feltham Citizens Advice Bureau]&amp;[Hounslow District (member)]&amp;[London]"/>
                <p n="[Local Organisation].[CAB].[Member].&amp;[Hounslow District (member)]&amp;[London]"/>
                <p n="[Local Organisation].[CAB].[Government Region].&amp;[London]"/>
              </i>
              <i n="[Local Organisation].[CAB].[Outreach].&amp;[Hounslow Citizens Advice Bureau]&amp;[Hounslow District - Outreach]&amp;[Hounslow District (member)]&amp;[London]" c="Hounslow District - Outreach">
                <p n="[Local Organisation].[CAB].[Bureau].&amp;[Hounslow Citizens Advice Bureau]&amp;[Hounslow District (member)]&amp;[London]"/>
                <p n="[Local Organisation].[CAB].[Member].&amp;[Hounslow District (member)]&amp;[London]"/>
                <p n="[Local Organisation].[CAB].[Government Region].&amp;[London]"/>
              </i>
              <i n="[Local Organisation].[CAB].[Outreach].&amp;[Hounslow Citizens Advice Bureau]&amp;[Not recorded/not applicable]&amp;[Hounslow District (member)]&amp;[London]" c="Not recorded/not applicable">
                <p n="[Local Organisation].[CAB].[Bureau].&amp;[Hounslow Citizens Advice Bureau]&amp;[Hounslow District (member)]&amp;[London]"/>
                <p n="[Local Organisation].[CAB].[Member].&amp;[Hounslow District (member)]&amp;[London]"/>
                <p n="[Local Organisation].[CAB].[Government Region].&amp;[London]"/>
              </i>
              <i n="[Local Organisation].[CAB].[Outreach].&amp;[Chelsea Citizens Advice Bureau]&amp;[Not recorded/not applicable]&amp;[Kensington &amp; Chelsea (member)]&amp;[London]" c="Not recorded/not applicable">
                <p n="[Local Organisation].[CAB].[Bureau].&amp;[Chelsea Citizens Advice Bureau]&amp;[Kensington &amp; Chelsea (member)]&amp;[London]"/>
                <p n="[Local Organisation].[CAB].[Member].&amp;[Kensington &amp; Chelsea (member)]&amp;[London]"/>
                <p n="[Local Organisation].[CAB].[Government Region].&amp;[London]"/>
              </i>
              <i n="[Local Organisation].[CAB].[Outreach].&amp;[Kensington Citizens Advice Bureau]&amp;[Kensington - BME Outreach]&amp;[Kensington &amp; Chelsea (member)]&amp;[London]" c="Kensington - BME Outreach">
                <p n="[Local Organisation].[CAB].[Bureau].&amp;[Kensington Citizens Advice Bureau]&amp;[Kensington &amp; Chelsea (member)]&amp;[London]"/>
                <p n="[Local Organisation].[CAB].[Member].&amp;[Kensington &amp; Chelsea (member)]&amp;[London]"/>
                <p n="[Local Organisation].[CAB].[Government Region].&amp;[London]"/>
              </i>
              <i n="[Local Organisation].[CAB].[Outreach].&amp;[Kensington Citizens Advice Bureau]&amp;[Kensington - Community Service]&amp;[Kensington &amp; Chelsea (member)]&amp;[London]" c="Kensington - Community Service">
                <p n="[Local Organisation].[CAB].[Bureau].&amp;[Kensington Citizens Advice Bureau]&amp;[Kensington &amp; Chelsea (member)]&amp;[London]"/>
                <p n="[Local Organisation].[CAB].[Member].&amp;[Kensington &amp; Chelsea (member)]&amp;[London]"/>
                <p n="[Local Organisation].[CAB].[Government Region].&amp;[London]"/>
              </i>
              <i n="[Local Organisation].[CAB].[Outreach].&amp;[Kensington Citizens Advice Bureau]&amp;[Kensington - Income Max 50+]&amp;[Kensington &amp; Chelsea (member)]&amp;[London]" c="Kensington - Income Max 50+">
                <p n="[Local Organisation].[CAB].[Bureau].&amp;[Kensington Citizens Advice Bureau]&amp;[Kensington &amp; Chelsea (member)]&amp;[London]"/>
                <p n="[Local Organisation].[CAB].[Member].&amp;[Kensington &amp; Chelsea (member)]&amp;[London]"/>
                <p n="[Local Organisation].[CAB].[Government Region].&amp;[London]"/>
              </i>
              <i n="[Local Organisation].[CAB].[Outreach].&amp;[Kensington Citizens Advice Bureau]&amp;[Kensington - Mental Health]&amp;[Kensington &amp; Chelsea (member)]&amp;[London]" c="Kensington - Mental Health">
                <p n="[Local Organisation].[CAB].[Bureau].&amp;[Kensington Citizens Advice Bureau]&amp;[Kensington &amp; Chelsea (member)]&amp;[London]"/>
                <p n="[Local Organisation].[CAB].[Member].&amp;[Kensington &amp; Chelsea (member)]&amp;[London]"/>
                <p n="[Local Organisation].[CAB].[Government Region].&amp;[London]"/>
              </i>
              <i n="[Local Organisation].[CAB].[Outreach].&amp;[Kensington Citizens Advice Bureau]&amp;[Kensington Town Hall]&amp;[Kensington &amp; Chelsea (member)]&amp;[London]" c="Kensington Town Hall">
                <p n="[Local Organisation].[CAB].[Bureau].&amp;[Kensington Citizens Advice Bureau]&amp;[Kensington &amp; Chelsea (member)]&amp;[London]"/>
                <p n="[Local Organisation].[CAB].[Member].&amp;[Kensington &amp; Chelsea (member)]&amp;[London]"/>
                <p n="[Local Organisation].[CAB].[Government Region].&amp;[London]"/>
              </i>
              <i n="[Local Organisation].[CAB].[Outreach].&amp;[Kensington Citizens Advice Bureau]&amp;[Not recorded/not applicable]&amp;[Kensington &amp; Chelsea (member)]&amp;[London]" c="Not recorded/not applicable">
                <p n="[Local Organisation].[CAB].[Bureau].&amp;[Kensington Citizens Advice Bureau]&amp;[Kensington &amp; Chelsea (member)]&amp;[London]"/>
                <p n="[Local Organisation].[CAB].[Member].&amp;[Kensington &amp; Chelsea (member)]&amp;[London]"/>
                <p n="[Local Organisation].[CAB].[Government Region].&amp;[London]"/>
              </i>
              <i n="[Local Organisation].[CAB].[Outreach].&amp;[Wormwood Scrubs (Kensington &amp; Chelsea)]&amp;[Not recorded/not applicable]&amp;[Kensington &amp; Chelsea (member)]&amp;[London]" c="Not recorded/not applicable">
                <p n="[Local Organisation].[CAB].[Bureau].&amp;[Wormwood Scrubs (Kensington &amp; Chelsea)]&amp;[Kensington &amp; Chelsea (member)]&amp;[London]"/>
                <p n="[Local Organisation].[CAB].[Member].&amp;[Kensington &amp; Chelsea (member)]&amp;[London]"/>
                <p n="[Local Organisation].[CAB].[Government Region].&amp;[London]"/>
              </i>
              <i n="[Local Organisation].[CAB].[Outreach].&amp;[Kingston Citizens Advice Bureau]&amp;[Kingston Borough Chessington &amp; Hook Citizens Advice Bureau]&amp;[Kingston Borough (member)]&amp;[London]" c="Kingston Borough Chessington &amp; Hook Citizens Advice Bureau">
                <p n="[Local Organisation].[CAB].[Bureau].&amp;[Kingston Citizens Advice Bureau]&amp;[Kingston Borough (member)]&amp;[London]"/>
                <p n="[Local Organisation].[CAB].[Member].&amp;[Kingston Borough (member)]&amp;[London]"/>
                <p n="[Local Organisation].[CAB].[Government Region].&amp;[London]"/>
              </i>
              <i n="[Local Organisation].[CAB].[Outreach].&amp;[Kingston Citizens Advice Bureau]&amp;[Kingston Borough Malden &amp; Coombe Citizens Advice Bureau]&amp;[Kingston Borough (member)]&amp;[London]" c="Kingston Borough Malden &amp; Coombe Citizens Advice Bureau">
                <p n="[Local Organisation].[CAB].[Bureau].&amp;[Kingston Citizens Advice Bureau]&amp;[Kingston Borough (member)]&amp;[London]"/>
                <p n="[Local Organisation].[CAB].[Member].&amp;[Kingston Borough (member)]&amp;[London]"/>
                <p n="[Local Organisation].[CAB].[Government Region].&amp;[London]"/>
              </i>
              <i n="[Local Organisation].[CAB].[Outreach].&amp;[Kingston Citizens Advice Bureau]&amp;[Not recorded/not applicable]&amp;[Kingston Borough (member)]&amp;[London]" c="Not recorded/not applicable">
                <p n="[Local Organisation].[CAB].[Bureau].&amp;[Kingston Citizens Advice Bureau]&amp;[Kingston Borough (member)]&amp;[London]"/>
                <p n="[Local Organisation].[CAB].[Member].&amp;[Kingston Borough (member)]&amp;[London]"/>
                <p n="[Local Organisation].[CAB].[Government Region].&amp;[London]"/>
              </i>
              <i n="[Local Organisation].[CAB].[Outreach].&amp;[Catford Citizens Advice Bureau]&amp;[Not recorded/not applicable]&amp;[Lewisham (member)]&amp;[London]" c="Not recorded/not applicable">
                <p n="[Local Organisation].[CAB].[Bureau].&amp;[Catford Citizens Advice Bureau]&amp;[Lewisham (member)]&amp;[London]"/>
                <p n="[Local Organisation].[CAB].[Member].&amp;[Lewisham (member)]&amp;[London]"/>
                <p n="[Local Organisation].[CAB].[Government Region].&amp;[London]"/>
              </i>
              <i n="[Local Organisation].[CAB].[Outreach].&amp;[Catford Library Information Hub]&amp;[Not recorded/not applicable]&amp;[Lewisham (member)]&amp;[London]" c="Not recorded/not applicable">
                <p n="[Local Organisation].[CAB].[Bureau].&amp;[Catford Library Information Hub]&amp;[Lewisham (member)]&amp;[London]"/>
                <p n="[Local Organisation].[CAB].[Member].&amp;[Lewisham (member)]&amp;[London]"/>
                <p n="[Local Organisation].[CAB].[Government Region].&amp;[London]"/>
              </i>
              <i n="[Local Organisation].[CAB].[Outreach].&amp;[Downham  Hub]&amp;[Not recorded/not applicable]&amp;[Lewisham (member)]&amp;[London]" c="Not recorded/not applicable">
                <p n="[Local Organisation].[CAB].[Bureau].&amp;[Downham  Hub]&amp;[Lewisham (member)]&amp;[London]"/>
                <p n="[Local Organisation].[CAB].[Member].&amp;[Lewisham (member)]&amp;[London]"/>
                <p n="[Local Organisation].[CAB].[Government Region].&amp;[London]"/>
              </i>
              <i n="[Local Organisation].[CAB].[Outreach].&amp;[Lee Green Information Hub]&amp;[Not recorded/not applicable]&amp;[Lewisham (member)]&amp;[London]" c="Not recorded/not applicable">
                <p n="[Local Organisation].[CAB].[Bureau].&amp;[Lee Green Information Hub]&amp;[Lewisham (member)]&amp;[London]"/>
                <p n="[Local Organisation].[CAB].[Member].&amp;[Lewisham (member)]&amp;[London]"/>
                <p n="[Local Organisation].[CAB].[Government Region].&amp;[London]"/>
              </i>
              <i n="[Local Organisation].[CAB].[Outreach].&amp;[Lewisham Money Advice Service]&amp;[Not recorded/not applicable]&amp;[Lewisham (member)]&amp;[London]" c="Not recorded/not applicable">
                <p n="[Local Organisation].[CAB].[Bureau].&amp;[Lewisham Money Advice Service]&amp;[Lewisham (member)]&amp;[London]"/>
                <p n="[Local Organisation].[CAB].[Member].&amp;[Lewisham (member)]&amp;[London]"/>
                <p n="[Local Organisation].[CAB].[Government Region].&amp;[London]"/>
              </i>
              <i n="[Local Organisation].[CAB].[Outreach].&amp;[Sydenham Citizens Advice Bureau]&amp;[Not recorded/not applicable]&amp;[Lewisham (member)]&amp;[London]" c="Not recorded/not applicable">
                <p n="[Local Organisation].[CAB].[Bureau].&amp;[Sydenham Citizens Advice Bureau]&amp;[Lewisham (member)]&amp;[London]"/>
                <p n="[Local Organisation].[CAB].[Member].&amp;[Lewisham (member)]&amp;[London]"/>
                <p n="[Local Organisation].[CAB].[Government Region].&amp;[London]"/>
              </i>
              <i n="[Local Organisation].[CAB].[Outreach].&amp;[Merton &amp; Lambeth CAB Ltd Management]&amp;[Not recorded/not applicable]&amp;[Merton &amp; Lambeth CAB Ltd (member)]&amp;[London]" c="Not recorded/not applicable">
                <p n="[Local Organisation].[CAB].[Bureau].&amp;[Merton &amp; Lambeth CAB Ltd Management]&amp;[Merton &amp; Lambeth CAB Ltd (member)]&amp;[London]"/>
                <p n="[Local Organisation].[CAB].[Member].&amp;[Merton &amp; Lambeth CAB Ltd (member)]&amp;[London]"/>
                <p n="[Local Organisation].[CAB].[Government Region].&amp;[London]"/>
              </i>
              <i n="[Local Organisation].[CAB].[Outreach].&amp;[Mitcham Citizens Advice Bureau]&amp;[Not recorded/not applicable]&amp;[Merton &amp; Lambeth CAB Ltd (member)]&amp;[London]" c="Not recorded/not applicable">
                <p n="[Local Organisation].[CAB].[Bureau].&amp;[Mitcham Citizens Advice Bureau]&amp;[Merton &amp; Lambeth CAB Ltd (member)]&amp;[London]"/>
                <p n="[Local Organisation].[CAB].[Member].&amp;[Merton &amp; Lambeth CAB Ltd (member)]&amp;[London]"/>
                <p n="[Local Organisation].[CAB].[Government Region].&amp;[London]"/>
              </i>
              <i n="[Local Organisation].[CAB].[Outreach].&amp;[Morden Citizens Advice Bureau]&amp;[Not recorded/not applicable]&amp;[Merton &amp; Lambeth CAB Ltd (member)]&amp;[London]" c="Not recorded/not applicable">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Avonmore Library (Hammersmith &amp; Fulham CAB)]&amp;[Merton &amp; Lambeth CAB Ltd (member)]&amp;[London]" c="Pension Wise - Avonmore Library (Hammersmith &amp; Fulham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Battersea Library (Wandsworth CAB)]&amp;[Merton &amp; Lambeth CAB Ltd (member)]&amp;[London]" c="Pension Wise - Battersea Library (Wandsworth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Chiswick (Hounslow CAB)]&amp;[Merton &amp; Lambeth CAB Ltd (member)]&amp;[London]" c="Pension Wise - Chiswick (Hounslow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Hillingdon CAB]&amp;[Merton &amp; Lambeth CAB Ltd (member)]&amp;[London]" c="Pension Wise - Hillingdon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Lido Centre (Ealing)]&amp;[Merton &amp; Lambeth CAB Ltd (member)]&amp;[London]" c="Pension Wise - Lido Centre (Ealing)">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Mitcham CAB]&amp;[Merton &amp; Lambeth CAB Ltd (member)]&amp;[London]" c="Pension Wise - Mitcham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Morden CAB]&amp;[Merton &amp; Lambeth CAB Ltd (member)]&amp;[London]" c="Pension Wise - Morden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Relate Richmond]&amp;[Merton &amp; Lambeth CAB Ltd (member)]&amp;[London]" c="Pension Wise - Relate Richmond">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Roehampton CAB]&amp;[Merton &amp; Lambeth CAB Ltd (member)]&amp;[London]" c="Pension Wise - Roehampton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Shepherd's Bush (Hammersmith &amp; Fulham CAB)]&amp;[Merton &amp; Lambeth CAB Ltd (member)]&amp;[London]" c="Pension Wise - Shepherd's Bush (Hammersmith &amp; Fulham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Streatham Hill CAB]&amp;[Merton &amp; Lambeth CAB Ltd (member)]&amp;[London]" c="Pension Wise - Streatham Hill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Twickenham CAB]&amp;[Merton &amp; Lambeth CAB Ltd (member)]&amp;[London]" c="Pension Wise - Twickenham CAB">
                <p n="[Local Organisation].[CAB].[Bureau].&amp;[Morden Citizens Advice Bureau]&amp;[Merton &amp; Lambeth CAB Ltd (member)]&amp;[London]"/>
                <p n="[Local Organisation].[CAB].[Member].&amp;[Merton &amp; Lambeth CAB Ltd (member)]&amp;[London]"/>
                <p n="[Local Organisation].[CAB].[Government Region].&amp;[London]"/>
              </i>
              <i n="[Local Organisation].[CAB].[Outreach].&amp;[Morden Citizens Advice Bureau]&amp;[Pension Wise - Wimbledon Guild]&amp;[Merton &amp; Lambeth CAB Ltd (member)]&amp;[London]" c="Pension Wise - Wimbledon Guild">
                <p n="[Local Organisation].[CAB].[Bureau].&amp;[Morden Citizens Advice Bureau]&amp;[Merton &amp; Lambeth CAB Ltd (member)]&amp;[London]"/>
                <p n="[Local Organisation].[CAB].[Member].&amp;[Merton &amp; Lambeth CAB Ltd (member)]&amp;[London]"/>
                <p n="[Local Organisation].[CAB].[Government Region].&amp;[London]"/>
              </i>
              <i n="[Local Organisation].[CAB].[Outreach].&amp;[Streatham Hill Citizens Advice Bureau]&amp;[Morden (Streatham CAB) FACE]&amp;[Merton &amp; Lambeth CAB Ltd (member)]&amp;[London]" c="Morden (Streatham CAB) FACE">
                <p n="[Local Organisation].[CAB].[Bureau].&amp;[Streatham Hill Citizens Advice Bureau]&amp;[Merton &amp; Lambeth CAB Ltd (member)]&amp;[London]"/>
                <p n="[Local Organisation].[CAB].[Member].&amp;[Merton &amp; Lambeth CAB Ltd (member)]&amp;[London]"/>
                <p n="[Local Organisation].[CAB].[Government Region].&amp;[London]"/>
              </i>
              <i n="[Local Organisation].[CAB].[Outreach].&amp;[Streatham Hill Citizens Advice Bureau]&amp;[Not recorded/not applicable]&amp;[Merton &amp; Lambeth CAB Ltd (member)]&amp;[London]" c="Not recorded/not applicable">
                <p n="[Local Organisation].[CAB].[Bureau].&amp;[Streatham Hill Citizens Advice Bureau]&amp;[Merton &amp; Lambeth CAB Ltd (member)]&amp;[London]"/>
                <p n="[Local Organisation].[CAB].[Member].&amp;[Merton &amp; Lambeth CAB Ltd (member)]&amp;[London]"/>
                <p n="[Local Organisation].[CAB].[Government Region].&amp;[London]"/>
              </i>
              <i n="[Local Organisation].[CAB].[Outreach].&amp;[Redbridge Citizens Advice Bureau]&amp;[Not recorded/not applicable]&amp;[Redbridge (member)]&amp;[London]" c="Not recorded/not applicable">
                <p n="[Local Organisation].[CAB].[Bureau].&amp;[Redbridge Citizens Advice Bureau]&amp;[Redbridge (member)]&amp;[London]"/>
                <p n="[Local Organisation].[CAB].[Member].&amp;[Redbridge (member)]&amp;[London]"/>
                <p n="[Local Organisation].[CAB].[Government Region].&amp;[London]"/>
              </i>
              <i n="[Local Organisation].[CAB].[Outreach].&amp;[Barnes CAB]&amp;[Not recorded/not applicable]&amp;[Richmond Borough (member)]&amp;[London]" c="Not recorded/not applicable">
                <p n="[Local Organisation].[CAB].[Bureau].&amp;[Barnes CAB]&amp;[Richmond Borough (member)]&amp;[London]"/>
                <p n="[Local Organisation].[CAB].[Member].&amp;[Richmond Borough (member)]&amp;[London]"/>
                <p n="[Local Organisation].[CAB].[Government Region].&amp;[London]"/>
              </i>
              <i n="[Local Organisation].[CAB].[Outreach].&amp;[Ham CAB]&amp;[Not recorded/not applicable]&amp;[Richmond Borough (member)]&amp;[London]" c="Not recorded/not applicable">
                <p n="[Local Organisation].[CAB].[Bureau].&amp;[Ham CAB]&amp;[Richmond Borough (member)]&amp;[London]"/>
                <p n="[Local Organisation].[CAB].[Member].&amp;[Richmond Borough (member)]&amp;[London]"/>
                <p n="[Local Organisation].[CAB].[Government Region].&amp;[London]"/>
              </i>
              <i n="[Local Organisation].[CAB].[Outreach].&amp;[Hampton CAB]&amp;[Not recorded/not applicable]&amp;[Richmond Borough (member)]&amp;[London]" c="Not recorded/not applicable">
                <p n="[Local Organisation].[CAB].[Bureau].&amp;[Hampton CAB]&amp;[Richmond Borough (member)]&amp;[London]"/>
                <p n="[Local Organisation].[CAB].[Member].&amp;[Richmond Borough (member)]&amp;[London]"/>
                <p n="[Local Organisation].[CAB].[Government Region].&amp;[London]"/>
              </i>
              <i n="[Local Organisation].[CAB].[Outreach].&amp;[Sheen CAB]&amp;[Not recorded/not applicable]&amp;[Richmond Borough (member)]&amp;[London]" c="Not recorded/not applicable">
                <p n="[Local Organisation].[CAB].[Bureau].&amp;[Sheen CAB]&amp;[Richmond Borough (member)]&amp;[London]"/>
                <p n="[Local Organisation].[CAB].[Member].&amp;[Richmond Borough (member)]&amp;[London]"/>
                <p n="[Local Organisation].[CAB].[Government Region].&amp;[London]"/>
              </i>
              <i n="[Local Organisation].[CAB].[Outreach].&amp;[Twickenham CAB]&amp;[Not recorded/not applicable]&amp;[Richmond Borough (member)]&amp;[London]" c="Not recorded/not applicable">
                <p n="[Local Organisation].[CAB].[Bureau].&amp;[Twickenham CAB]&amp;[Richmond Borough (member)]&amp;[London]"/>
                <p n="[Local Organisation].[CAB].[Member].&amp;[Richmond Borough (member)]&amp;[London]"/>
                <p n="[Local Organisation].[CAB].[Government Region].&amp;[London]"/>
              </i>
              <i n="[Local Organisation].[CAB].[Outreach].&amp;[Twickenham CAB]&amp;[Twickenham ASTF - Welfare Benefits]&amp;[Richmond Borough (member)]&amp;[London]" c="Twickenham ASTF - Welfare Benefits">
                <p n="[Local Organisation].[CAB].[Bureau].&amp;[Twickenham CAB]&amp;[Richmond Borough (member)]&amp;[London]"/>
                <p n="[Local Organisation].[CAB].[Member].&amp;[Richmond Borough (member)]&amp;[London]"/>
                <p n="[Local Organisation].[CAB].[Government Region].&amp;[London]"/>
              </i>
              <i n="[Local Organisation].[CAB].[Outreach].&amp;[Twickenham CAB]&amp;[Twickenham Capitalise]&amp;[Richmond Borough (member)]&amp;[London]" c="Twickenham Capitalise">
                <p n="[Local Organisation].[CAB].[Bureau].&amp;[Twickenham CAB]&amp;[Richmond Borough (member)]&amp;[London]"/>
                <p n="[Local Organisation].[CAB].[Member].&amp;[Richmond Borough (member)]&amp;[London]"/>
                <p n="[Local Organisation].[CAB].[Government Region].&amp;[London]"/>
              </i>
              <i n="[Local Organisation].[CAB].[Outreach].&amp;[Twickenham CAB]&amp;[Twickenham Fin Cap]&amp;[Richmond Borough (member)]&amp;[London]" c="Twickenham Fin Cap">
                <p n="[Local Organisation].[CAB].[Bureau].&amp;[Twickenham CAB]&amp;[Richmond Borough (member)]&amp;[London]"/>
                <p n="[Local Organisation].[CAB].[Member].&amp;[Richmond Borough (member)]&amp;[London]"/>
                <p n="[Local Organisation].[CAB].[Government Region].&amp;[London]"/>
              </i>
              <i n="[Local Organisation].[CAB].[Outreach].&amp;[Twickenham CAB]&amp;[Twickenham Heathfields]&amp;[Richmond Borough (member)]&amp;[London]" c="Twickenham Heathfields">
                <p n="[Local Organisation].[CAB].[Bureau].&amp;[Twickenham CAB]&amp;[Richmond Borough (member)]&amp;[London]"/>
                <p n="[Local Organisation].[CAB].[Member].&amp;[Richmond Borough (member)]&amp;[London]"/>
                <p n="[Local Organisation].[CAB].[Government Region].&amp;[London]"/>
              </i>
              <i n="[Local Organisation].[CAB].[Outreach].&amp;[Twickenham CAB]&amp;[Twickenham Mortlake]&amp;[Richmond Borough (member)]&amp;[London]" c="Twickenham Mortlake">
                <p n="[Local Organisation].[CAB].[Bureau].&amp;[Twickenham CAB]&amp;[Richmond Borough (member)]&amp;[London]"/>
                <p n="[Local Organisation].[CAB].[Member].&amp;[Richmond Borough (member)]&amp;[London]"/>
                <p n="[Local Organisation].[CAB].[Government Region].&amp;[London]"/>
              </i>
              <i n="[Local Organisation].[CAB].[Outreach].&amp;[Twickenham CAB]&amp;[Twickenham SENDIAS]&amp;[Richmond Borough (member)]&amp;[London]" c="Twickenham SENDIAS">
                <p n="[Local Organisation].[CAB].[Bureau].&amp;[Twickenham CAB]&amp;[Richmond Borough (member)]&amp;[London]"/>
                <p n="[Local Organisation].[CAB].[Member].&amp;[Richmond Borough (member)]&amp;[London]"/>
                <p n="[Local Organisation].[CAB].[Government Region].&amp;[London]"/>
              </i>
              <i n="[Local Organisation].[CAB].[Outreach].&amp;[Twickenham CAB]&amp;[Twickenham Social Inclusion]&amp;[Richmond Borough (member)]&amp;[London]" c="Twickenham Social Inclusion">
                <p n="[Local Organisation].[CAB].[Bureau].&amp;[Twickenham CAB]&amp;[Richmond Borough (member)]&amp;[London]"/>
                <p n="[Local Organisation].[CAB].[Member].&amp;[Richmond Borough (member)]&amp;[London]"/>
                <p n="[Local Organisation].[CAB].[Government Region].&amp;[London]"/>
              </i>
              <i n="[Local Organisation].[CAB].[Outreach].&amp;[Twickenham CAB]&amp;[Twickenham The Vineyard]&amp;[Richmond Borough (member)]&amp;[London]" c="Twickenham The Vineyard">
                <p n="[Local Organisation].[CAB].[Bureau].&amp;[Twickenham CAB]&amp;[Richmond Borough (member)]&amp;[London]"/>
                <p n="[Local Organisation].[CAB].[Member].&amp;[Richmond Borough (member)]&amp;[London]"/>
                <p n="[Local Organisation].[CAB].[Government Region].&amp;[London]"/>
              </i>
              <i n="[Local Organisation].[CAB].[Outreach].&amp;[Royal Courts of Justice (Devonia Road)]&amp;[Not recorded/not applicable]&amp;[Royal Courts of Justice (member)]&amp;[London]" c="Not recorded/not applicable">
                <p n="[Local Organisation].[CAB].[Bureau].&amp;[Royal Courts of Justice (Devonia Road)]&amp;[Royal Courts of Justice (member)]&amp;[London]"/>
                <p n="[Local Organisation].[CAB].[Member].&amp;[Royal Courts of Justice (member)]&amp;[London]"/>
                <p n="[Local Organisation].[CAB].[Government Region].&amp;[London]"/>
              </i>
              <i n="[Local Organisation].[CAB].[Outreach].&amp;[Royal Courts of Justice (First Avenue House)]&amp;[Not recorded/not applicable]&amp;[Royal Courts of Justice (member)]&amp;[London]" c="Not recorded/not applicable">
                <p n="[Local Organisation].[CAB].[Bureau].&amp;[Royal Courts of Justice (First Avenue House)]&amp;[Royal Courts of Justice (member)]&amp;[London]"/>
                <p n="[Local Organisation].[CAB].[Member].&amp;[Royal Courts of Justice (member)]&amp;[London]"/>
                <p n="[Local Organisation].[CAB].[Government Region].&amp;[London]"/>
              </i>
              <i n="[Local Organisation].[CAB].[Outreach].&amp;[Royal Courts of Justice (Islington)]&amp;[Not recorded/not applicable]&amp;[Royal Courts of Justice (member)]&amp;[London]" c="Not recorded/not applicable">
                <p n="[Local Organisation].[CAB].[Bureau].&amp;[Royal Courts of Justice (Islington)]&amp;[Royal Courts of Justice (member)]&amp;[London]"/>
                <p n="[Local Organisation].[CAB].[Member].&amp;[Royal Courts of Justice (member)]&amp;[London]"/>
                <p n="[Local Organisation].[CAB].[Government Region].&amp;[London]"/>
              </i>
              <i n="[Local Organisation].[CAB].[Outreach].&amp;[Royal Courts of Justice (Strand)]&amp;[Not recorded/not applicable]&amp;[Royal Courts of Justice (member)]&amp;[London]" c="Not recorded/not applicable">
                <p n="[Local Organisation].[CAB].[Bureau].&amp;[Royal Courts of Justice (Strand)]&amp;[Royal Courts of Justice (member)]&amp;[London]"/>
                <p n="[Local Organisation].[CAB].[Member].&amp;[Royal Courts of Justice (member)]&amp;[London]"/>
                <p n="[Local Organisation].[CAB].[Government Region].&amp;[London]"/>
              </i>
              <i n="[Local Organisation].[CAB].[Outreach].&amp;[Bermondsey CAB]&amp;[Not recorded/not applicable]&amp;[Southwark (member)]&amp;[London]" c="Not recorded/not applicable">
                <p n="[Local Organisation].[CAB].[Bureau].&amp;[Bermondsey CAB]&amp;[Southwark (member)]&amp;[London]"/>
                <p n="[Local Organisation].[CAB].[Member].&amp;[Southwark (member)]&amp;[London]"/>
                <p n="[Local Organisation].[CAB].[Government Region].&amp;[London]"/>
              </i>
              <i n="[Local Organisation].[CAB].[Outreach].&amp;[Bermondsey CAB]&amp;[Southwark Council Tax Clinic]&amp;[Southwark (member)]&amp;[London]" c="Southwark Council Tax Clinic">
                <p n="[Local Organisation].[CAB].[Bureau].&amp;[Bermondsey CAB]&amp;[Southwark (member)]&amp;[London]"/>
                <p n="[Local Organisation].[CAB].[Member].&amp;[Southwark (member)]&amp;[London]"/>
                <p n="[Local Organisation].[CAB].[Government Region].&amp;[London]"/>
              </i>
              <i n="[Local Organisation].[CAB].[Outreach].&amp;[Bermondsey CAB]&amp;[Southwark Day Centre for Asylum Seekers]&amp;[Southwark (member)]&amp;[London]" c="Southwark Day Centre for Asylum Seekers">
                <p n="[Local Organisation].[CAB].[Bureau].&amp;[Bermondsey CAB]&amp;[Southwark (member)]&amp;[London]"/>
                <p n="[Local Organisation].[CAB].[Member].&amp;[Southwark (member)]&amp;[London]"/>
                <p n="[Local Organisation].[CAB].[Government Region].&amp;[London]"/>
              </i>
              <i n="[Local Organisation].[CAB].[Outreach].&amp;[Bermondsey CAB]&amp;[Southwark Dimbleby Guys]&amp;[Southwark (member)]&amp;[London]" c="Southwark Dimbleby Guys">
                <p n="[Local Organisation].[CAB].[Bureau].&amp;[Bermondsey CAB]&amp;[Southwark (member)]&amp;[London]"/>
                <p n="[Local Organisation].[CAB].[Member].&amp;[Southwark (member)]&amp;[London]"/>
                <p n="[Local Organisation].[CAB].[Government Region].&amp;[London]"/>
              </i>
              <i n="[Local Organisation].[CAB].[Outreach].&amp;[Bermondsey CAB]&amp;[Southwark Dimbleby St Thomas']&amp;[Southwark (member)]&amp;[London]" c="Southwark Dimbleby St Thomas'">
                <p n="[Local Organisation].[CAB].[Bureau].&amp;[Bermondsey CAB]&amp;[Southwark (member)]&amp;[London]"/>
                <p n="[Local Organisation].[CAB].[Member].&amp;[Southwark (member)]&amp;[London]"/>
                <p n="[Local Organisation].[CAB].[Government Region].&amp;[London]"/>
              </i>
              <i n="[Local Organisation].[CAB].[Outreach].&amp;[Bermondsey CAB]&amp;[Southwark Kingswood Estate]&amp;[Southwark (member)]&amp;[London]" c="Southwark Kingswood Estate">
                <p n="[Local Organisation].[CAB].[Bureau].&amp;[Bermondsey CAB]&amp;[Southwark (member)]&amp;[London]"/>
                <p n="[Local Organisation].[CAB].[Member].&amp;[Southwark (member)]&amp;[London]"/>
                <p n="[Local Organisation].[CAB].[Government Region].&amp;[London]"/>
              </i>
              <i n="[Local Organisation].[CAB].[Outreach].&amp;[Bermondsey CAB]&amp;[Southwark Macmillan Guys]&amp;[Southwark (member)]&amp;[London]" c="Southwark Macmillan Guys">
                <p n="[Local Organisation].[CAB].[Bureau].&amp;[Bermondsey CAB]&amp;[Southwark (member)]&amp;[London]"/>
                <p n="[Local Organisation].[CAB].[Member].&amp;[Southwark (member)]&amp;[London]"/>
                <p n="[Local Organisation].[CAB].[Government Region].&amp;[London]"/>
              </i>
              <i n="[Local Organisation].[CAB].[Outreach].&amp;[Bermondsey CAB]&amp;[Southwark Macmillan Kings]&amp;[Southwark (member)]&amp;[London]" c="Southwark Macmillan Kings">
                <p n="[Local Organisation].[CAB].[Bureau].&amp;[Bermondsey CAB]&amp;[Southwark (member)]&amp;[London]"/>
                <p n="[Local Organisation].[CAB].[Member].&amp;[Southwark (member)]&amp;[London]"/>
                <p n="[Local Organisation].[CAB].[Government Region].&amp;[London]"/>
              </i>
              <i n="[Local Organisation].[CAB].[Outreach].&amp;[Bermondsey CAB]&amp;[Southwark Macmillan Lewisham]&amp;[Southwark (member)]&amp;[London]" c="Southwark Macmillan Lewisham">
                <p n="[Local Organisation].[CAB].[Bureau].&amp;[Bermondsey CAB]&amp;[Southwark (member)]&amp;[London]"/>
                <p n="[Local Organisation].[CAB].[Member].&amp;[Southwark (member)]&amp;[London]"/>
                <p n="[Local Organisation].[CAB].[Government Region].&amp;[London]"/>
              </i>
              <i n="[Local Organisation].[CAB].[Outreach].&amp;[Bermondsey CAB]&amp;[Southwark Macmillan PRUH]&amp;[Southwark (member)]&amp;[London]" c="Southwark Macmillan PRUH">
                <p n="[Local Organisation].[CAB].[Bureau].&amp;[Bermondsey CAB]&amp;[Southwark (member)]&amp;[London]"/>
                <p n="[Local Organisation].[CAB].[Member].&amp;[Southwark (member)]&amp;[London]"/>
                <p n="[Local Organisation].[CAB].[Government Region].&amp;[London]"/>
              </i>
              <i n="[Local Organisation].[CAB].[Outreach].&amp;[Bermondsey CAB]&amp;[Southwark Macmillan Queen Elizabeth]&amp;[Southwark (member)]&amp;[London]" c="Southwark Macmillan Queen Elizabeth">
                <p n="[Local Organisation].[CAB].[Bureau].&amp;[Bermondsey CAB]&amp;[Southwark (member)]&amp;[London]"/>
                <p n="[Local Organisation].[CAB].[Member].&amp;[Southwark (member)]&amp;[London]"/>
                <p n="[Local Organisation].[CAB].[Government Region].&amp;[London]"/>
              </i>
              <i n="[Local Organisation].[CAB].[Outreach].&amp;[Bermondsey CAB]&amp;[Southwark Money Savvy]&amp;[Southwark (member)]&amp;[London]" c="Southwark Money Savvy">
                <p n="[Local Organisation].[CAB].[Bureau].&amp;[Bermondsey CAB]&amp;[Southwark (member)]&amp;[London]"/>
                <p n="[Local Organisation].[CAB].[Member].&amp;[Southwark (member)]&amp;[London]"/>
                <p n="[Local Organisation].[CAB].[Government Region].&amp;[London]"/>
              </i>
              <i n="[Local Organisation].[CAB].[Outreach].&amp;[Bermondsey CAB]&amp;[Southwark Rent Arrears Clinic]&amp;[Southwark (member)]&amp;[London]" c="Southwark Rent Arrears Clinic">
                <p n="[Local Organisation].[CAB].[Bureau].&amp;[Bermondsey CAB]&amp;[Southwark (member)]&amp;[London]"/>
                <p n="[Local Organisation].[CAB].[Member].&amp;[Southwark (member)]&amp;[London]"/>
                <p n="[Local Organisation].[CAB].[Government Region].&amp;[London]"/>
              </i>
              <i n="[Local Organisation].[CAB].[Outreach].&amp;[Bermondsey CAB]&amp;[Southwark Universal Support]&amp;[Southwark (member)]&amp;[London]" c="Southwark Universal Support">
                <p n="[Local Organisation].[CAB].[Bureau].&amp;[Bermondsey CAB]&amp;[Southwark (member)]&amp;[London]"/>
                <p n="[Local Organisation].[CAB].[Member].&amp;[Southwark (member)]&amp;[London]"/>
                <p n="[Local Organisation].[CAB].[Government Region].&amp;[London]"/>
              </i>
              <i n="[Local Organisation].[CAB].[Outreach].&amp;[Peckham CAB]&amp;[Not recorded/not applicable]&amp;[Southwark (member)]&amp;[London]" c="Not recorded/not applicable">
                <p n="[Local Organisation].[CAB].[Bureau].&amp;[Peckham CAB]&amp;[Southwark (member)]&amp;[London]"/>
                <p n="[Local Organisation].[CAB].[Member].&amp;[Southwark (member)]&amp;[London]"/>
                <p n="[Local Organisation].[CAB].[Government Region].&amp;[London]"/>
              </i>
              <i n="[Local Organisation].[CAB].[Outreach].&amp;[Peckham CAB]&amp;[Southwark Bexley Library PW]&amp;[Southwark (member)]&amp;[London]" c="Southwark Bexley Library PW">
                <p n="[Local Organisation].[CAB].[Bureau].&amp;[Peckham CAB]&amp;[Southwark (member)]&amp;[London]"/>
                <p n="[Local Organisation].[CAB].[Member].&amp;[Southwark (member)]&amp;[London]"/>
                <p n="[Local Organisation].[CAB].[Government Region].&amp;[London]"/>
              </i>
              <i n="[Local Organisation].[CAB].[Outreach].&amp;[Peckham CAB]&amp;[Southwark Dimbleby Guys]&amp;[Southwark (member)]&amp;[London]" c="Southwark Dimbleby Guys">
                <p n="[Local Organisation].[CAB].[Bureau].&amp;[Peckham CAB]&amp;[Southwark (member)]&amp;[London]"/>
                <p n="[Local Organisation].[CAB].[Member].&amp;[Southwark (member)]&amp;[London]"/>
                <p n="[Local Organisation].[CAB].[Government Region].&amp;[London]"/>
              </i>
              <i n="[Local Organisation].[CAB].[Outreach].&amp;[Peckham CAB]&amp;[Southwark Dimbleby St Thomas']&amp;[Southwark (member)]&amp;[London]" c="Southwark Dimbleby St Thomas'">
                <p n="[Local Organisation].[CAB].[Bureau].&amp;[Peckham CAB]&amp;[Southwark (member)]&amp;[London]"/>
                <p n="[Local Organisation].[CAB].[Member].&amp;[Southwark (member)]&amp;[London]"/>
                <p n="[Local Organisation].[CAB].[Government Region].&amp;[London]"/>
              </i>
              <i n="[Local Organisation].[CAB].[Outreach].&amp;[Peckham CAB]&amp;[Southwark Family Law Clinic]&amp;[Southwark (member)]&amp;[London]" c="Southwark Family Law Clinic">
                <p n="[Local Organisation].[CAB].[Bureau].&amp;[Peckham CAB]&amp;[Southwark (member)]&amp;[London]"/>
                <p n="[Local Organisation].[CAB].[Member].&amp;[Southwark (member)]&amp;[London]"/>
                <p n="[Local Organisation].[CAB].[Government Region].&amp;[London]"/>
              </i>
              <i n="[Local Organisation].[CAB].[Outreach].&amp;[Peckham CAB]&amp;[Southwark Kingswood Estate]&amp;[Southwark (member)]&amp;[London]" c="Southwark Kingswood Estate">
                <p n="[Local Organisation].[CAB].[Bureau].&amp;[Peckham CAB]&amp;[Southwark (member)]&amp;[London]"/>
                <p n="[Local Organisation].[CAB].[Member].&amp;[Southwark (member)]&amp;[London]"/>
                <p n="[Local Organisation].[CAB].[Government Region].&amp;[London]"/>
              </i>
              <i n="[Local Organisation].[CAB].[Outreach].&amp;[Peckham CAB]&amp;[Southwark Macmillan Guys]&amp;[Southwark (member)]&amp;[London]" c="Southwark Macmillan Guys">
                <p n="[Local Organisation].[CAB].[Bureau].&amp;[Peckham CAB]&amp;[Southwark (member)]&amp;[London]"/>
                <p n="[Local Organisation].[CAB].[Member].&amp;[Southwark (member)]&amp;[London]"/>
                <p n="[Local Organisation].[CAB].[Government Region].&amp;[London]"/>
              </i>
              <i n="[Local Organisation].[CAB].[Outreach].&amp;[Peckham CAB]&amp;[Southwark Macmillan Kings]&amp;[Southwark (member)]&amp;[London]" c="Southwark Macmillan Kings">
                <p n="[Local Organisation].[CAB].[Bureau].&amp;[Peckham CAB]&amp;[Southwark (member)]&amp;[London]"/>
                <p n="[Local Organisation].[CAB].[Member].&amp;[Southwark (member)]&amp;[London]"/>
                <p n="[Local Organisation].[CAB].[Government Region].&amp;[London]"/>
              </i>
              <i n="[Local Organisation].[CAB].[Outreach].&amp;[Peckham CAB]&amp;[Southwark Macmillan Lewisham]&amp;[Southwark (member)]&amp;[London]" c="Southwark Macmillan Lewisham">
                <p n="[Local Organisation].[CAB].[Bureau].&amp;[Peckham CAB]&amp;[Southwark (member)]&amp;[London]"/>
                <p n="[Local Organisation].[CAB].[Member].&amp;[Southwark (member)]&amp;[London]"/>
                <p n="[Local Organisation].[CAB].[Government Region].&amp;[London]"/>
              </i>
              <i n="[Local Organisation].[CAB].[Outreach].&amp;[Peckham CAB]&amp;[Southwark Macmillan Queen Elizabeth]&amp;[Southwark (member)]&amp;[London]" c="Southwark Macmillan Queen Elizabeth">
                <p n="[Local Organisation].[CAB].[Bureau].&amp;[Peckham CAB]&amp;[Southwark (member)]&amp;[London]"/>
                <p n="[Local Organisation].[CAB].[Member].&amp;[Southwark (member)]&amp;[London]"/>
                <p n="[Local Organisation].[CAB].[Government Region].&amp;[London]"/>
              </i>
              <i n="[Local Organisation].[CAB].[Outreach].&amp;[Peckham CAB]&amp;[Southwark Macmillan St Thomas']&amp;[Southwark (member)]&amp;[London]" c="Southwark Macmillan St Thomas'">
                <p n="[Local Organisation].[CAB].[Bureau].&amp;[Peckham CAB]&amp;[Southwark (member)]&amp;[London]"/>
                <p n="[Local Organisation].[CAB].[Member].&amp;[Southwark (member)]&amp;[London]"/>
                <p n="[Local Organisation].[CAB].[Government Region].&amp;[London]"/>
              </i>
              <i n="[Local Organisation].[CAB].[Outreach].&amp;[Peckham CAB]&amp;[Southwark Money Savvy]&amp;[Southwark (member)]&amp;[London]" c="Southwark Money Savvy">
                <p n="[Local Organisation].[CAB].[Bureau].&amp;[Peckham CAB]&amp;[Southwark (member)]&amp;[London]"/>
                <p n="[Local Organisation].[CAB].[Member].&amp;[Southwark (member)]&amp;[London]"/>
                <p n="[Local Organisation].[CAB].[Government Region].&amp;[London]"/>
              </i>
              <i n="[Local Organisation].[CAB].[Outreach].&amp;[Peckham CAB]&amp;[Southwark United St Saviours]&amp;[Southwark (member)]&amp;[London]" c="Southwark United St Saviours">
                <p n="[Local Organisation].[CAB].[Bureau].&amp;[Peckham CAB]&amp;[Southwark (member)]&amp;[London]"/>
                <p n="[Local Organisation].[CAB].[Member].&amp;[Southwark (member)]&amp;[London]"/>
                <p n="[Local Organisation].[CAB].[Government Region].&amp;[London]"/>
              </i>
              <i n="[Local Organisation].[CAB].[Outreach].&amp;[Peckham CAB]&amp;[Southwark Universal Support]&amp;[Southwark (member)]&amp;[London]" c="Southwark Universal Support">
                <p n="[Local Organisation].[CAB].[Bureau].&amp;[Peckham CAB]&amp;[Southwark (member)]&amp;[London]"/>
                <p n="[Local Organisation].[CAB].[Member].&amp;[Southwark (member)]&amp;[London]"/>
                <p n="[Local Organisation].[CAB].[Government Region].&amp;[London]"/>
              </i>
              <i n="[Local Organisation].[CAB].[Outreach].&amp;[Peckham CAB]&amp;[Southwark Woolwich PW]&amp;[Southwark (member)]&amp;[London]" c="Southwark Woolwich PW">
                <p n="[Local Organisation].[CAB].[Bureau].&amp;[Peckham CAB]&amp;[Southwark (member)]&amp;[London]"/>
                <p n="[Local Organisation].[CAB].[Member].&amp;[Southwark (member)]&amp;[London]"/>
                <p n="[Local Organisation].[CAB].[Government Region].&amp;[London]"/>
              </i>
              <i n="[Local Organisation].[CAB].[Outreach].&amp;[Carshalton &amp; Wallington CAB]&amp;[Not recorded/not applicable]&amp;[Sutton Borough (member)]&amp;[London]" c="Not recorded/not applicable">
                <p n="[Local Organisation].[CAB].[Bureau].&amp;[Carshalton &amp; Wallington CAB]&amp;[Sutton Borough (member)]&amp;[London]"/>
                <p n="[Local Organisation].[CAB].[Member].&amp;[Sutton Borough (member)]&amp;[London]"/>
                <p n="[Local Organisation].[CAB].[Government Region].&amp;[London]"/>
              </i>
              <i n="[Local Organisation].[CAB].[Outreach].&amp;[Carshalton &amp; Wallington CAB]&amp;[Pension Wise Carshalton &amp; Wallington (Outreach)]&amp;[Sutton Borough (member)]&amp;[London]" c="Pension Wise Carshalton &amp; Wallington (Outreach)">
                <p n="[Local Organisation].[CAB].[Bureau].&amp;[Carshalton &amp; Wallington CAB]&amp;[Sutton Borough (member)]&amp;[London]"/>
                <p n="[Local Organisation].[CAB].[Member].&amp;[Sutton Borough (member)]&amp;[London]"/>
                <p n="[Local Organisation].[CAB].[Government Region].&amp;[London]"/>
              </i>
              <i n="[Local Organisation].[CAB].[Outreach].&amp;[Carshalton &amp; Wallington CAB]&amp;[Pension Wise Sutton (Outreach)]&amp;[Sutton Borough (member)]&amp;[London]" c="Pension Wise Sutton (Outreach)">
                <p n="[Local Organisation].[CAB].[Bureau].&amp;[Carshalton &amp; Wallington CAB]&amp;[Sutton Borough (member)]&amp;[London]"/>
                <p n="[Local Organisation].[CAB].[Member].&amp;[Sutton Borough (member)]&amp;[London]"/>
                <p n="[Local Organisation].[CAB].[Government Region].&amp;[London]"/>
              </i>
              <i n="[Local Organisation].[CAB].[Outreach].&amp;[Sutton Citizens Advice Bureau]&amp;[Not recorded/not applicable]&amp;[Sutton Borough (member)]&amp;[London]" c="Not recorded/not applicable">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Pension Wise Access Croydon (Outreach)]&amp;[Sutton Borough (member)]&amp;[London]" c="Pension Wise Access Croydon (Outreach)">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Pension Wise Bewbush Crawley (Outreach)]&amp;[Sutton Borough (member)]&amp;[London]" c="Pension Wise Bewbush Crawley (Outreach)">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Pension Wise Bromley (Outreach)]&amp;[Sutton Borough (member)]&amp;[London]" c="Pension Wise Bromley (Outreach)">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Pension Wise Bromley Library (Outreach)]&amp;[Sutton Borough (member)]&amp;[London]" c="Pension Wise Bromley Library (Outreach)">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Pension Wise Crawley (Outreach)]&amp;[Sutton Borough (member)]&amp;[London]" c="Pension Wise Crawley (Outreach)">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Pension Wise Croydon (Outreach)]&amp;[Sutton Borough (member)]&amp;[London]" c="Pension Wise Croydon (Outreach)">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Pension Wise Epsom (Outreach)]&amp;[Sutton Borough (member)]&amp;[London]" c="Pension Wise Epsom (Outreach)">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Pension Wise Kingston (Outreach)]&amp;[Sutton Borough (member)]&amp;[London]" c="Pension Wise Kingston (Outreach)">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Sutton CABx Energy Best Deal]&amp;[Sutton Borough (member)]&amp;[London]" c="Sutton CABx Energy Best Deal">
                <p n="[Local Organisation].[CAB].[Bureau].&amp;[Sutton Citizens Advice Bureau]&amp;[Sutton Borough (member)]&amp;[London]"/>
                <p n="[Local Organisation].[CAB].[Member].&amp;[Sutton Borough (member)]&amp;[London]"/>
                <p n="[Local Organisation].[CAB].[Government Region].&amp;[London]"/>
              </i>
              <i n="[Local Organisation].[CAB].[Outreach].&amp;[Sutton Citizens Advice Bureau]&amp;[Sutton CABX SCILL (Outreach)]&amp;[Sutton Borough (member)]&amp;[London]" c="Sutton CABX SCILL (Outreach)">
                <p n="[Local Organisation].[CAB].[Bureau].&amp;[Sutton Citizens Advice Bureau]&amp;[Sutton Borough (member)]&amp;[London]"/>
                <p n="[Local Organisation].[CAB].[Member].&amp;[Sutton Borough (member)]&amp;[London]"/>
                <p n="[Local Organisation].[CAB].[Government Region].&amp;[London]"/>
              </i>
              <i n="[Local Organisation].[CAB].[Outreach].&amp;[Waltham Forest CAB]&amp;[North East London - Pension Wise - Home Visit]&amp;[Waltham Forest (member)]&amp;[London]" c="North East London - Pension Wise - Home Visit">
                <p n="[Local Organisation].[CAB].[Bureau].&amp;[Waltham Forest CAB]&amp;[Waltham Forest (member)]&amp;[London]"/>
                <p n="[Local Organisation].[CAB].[Member].&amp;[Waltham Forest (member)]&amp;[London]"/>
                <p n="[Local Organisation].[CAB].[Government Region].&amp;[London]"/>
              </i>
              <i n="[Local Organisation].[CAB].[Outreach].&amp;[Waltham Forest CAB]&amp;[Not recorded/not applicable]&amp;[Waltham Forest (member)]&amp;[London]" c="Not recorded/not applicable">
                <p n="[Local Organisation].[CAB].[Bureau].&amp;[Waltham Forest CAB]&amp;[Waltham Forest (member)]&amp;[London]"/>
                <p n="[Local Organisation].[CAB].[Member].&amp;[Waltham Forest (member)]&amp;[London]"/>
                <p n="[Local Organisation].[CAB].[Government Region].&amp;[London]"/>
              </i>
              <i n="[Local Organisation].[CAB].[Outreach].&amp;[Waltham Forest CAB]&amp;[Waltham Forest - Advocacy - Outreach/Home Visit]&amp;[Waltham Forest (member)]&amp;[London]" c="Waltham Forest - Advocacy - Outreach/Home Visit">
                <p n="[Local Organisation].[CAB].[Bureau].&amp;[Waltham Forest CAB]&amp;[Waltham Forest (member)]&amp;[London]"/>
                <p n="[Local Organisation].[CAB].[Member].&amp;[Waltham Forest (member)]&amp;[London]"/>
                <p n="[Local Organisation].[CAB].[Government Region].&amp;[London]"/>
              </i>
              <i n="[Local Organisation].[CAB].[Outreach].&amp;[Waltham Forest CAB]&amp;[Waltham Forest - Ascham Homes - Leytonstone Library]&amp;[Waltham Forest (member)]&amp;[London]" c="Waltham Forest - Ascham Homes - Leytonstone Library">
                <p n="[Local Organisation].[CAB].[Bureau].&amp;[Waltham Forest CAB]&amp;[Waltham Forest (member)]&amp;[London]"/>
                <p n="[Local Organisation].[CAB].[Member].&amp;[Waltham Forest (member)]&amp;[London]"/>
                <p n="[Local Organisation].[CAB].[Government Region].&amp;[London]"/>
              </i>
              <i n="[Local Organisation].[CAB].[Outreach].&amp;[Waltham Forest CAB]&amp;[Waltham Forest - Capitalise - Debt Surgery]&amp;[Waltham Forest (member)]&amp;[London]" c="Waltham Forest - Capitalise - Debt Surgery">
                <p n="[Local Organisation].[CAB].[Bureau].&amp;[Waltham Forest CAB]&amp;[Waltham Forest (member)]&amp;[London]"/>
                <p n="[Local Organisation].[CAB].[Member].&amp;[Waltham Forest (member)]&amp;[London]"/>
                <p n="[Local Organisation].[CAB].[Government Region].&amp;[London]"/>
              </i>
              <i n="[Local Organisation].[CAB].[Outreach].&amp;[Waltham Forest CAB]&amp;[Waltham Forest - Capitalise - Enfield]&amp;[Waltham Forest (member)]&amp;[London]" c="Waltham Forest - Capitalise - Enfield">
                <p n="[Local Organisation].[CAB].[Bureau].&amp;[Waltham Forest CAB]&amp;[Waltham Forest (member)]&amp;[London]"/>
                <p n="[Local Organisation].[CAB].[Member].&amp;[Waltham Forest (member)]&amp;[London]"/>
                <p n="[Local Organisation].[CAB].[Government Region].&amp;[London]"/>
              </i>
              <i n="[Local Organisation].[CAB].[Outreach].&amp;[Waltham Forest CAB]&amp;[Waltham Forest - Capitalise - Leyton Library]&amp;[Waltham Forest (member)]&amp;[London]" c="Waltham Forest - Capitalise - Leyton Library">
                <p n="[Local Organisation].[CAB].[Bureau].&amp;[Waltham Forest CAB]&amp;[Waltham Forest (member)]&amp;[London]"/>
                <p n="[Local Organisation].[CAB].[Member].&amp;[Waltham Forest (member)]&amp;[London]"/>
                <p n="[Local Organisation].[CAB].[Government Region].&amp;[London]"/>
              </i>
              <i n="[Local Organisation].[CAB].[Outreach].&amp;[Waltham Forest CAB]&amp;[Waltham Forest - Capitalise - Walthamstow Library]&amp;[Waltham Forest (member)]&amp;[London]" c="Waltham Forest - Capitalise - Walthamstow Library">
                <p n="[Local Organisation].[CAB].[Bureau].&amp;[Waltham Forest CAB]&amp;[Waltham Forest (member)]&amp;[London]"/>
                <p n="[Local Organisation].[CAB].[Member].&amp;[Waltham Forest (member)]&amp;[London]"/>
                <p n="[Local Organisation].[CAB].[Government Region].&amp;[London]"/>
              </i>
              <i n="[Local Organisation].[CAB].[Outreach].&amp;[Waltham Forest CAB]&amp;[Waltham Forest - Capitalise (Disability)]&amp;[Waltham Forest (member)]&amp;[London]" c="Waltham Forest - Capitalise (Disability)">
                <p n="[Local Organisation].[CAB].[Bureau].&amp;[Waltham Forest CAB]&amp;[Waltham Forest (member)]&amp;[London]"/>
                <p n="[Local Organisation].[CAB].[Member].&amp;[Waltham Forest (member)]&amp;[London]"/>
                <p n="[Local Organisation].[CAB].[Government Region].&amp;[London]"/>
              </i>
              <i n="[Local Organisation].[CAB].[Outreach].&amp;[Waltham Forest CAB]&amp;[Waltham Forest - Capitalise (Disability) - Reaching Out East]&amp;[Waltham Forest (member)]&amp;[London]" c="Waltham Forest - Capitalise (Disability) - Reaching Out East">
                <p n="[Local Organisation].[CAB].[Bureau].&amp;[Waltham Forest CAB]&amp;[Waltham Forest (member)]&amp;[London]"/>
                <p n="[Local Organisation].[CAB].[Member].&amp;[Waltham Forest (member)]&amp;[London]"/>
                <p n="[Local Organisation].[CAB].[Government Region].&amp;[London]"/>
              </i>
              <i n="[Local Organisation].[CAB].[Outreach].&amp;[Waltham Forest CAB]&amp;[Waltham Forest - Form Filling - Leyton Library]&amp;[Waltham Forest (member)]&amp;[London]" c="Waltham Forest - Form Filling - Leyton Library">
                <p n="[Local Organisation].[CAB].[Bureau].&amp;[Waltham Forest CAB]&amp;[Waltham Forest (member)]&amp;[London]"/>
                <p n="[Local Organisation].[CAB].[Member].&amp;[Waltham Forest (member)]&amp;[London]"/>
                <p n="[Local Organisation].[CAB].[Government Region].&amp;[London]"/>
              </i>
              <i n="[Local Organisation].[CAB].[Outreach].&amp;[Waltham Forest CAB]&amp;[Waltham Forest - Form Filling - Leytonstone Library]&amp;[Waltham Forest (member)]&amp;[London]" c="Waltham Forest - Form Filling - Leytonstone Library">
                <p n="[Local Organisation].[CAB].[Bureau].&amp;[Waltham Forest CAB]&amp;[Waltham Forest (member)]&amp;[London]"/>
                <p n="[Local Organisation].[CAB].[Member].&amp;[Waltham Forest (member)]&amp;[London]"/>
                <p n="[Local Organisation].[CAB].[Government Region].&amp;[London]"/>
              </i>
              <i n="[Local Organisation].[CAB].[Outreach].&amp;[Waltham Forest CAB]&amp;[Waltham Forest - GP Outreach]&amp;[Waltham Forest (member)]&amp;[London]" c="Waltham Forest - GP Outreach">
                <p n="[Local Organisation].[CAB].[Bureau].&amp;[Waltham Forest CAB]&amp;[Waltham Forest (member)]&amp;[London]"/>
                <p n="[Local Organisation].[CAB].[Member].&amp;[Waltham Forest (member)]&amp;[London]"/>
                <p n="[Local Organisation].[CAB].[Government Region].&amp;[London]"/>
              </i>
              <i n="[Local Organisation].[CAB].[Outreach].&amp;[Waltham Forest CAB]&amp;[Waltham Forest - L&amp;Q - Leyton Library]&amp;[Waltham Forest (member)]&amp;[London]" c="Waltham Forest - L&amp;Q - Leyton Library">
                <p n="[Local Organisation].[CAB].[Bureau].&amp;[Waltham Forest CAB]&amp;[Waltham Forest (member)]&amp;[London]"/>
                <p n="[Local Organisation].[CAB].[Member].&amp;[Waltham Forest (member)]&amp;[London]"/>
                <p n="[Local Organisation].[CAB].[Government Region].&amp;[London]"/>
              </i>
              <i n="[Local Organisation].[CAB].[Outreach].&amp;[Waltham Forest CAB]&amp;[Waltham Forest - Mental Health - CRT Central]&amp;[Waltham Forest (member)]&amp;[London]" c="Waltham Forest - Mental Health - CRT Central">
                <p n="[Local Organisation].[CAB].[Bureau].&amp;[Waltham Forest CAB]&amp;[Waltham Forest (member)]&amp;[London]"/>
                <p n="[Local Organisation].[CAB].[Member].&amp;[Waltham Forest (member)]&amp;[London]"/>
                <p n="[Local Organisation].[CAB].[Government Region].&amp;[London]"/>
              </i>
              <i n="[Local Organisation].[CAB].[Outreach].&amp;[Waltham Forest CAB]&amp;[Waltham Forest - Money Matters - Budgeting Sessions]&amp;[Waltham Forest (member)]&amp;[London]" c="Waltham Forest - Money Matters - Budgeting Sessions">
                <p n="[Local Organisation].[CAB].[Bureau].&amp;[Waltham Forest CAB]&amp;[Waltham Forest (member)]&amp;[London]"/>
                <p n="[Local Organisation].[CAB].[Member].&amp;[Waltham Forest (member)]&amp;[London]"/>
                <p n="[Local Organisation].[CAB].[Government Region].&amp;[London]"/>
              </i>
              <i n="[Local Organisation].[CAB].[Outreach].&amp;[Waltham Forest CAB]&amp;[Waltham Forest - Money Matters - Chingford Children's Centre]&amp;[Waltham Forest (member)]&amp;[London]" c="Waltham Forest - Money Matters - Chingford Children's Centre">
                <p n="[Local Organisation].[CAB].[Bureau].&amp;[Waltham Forest CAB]&amp;[Waltham Forest (member)]&amp;[London]"/>
                <p n="[Local Organisation].[CAB].[Member].&amp;[Waltham Forest (member)]&amp;[London]"/>
                <p n="[Local Organisation].[CAB].[Government Region].&amp;[London]"/>
              </i>
              <i n="[Local Organisation].[CAB].[Outreach].&amp;[Waltham Forest CAB]&amp;[Waltham Forest - Money Matters - Hoe Street]&amp;[Waltham Forest (member)]&amp;[London]" c="Waltham Forest - Money Matters - Hoe Street">
                <p n="[Local Organisation].[CAB].[Bureau].&amp;[Waltham Forest CAB]&amp;[Waltham Forest (member)]&amp;[London]"/>
                <p n="[Local Organisation].[CAB].[Member].&amp;[Waltham Forest (member)]&amp;[London]"/>
                <p n="[Local Organisation].[CAB].[Government Region].&amp;[London]"/>
              </i>
              <i n="[Local Organisation].[CAB].[Outreach].&amp;[Waltham Forest CAB]&amp;[Waltham Forest - Money Matters - Leyton (Queen's Road) Children's Centre]&amp;[Waltham Forest (member)]&amp;[London]" c="Waltham Forest - Money Matters - Leyton (Queen's Road) Children's Centre">
                <p n="[Local Organisation].[CAB].[Bureau].&amp;[Waltham Forest CAB]&amp;[Waltham Forest (member)]&amp;[London]"/>
                <p n="[Local Organisation].[CAB].[Member].&amp;[Waltham Forest (member)]&amp;[London]"/>
                <p n="[Local Organisation].[CAB].[Government Region].&amp;[London]"/>
              </i>
              <i n="[Local Organisation].[CAB].[Outreach].&amp;[Waltham Forest CAB]&amp;[Waltham Forest - Money Matters - Leytonstone Children's Centre]&amp;[Waltham Forest (member)]&amp;[London]" c="Waltham Forest - Money Matters - Leytonstone Children's Centre">
                <p n="[Local Organisation].[CAB].[Bureau].&amp;[Waltham Forest CAB]&amp;[Waltham Forest (member)]&amp;[London]"/>
                <p n="[Local Organisation].[CAB].[Member].&amp;[Waltham Forest (member)]&amp;[London]"/>
                <p n="[Local Organisation].[CAB].[Government Region].&amp;[London]"/>
              </i>
              <i n="[Local Organisation].[CAB].[Outreach].&amp;[Waltham Forest CAB]&amp;[Waltham Forest - Money Matters - Walthamstow (Billet Rd) Children's Centre]&amp;[Waltham Forest (member)]&amp;[London]" c="Waltham Forest - Money Matters - Walthamstow (Billet Rd) Children's Centre">
                <p n="[Local Organisation].[CAB].[Bureau].&amp;[Waltham Forest CAB]&amp;[Waltham Forest (member)]&amp;[London]"/>
                <p n="[Local Organisation].[CAB].[Member].&amp;[Waltham Forest (member)]&amp;[London]"/>
                <p n="[Local Organisation].[CAB].[Government Region].&amp;[London]"/>
              </i>
              <i n="[Local Organisation].[CAB].[Outreach].&amp;[Waltham Forest CAB]&amp;[Waltham Forest - Money Matters Callbacks]&amp;[Waltham Forest (member)]&amp;[London]" c="Waltham Forest - Money Matters Callbacks">
                <p n="[Local Organisation].[CAB].[Bureau].&amp;[Waltham Forest CAB]&amp;[Waltham Forest (member)]&amp;[London]"/>
                <p n="[Local Organisation].[CAB].[Member].&amp;[Waltham Forest (member)]&amp;[London]"/>
                <p n="[Local Organisation].[CAB].[Government Region].&amp;[London]"/>
              </i>
              <i n="[Local Organisation].[CAB].[Outreach].&amp;[Waltham Forest CAB]&amp;[Waltham Forest - Specialist Advocacy Meetings]&amp;[Waltham Forest (member)]&amp;[London]" c="Waltham Forest - Specialist Advocacy Meetings">
                <p n="[Local Organisation].[CAB].[Bureau].&amp;[Waltham Forest CAB]&amp;[Waltham Forest (member)]&amp;[London]"/>
                <p n="[Local Organisation].[CAB].[Member].&amp;[Waltham Forest (member)]&amp;[London]"/>
                <p n="[Local Organisation].[CAB].[Government Region].&amp;[London]"/>
              </i>
              <i n="[Local Organisation].[CAB].[Outreach].&amp;[Waltham Forest CAB]&amp;[Waltham Forest-Ascham Homes-Fulbourne Rd]&amp;[Waltham Forest (member)]&amp;[London]" c="Waltham Forest-Ascham Homes-Fulbourne Rd">
                <p n="[Local Organisation].[CAB].[Bureau].&amp;[Waltham Forest CAB]&amp;[Waltham Forest (member)]&amp;[London]"/>
                <p n="[Local Organisation].[CAB].[Member].&amp;[Waltham Forest (member)]&amp;[London]"/>
                <p n="[Local Organisation].[CAB].[Government Region].&amp;[London]"/>
              </i>
              <i n="[Local Organisation].[CAB].[Outreach].&amp;[Waltham Forest CAB]&amp;[Waltham Forest-MDA-Leyton Children's Centre]&amp;[Waltham Forest (member)]&amp;[London]" c="Waltham Forest-MDA-Leyton Children's Centre">
                <p n="[Local Organisation].[CAB].[Bureau].&amp;[Waltham Forest CAB]&amp;[Waltham Forest (member)]&amp;[London]"/>
                <p n="[Local Organisation].[CAB].[Member].&amp;[Waltham Forest (member)]&amp;[London]"/>
                <p n="[Local Organisation].[CAB].[Government Region].&amp;[London]"/>
              </i>
              <i n="[Local Organisation].[CAB].[Outreach].&amp;[Waltham Forest CAB]&amp;[Waltham Forest-MDA-Leyton Library]&amp;[Waltham Forest (member)]&amp;[London]" c="Waltham Forest-MDA-Leyton Library">
                <p n="[Local Organisation].[CAB].[Bureau].&amp;[Waltham Forest CAB]&amp;[Waltham Forest (member)]&amp;[London]"/>
                <p n="[Local Organisation].[CAB].[Member].&amp;[Waltham Forest (member)]&amp;[London]"/>
                <p n="[Local Organisation].[CAB].[Government Region].&amp;[London]"/>
              </i>
              <i n="[Local Organisation].[CAB].[Outreach].&amp;[Waltham Forest CAB]&amp;[Waltham Forest-Mental Health-CRT North]&amp;[Waltham Forest (member)]&amp;[London]" c="Waltham Forest-Mental Health-CRT North">
                <p n="[Local Organisation].[CAB].[Bureau].&amp;[Waltham Forest CAB]&amp;[Waltham Forest (member)]&amp;[London]"/>
                <p n="[Local Organisation].[CAB].[Member].&amp;[Waltham Forest (member)]&amp;[London]"/>
                <p n="[Local Organisation].[CAB].[Government Region].&amp;[London]"/>
              </i>
              <i n="[Local Organisation].[CAB].[Outreach].&amp;[Waltham Forest CAB]&amp;[Waltham Forest-Mental Health-CRT South]&amp;[Waltham Forest (member)]&amp;[London]" c="Waltham Forest-Mental Health-CRT South">
                <p n="[Local Organisation].[CAB].[Bureau].&amp;[Waltham Forest CAB]&amp;[Waltham Forest (member)]&amp;[London]"/>
                <p n="[Local Organisation].[CAB].[Member].&amp;[Waltham Forest (member)]&amp;[London]"/>
                <p n="[Local Organisation].[CAB].[Government Region].&amp;[London]"/>
              </i>
              <i n="[Local Organisation].[CAB].[Outreach].&amp;[Wandsworth (Battersea Library) CAB]&amp;[Not recorded/not applicable]&amp;[Wandsworth (member)]&amp;[London]" c="Not recorded/not applicable">
                <p n="[Local Organisation].[CAB].[Bureau].&amp;[Wandsworth (Battersea Library) CAB]&amp;[Wandsworth (member)]&amp;[London]"/>
                <p n="[Local Organisation].[CAB].[Member].&amp;[Wandsworth (member)]&amp;[London]"/>
                <p n="[Local Organisation].[CAB].[Government Region].&amp;[London]"/>
              </i>
              <i n="[Local Organisation].[CAB].[Outreach].&amp;[Wandsworth (Battersea Library) CAB]&amp;[Wandsworth BL Moneyplan]&amp;[Wandsworth (member)]&amp;[London]" c="Wandsworth BL Moneyplan">
                <p n="[Local Organisation].[CAB].[Bureau].&amp;[Wandsworth (Battersea Library) CAB]&amp;[Wandsworth (member)]&amp;[London]"/>
                <p n="[Local Organisation].[CAB].[Member].&amp;[Wandsworth (member)]&amp;[London]"/>
                <p n="[Local Organisation].[CAB].[Government Region].&amp;[London]"/>
              </i>
              <i n="[Local Organisation].[CAB].[Outreach].&amp;[Wandsworth (Battersea Library) CAB]&amp;[Wandsworth CCHTHC]&amp;[Wandsworth (member)]&amp;[London]" c="Wandsworth CCHTHC">
                <p n="[Local Organisation].[CAB].[Bureau].&amp;[Wandsworth (Battersea Library) CAB]&amp;[Wandsworth (member)]&amp;[London]"/>
                <p n="[Local Organisation].[CAB].[Member].&amp;[Wandsworth (member)]&amp;[London]"/>
                <p n="[Local Organisation].[CAB].[Government Region].&amp;[London]"/>
              </i>
              <i n="[Local Organisation].[CAB].[Outreach].&amp;[Wandsworth (Battersea Library) CAB]&amp;[Wandsworth WandleHA]&amp;[Wandsworth (member)]&amp;[London]" c="Wandsworth WandleHA">
                <p n="[Local Organisation].[CAB].[Bureau].&amp;[Wandsworth (Battersea Library) CAB]&amp;[Wandsworth (member)]&amp;[London]"/>
                <p n="[Local Organisation].[CAB].[Member].&amp;[Wandsworth (member)]&amp;[London]"/>
                <p n="[Local Organisation].[CAB].[Government Region].&amp;[London]"/>
              </i>
              <i n="[Local Organisation].[CAB].[Outreach].&amp;[Wandsworth (DASCAS)]&amp;[Not recorded/not applicable]&amp;[Wandsworth (member)]&amp;[London]" c="Not recorded/not applicable">
                <p n="[Local Organisation].[CAB].[Bureau].&amp;[Wandsworth (DASCAS)]&amp;[Wandsworth (member)]&amp;[London]"/>
                <p n="[Local Organisation].[CAB].[Member].&amp;[Wandsworth (member)]&amp;[London]"/>
                <p n="[Local Organisation].[CAB].[Government Region].&amp;[London]"/>
              </i>
              <i n="[Local Organisation].[CAB].[Outreach].&amp;[Wandsworth (DASCAS)]&amp;[Wandsworth DASCAS BCCG]&amp;[Wandsworth (member)]&amp;[London]" c="Wandsworth DASCAS BCCG">
                <p n="[Local Organisation].[CAB].[Bureau].&amp;[Wandsworth (DASCAS)]&amp;[Wandsworth (member)]&amp;[London]"/>
                <p n="[Local Organisation].[CAB].[Member].&amp;[Wandsworth (member)]&amp;[London]"/>
                <p n="[Local Organisation].[CAB].[Government Region].&amp;[London]"/>
              </i>
              <i n="[Local Organisation].[CAB].[Outreach].&amp;[Wandsworth (DASCAS)]&amp;[WANDSWORTH DASCAS BCCG Home visit]&amp;[Wandsworth (member)]&amp;[London]" c="WANDSWORTH DASCAS BCCG Home visit">
                <p n="[Local Organisation].[CAB].[Bureau].&amp;[Wandsworth (DASCAS)]&amp;[Wandsworth (member)]&amp;[London]"/>
                <p n="[Local Organisation].[CAB].[Member].&amp;[Wandsworth (member)]&amp;[London]"/>
                <p n="[Local Organisation].[CAB].[Government Region].&amp;[London]"/>
              </i>
              <i n="[Local Organisation].[CAB].[Outreach].&amp;[Wandsworth (DASCAS)]&amp;[Wandsworth DASCAS WBC]&amp;[Wandsworth (member)]&amp;[London]" c="Wandsworth DASCAS WBC">
                <p n="[Local Organisation].[CAB].[Bureau].&amp;[Wandsworth (DASCAS)]&amp;[Wandsworth (member)]&amp;[London]"/>
                <p n="[Local Organisation].[CAB].[Member].&amp;[Wandsworth (member)]&amp;[London]"/>
                <p n="[Local Organisation].[CAB].[Government Region].&amp;[London]"/>
              </i>
              <i n="[Local Organisation].[CAB].[Outreach].&amp;[Wandsworth (DASCAS)]&amp;[WANDSWORTH DASCAS WBC Home Visit]&amp;[Wandsworth (member)]&amp;[London]" c="WANDSWORTH DASCAS WBC Home Visit">
                <p n="[Local Organisation].[CAB].[Bureau].&amp;[Wandsworth (DASCAS)]&amp;[Wandsworth (member)]&amp;[London]"/>
                <p n="[Local Organisation].[CAB].[Member].&amp;[Wandsworth (member)]&amp;[London]"/>
                <p n="[Local Organisation].[CAB].[Government Region].&amp;[London]"/>
              </i>
              <i n="[Local Organisation].[CAB].[Outreach].&amp;[Wandsworth (Mission House) CAB]&amp;[Not recorded/not applicable]&amp;[Wandsworth (member)]&amp;[London]" c="Not recorded/not applicable">
                <p n="[Local Organisation].[CAB].[Bureau].&amp;[Wandsworth (Mission House) CAB]&amp;[Wandsworth (member)]&amp;[London]"/>
                <p n="[Local Organisation].[CAB].[Member].&amp;[Wandsworth (member)]&amp;[London]"/>
                <p n="[Local Organisation].[CAB].[Government Region].&amp;[London]"/>
              </i>
              <i n="[Local Organisation].[CAB].[Outreach].&amp;[Wandsworth (Mission House) CAB]&amp;[Wandsworth Food Bank]&amp;[Wandsworth (member)]&amp;[London]" c="Wandsworth Food Bank">
                <p n="[Local Organisation].[CAB].[Bureau].&amp;[Wandsworth (Mission House) CAB]&amp;[Wandsworth (member)]&amp;[London]"/>
                <p n="[Local Organisation].[CAB].[Member].&amp;[Wandsworth (member)]&amp;[London]"/>
                <p n="[Local Organisation].[CAB].[Government Region].&amp;[London]"/>
              </i>
              <i n="[Local Organisation].[CAB].[Outreach].&amp;[Wandsworth (Mission House) CAB]&amp;[Wandsworth MH Telephone Advice]&amp;[Wandsworth (member)]&amp;[London]" c="Wandsworth MH Telephone Advice">
                <p n="[Local Organisation].[CAB].[Bureau].&amp;[Wandsworth (Mission House) CAB]&amp;[Wandsworth (member)]&amp;[London]"/>
                <p n="[Local Organisation].[CAB].[Member].&amp;[Wandsworth (member)]&amp;[London]"/>
                <p n="[Local Organisation].[CAB].[Government Region].&amp;[London]"/>
              </i>
              <i n="[Local Organisation].[CAB].[Outreach].&amp;[Wandsworth (Mission House) CAB]&amp;[Wandsworth MH Telephone callback]&amp;[Wandsworth (member)]&amp;[London]" c="Wandsworth MH Telephone callback">
                <p n="[Local Organisation].[CAB].[Bureau].&amp;[Wandsworth (Mission House) CAB]&amp;[Wandsworth (member)]&amp;[London]"/>
                <p n="[Local Organisation].[CAB].[Member].&amp;[Wandsworth (member)]&amp;[London]"/>
                <p n="[Local Organisation].[CAB].[Government Region].&amp;[London]"/>
              </i>
              <i n="[Local Organisation].[CAB].[Outreach].&amp;[Wandsworth (Mission House) CAB]&amp;[Wandsworth Pound Advice]&amp;[Wandsworth (member)]&amp;[London]" c="Wandsworth Pound Advice">
                <p n="[Local Organisation].[CAB].[Bureau].&amp;[Wandsworth (Mission House) CAB]&amp;[Wandsworth (member)]&amp;[London]"/>
                <p n="[Local Organisation].[CAB].[Member].&amp;[Wandsworth (member)]&amp;[London]"/>
                <p n="[Local Organisation].[CAB].[Government Region].&amp;[London]"/>
              </i>
              <i n="[Local Organisation].[CAB].[Outreach].&amp;[Wandsworth (Mission House) CAB]&amp;[Wandsworth Tooting Library]&amp;[Wandsworth (member)]&amp;[London]" c="Wandsworth Tooting Library">
                <p n="[Local Organisation].[CAB].[Bureau].&amp;[Wandsworth (Mission House) CAB]&amp;[Wandsworth (member)]&amp;[London]"/>
                <p n="[Local Organisation].[CAB].[Member].&amp;[Wandsworth (member)]&amp;[London]"/>
                <p n="[Local Organisation].[CAB].[Government Region].&amp;[London]"/>
              </i>
              <i n="[Local Organisation].[CAB].[Outreach].&amp;[Wandsworth (Roehampton) CAB]&amp;[Not recorded/not applicable]&amp;[Wandsworth (member)]&amp;[London]" c="Not recorded/not applicable">
                <p n="[Local Organisation].[CAB].[Bureau].&amp;[Wandsworth (Roehampton) CAB]&amp;[Wandsworth (member)]&amp;[London]"/>
                <p n="[Local Organisation].[CAB].[Member].&amp;[Wandsworth (member)]&amp;[London]"/>
                <p n="[Local Organisation].[CAB].[Government Region].&amp;[London]"/>
              </i>
              <i n="[Local Organisation].[CAB].[Outreach].&amp;[Wandsworth (Roehampton) CAB]&amp;[Wandsworth Battersea CCG Project]&amp;[Wandsworth (member)]&amp;[London]" c="Wandsworth Battersea CCG Project">
                <p n="[Local Organisation].[CAB].[Bureau].&amp;[Wandsworth (Roehampton) CAB]&amp;[Wandsworth (member)]&amp;[London]"/>
                <p n="[Local Organisation].[CAB].[Member].&amp;[Wandsworth (member)]&amp;[London]"/>
                <p n="[Local Organisation].[CAB].[Government Region].&amp;[London]"/>
              </i>
              <i n="[Local Organisation].[CAB].[Outreach].&amp;[Wandsworth (Roehampton) CAB]&amp;[Wandsworth JC Plus PBS]&amp;[Wandsworth (member)]&amp;[London]" c="Wandsworth JC Plus PBS">
                <p n="[Local Organisation].[CAB].[Bureau].&amp;[Wandsworth (Roehampton) CAB]&amp;[Wandsworth (member)]&amp;[London]"/>
                <p n="[Local Organisation].[CAB].[Member].&amp;[Wandsworth (member)]&amp;[London]"/>
                <p n="[Local Organisation].[CAB].[Government Region].&amp;[London]"/>
              </i>
              <i n="[Local Organisation].[CAB].[Outreach].&amp;[Wandsworth (Roehampton) CAB]&amp;[Wandsworth Macmillan Bureau]&amp;[Wandsworth (member)]&amp;[London]" c="Wandsworth Macmillan Bureau">
                <p n="[Local Organisation].[CAB].[Bureau].&amp;[Wandsworth (Roehampton) CAB]&amp;[Wandsworth (member)]&amp;[London]"/>
                <p n="[Local Organisation].[CAB].[Member].&amp;[Wandsworth (member)]&amp;[London]"/>
                <p n="[Local Organisation].[CAB].[Government Region].&amp;[London]"/>
              </i>
              <i n="[Local Organisation].[CAB].[Outreach].&amp;[Wandsworth (Roehampton) CAB]&amp;[Wandsworth Macmillan Kingston]&amp;[Wandsworth (member)]&amp;[London]" c="Wandsworth Macmillan Kingston">
                <p n="[Local Organisation].[CAB].[Bureau].&amp;[Wandsworth (Roehampton) CAB]&amp;[Wandsworth (member)]&amp;[London]"/>
                <p n="[Local Organisation].[CAB].[Member].&amp;[Wandsworth (member)]&amp;[London]"/>
                <p n="[Local Organisation].[CAB].[Government Region].&amp;[London]"/>
              </i>
              <i n="[Local Organisation].[CAB].[Outreach].&amp;[Wandsworth (Roehampton) CAB]&amp;[Wandsworth Macmillan Other]&amp;[Wandsworth (member)]&amp;[London]" c="Wandsworth Macmillan Other">
                <p n="[Local Organisation].[CAB].[Bureau].&amp;[Wandsworth (Roehampton) CAB]&amp;[Wandsworth (member)]&amp;[London]"/>
                <p n="[Local Organisation].[CAB].[Member].&amp;[Wandsworth (member)]&amp;[London]"/>
                <p n="[Local Organisation].[CAB].[Government Region].&amp;[London]"/>
              </i>
              <i n="[Local Organisation].[CAB].[Outreach].&amp;[Wandsworth (Roehampton) CAB]&amp;[Wandsworth Macmillan St. George's]&amp;[Wandsworth (member)]&amp;[London]" c="Wandsworth Macmillan St. George's">
                <p n="[Local Organisation].[CAB].[Bureau].&amp;[Wandsworth (Roehampton) CAB]&amp;[Wandsworth (member)]&amp;[London]"/>
                <p n="[Local Organisation].[CAB].[Member].&amp;[Wandsworth (member)]&amp;[London]"/>
                <p n="[Local Organisation].[CAB].[Government Region].&amp;[London]"/>
              </i>
              <i n="[Local Organisation].[CAB].[Outreach].&amp;[Wandsworth (Roehampton) CAB]&amp;[Wandsworth Macmillan Trinity Hospice]&amp;[Wandsworth (member)]&amp;[London]" c="Wandsworth Macmillan Trinity Hospice">
                <p n="[Local Organisation].[CAB].[Bureau].&amp;[Wandsworth (Roehampton) CAB]&amp;[Wandsworth (member)]&amp;[London]"/>
                <p n="[Local Organisation].[CAB].[Member].&amp;[Wandsworth (member)]&amp;[London]"/>
                <p n="[Local Organisation].[CAB].[Government Region].&amp;[London]"/>
              </i>
              <i n="[Local Organisation].[CAB].[Outreach].&amp;[Wandsworth (Roehampton) CAB]&amp;[Wandsworth Major Trauma]&amp;[Wandsworth (member)]&amp;[London]" c="Wandsworth Major Trauma">
                <p n="[Local Organisation].[CAB].[Bureau].&amp;[Wandsworth (Roehampton) CAB]&amp;[Wandsworth (member)]&amp;[London]"/>
                <p n="[Local Organisation].[CAB].[Member].&amp;[Wandsworth (member)]&amp;[London]"/>
                <p n="[Local Organisation].[CAB].[Government Region].&amp;[London]"/>
              </i>
              <i n="[Local Organisation].[CAB].[Outreach].&amp;[Wandsworth (Roehampton) CAB]&amp;[Wandsworth RH Moneyplan]&amp;[Wandsworth (member)]&amp;[London]" c="Wandsworth RH Moneyplan">
                <p n="[Local Organisation].[CAB].[Bureau].&amp;[Wandsworth (Roehampton) CAB]&amp;[Wandsworth (member)]&amp;[London]"/>
                <p n="[Local Organisation].[CAB].[Member].&amp;[Wandsworth (member)]&amp;[London]"/>
                <p n="[Local Organisation].[CAB].[Government Region].&amp;[London]"/>
              </i>
              <i n="[Local Organisation].[CAB].[Outreach].&amp;[Wandsworth (Roehampton) CAB]&amp;[Wandsworth RH Telephone Advice]&amp;[Wandsworth (member)]&amp;[London]" c="Wandsworth RH Telephone Advice">
                <p n="[Local Organisation].[CAB].[Bureau].&amp;[Wandsworth (Roehampton) CAB]&amp;[Wandsworth (member)]&amp;[London]"/>
                <p n="[Local Organisation].[CAB].[Member].&amp;[Wandsworth (member)]&amp;[London]"/>
                <p n="[Local Organisation].[CAB].[Government Region].&amp;[London]"/>
              </i>
              <i n="[Local Organisation].[CAB].[Outreach].&amp;[Wandsworth (Roehampton) CAB]&amp;[Wandsworth RH Telephone callback]&amp;[Wandsworth (member)]&amp;[London]" c="Wandsworth RH Telephone callback">
                <p n="[Local Organisation].[CAB].[Bureau].&amp;[Wandsworth (Roehampton) CAB]&amp;[Wandsworth (member)]&amp;[London]"/>
                <p n="[Local Organisation].[CAB].[Member].&amp;[Wandsworth (member)]&amp;[London]"/>
                <p n="[Local Organisation].[CAB].[Government Region].&amp;[London]"/>
              </i>
              <i n="[Local Organisation].[CAB].[Outreach].&amp;[Wandsworth (Roehampton) CAB]&amp;[Wandsworth Wandle project]&amp;[Wandsworth (member)]&amp;[London]" c="Wandsworth Wandle project">
                <p n="[Local Organisation].[CAB].[Bureau].&amp;[Wandsworth (Roehampton) CAB]&amp;[Wandsworth (member)]&amp;[London]"/>
                <p n="[Local Organisation].[CAB].[Member].&amp;[Wandsworth (member)]&amp;[London]"/>
                <p n="[Local Organisation].[CAB].[Government Region].&amp;[London]"/>
              </i>
              <i n="[Local Organisation].[CAB].[Outreach].&amp;[Wandsworth (Roehampton) CAB]&amp;[Wandsworth West Wandsworth CCG]&amp;[Wandsworth (member)]&amp;[London]" c="Wandsworth West Wandsworth CCG">
                <p n="[Local Organisation].[CAB].[Bureau].&amp;[Wandsworth (Roehampton) CAB]&amp;[Wandsworth (member)]&amp;[London]"/>
                <p n="[Local Organisation].[CAB].[Member].&amp;[Wandsworth (member)]&amp;[London]"/>
                <p n="[Local Organisation].[CAB].[Government Region].&amp;[London]"/>
              </i>
              <i n="[Local Organisation].[CAB].[Outreach].&amp;[Westminster CAB]&amp;[Not recorded/not applicable]&amp;[Westminster CAB (member)]&amp;[London]" c="Not recorded/not applicable">
                <p n="[Local Organisation].[CAB].[Bureau].&amp;[Westminster CAB]&amp;[Westminster CAB (member)]&amp;[London]"/>
                <p n="[Local Organisation].[CAB].[Member].&amp;[Westminster CAB (member)]&amp;[London]"/>
                <p n="[Local Organisation].[CAB].[Government Region].&amp;[London]"/>
              </i>
              <i n="[Local Organisation].[CAB].[Outreach].&amp;[Westminster CAB]&amp;[Westminster Abbey Centre]&amp;[Westminster CAB (member)]&amp;[London]" c="Westminster Abbey Centre">
                <p n="[Local Organisation].[CAB].[Bureau].&amp;[Westminster CAB]&amp;[Westminster CAB (member)]&amp;[London]"/>
                <p n="[Local Organisation].[CAB].[Member].&amp;[Westminster CAB (member)]&amp;[London]"/>
                <p n="[Local Organisation].[CAB].[Government Region].&amp;[London]"/>
              </i>
              <i n="[Local Organisation].[CAB].[Outreach].&amp;[Westminster CAB]&amp;[Westminster Adam Zaki @ Church St Library]&amp;[Westminster CAB (member)]&amp;[London]" c="Westminster Adam Zaki @ Church St Library">
                <p n="[Local Organisation].[CAB].[Bureau].&amp;[Westminster CAB]&amp;[Westminster CAB (member)]&amp;[London]"/>
                <p n="[Local Organisation].[CAB].[Member].&amp;[Westminster CAB (member)]&amp;[London]"/>
                <p n="[Local Organisation].[CAB].[Government Region].&amp;[London]"/>
              </i>
              <i n="[Local Organisation].[CAB].[Outreach].&amp;[Westminster CAB]&amp;[Westminster Beethoven Centre]&amp;[Westminster CAB (member)]&amp;[London]" c="Westminster Beethoven Centre">
                <p n="[Local Organisation].[CAB].[Bureau].&amp;[Westminster CAB]&amp;[Westminster CAB (member)]&amp;[London]"/>
                <p n="[Local Organisation].[CAB].[Member].&amp;[Westminster CAB (member)]&amp;[London]"/>
                <p n="[Local Organisation].[CAB].[Government Region].&amp;[London]"/>
              </i>
              <i n="[Local Organisation].[CAB].[Outreach].&amp;[Westminster CAB]&amp;[Westminster Beethoven Gateway Service]&amp;[Westminster CAB (member)]&amp;[London]" c="Westminster Beethoven Gateway Service">
                <p n="[Local Organisation].[CAB].[Bureau].&amp;[Westminster CAB]&amp;[Westminster CAB (member)]&amp;[London]"/>
                <p n="[Local Organisation].[CAB].[Member].&amp;[Westminster CAB (member)]&amp;[London]"/>
                <p n="[Local Organisation].[CAB].[Government Region].&amp;[London]"/>
              </i>
              <i n="[Local Organisation].[CAB].[Outreach].&amp;[Westminster CAB]&amp;[Westminster Brenda Smith @ Beethoven Centre]&amp;[Westminster CAB (member)]&amp;[London]" c="Westminster Brenda Smith @ Beethoven Centre">
                <p n="[Local Organisation].[CAB].[Bureau].&amp;[Westminster CAB]&amp;[Westminster CAB (member)]&amp;[London]"/>
                <p n="[Local Organisation].[CAB].[Member].&amp;[Westminster CAB (member)]&amp;[London]"/>
                <p n="[Local Organisation].[CAB].[Government Region].&amp;[London]"/>
              </i>
              <i n="[Local Organisation].[CAB].[Outreach].&amp;[Westminster CAB]&amp;[Westminster Central Locality]&amp;[Westminster CAB (member)]&amp;[London]" c="Westminster Central Locality">
                <p n="[Local Organisation].[CAB].[Bureau].&amp;[Westminster CAB]&amp;[Westminster CAB (member)]&amp;[London]"/>
                <p n="[Local Organisation].[CAB].[Member].&amp;[Westminster CAB (member)]&amp;[London]"/>
                <p n="[Local Organisation].[CAB].[Government Region].&amp;[London]"/>
              </i>
              <i n="[Local Organisation].[CAB].[Outreach].&amp;[Westminster CAB]&amp;[Westminster Church Street Library Gateway Service]&amp;[Westminster CAB (member)]&amp;[London]" c="Westminster Church Street Library Gateway Service">
                <p n="[Local Organisation].[CAB].[Bureau].&amp;[Westminster CAB]&amp;[Westminster CAB (member)]&amp;[London]"/>
                <p n="[Local Organisation].[CAB].[Member].&amp;[Westminster CAB (member)]&amp;[London]"/>
                <p n="[Local Organisation].[CAB].[Government Region].&amp;[London]"/>
              </i>
              <i n="[Local Organisation].[CAB].[Outreach].&amp;[Westminster CAB]&amp;[Westminster Churchill Gardens Children Centre]&amp;[Westminster CAB (member)]&amp;[London]" c="Westminster Churchill Gardens Children Centre">
                <p n="[Local Organisation].[CAB].[Bureau].&amp;[Westminster CAB]&amp;[Westminster CAB (member)]&amp;[London]"/>
                <p n="[Local Organisation].[CAB].[Member].&amp;[Westminster CAB (member)]&amp;[London]"/>
                <p n="[Local Organisation].[CAB].[Government Region].&amp;[London]"/>
              </i>
              <i n="[Local Organisation].[CAB].[Outreach].&amp;[Westminster CAB]&amp;[Westminster Churchill Gardens Childrens Centre]&amp;[Westminster CAB (member)]&amp;[London]" c="Westminster Churchill Gardens Childrens Centre">
                <p n="[Local Organisation].[CAB].[Bureau].&amp;[Westminster CAB]&amp;[Westminster CAB (member)]&amp;[London]"/>
                <p n="[Local Organisation].[CAB].[Member].&amp;[Westminster CAB (member)]&amp;[London]"/>
                <p n="[Local Organisation].[CAB].[Government Region].&amp;[London]"/>
              </i>
              <i n="[Local Organisation].[CAB].[Outreach].&amp;[Westminster CAB]&amp;[Westminster CLH Disability Outreach Project (North) - Neb Kristic]&amp;[Westminster CAB (member)]&amp;[London]" c="Westminster CLH Disability Outreach Project (North) - Neb Kristic">
                <p n="[Local Organisation].[CAB].[Bureau].&amp;[Westminster CAB]&amp;[Westminster CAB (member)]&amp;[London]"/>
                <p n="[Local Organisation].[CAB].[Member].&amp;[Westminster CAB (member)]&amp;[London]"/>
                <p n="[Local Organisation].[CAB].[Government Region].&amp;[London]"/>
              </i>
              <i n="[Local Organisation].[CAB].[Outreach].&amp;[Westminster CAB]&amp;[Westminster CLH Disability Outreach Project (South) - Neb Kristic]&amp;[Westminster CAB (member)]&amp;[London]" c="Westminster CLH Disability Outreach Project (South) - Neb Kristic">
                <p n="[Local Organisation].[CAB].[Bureau].&amp;[Westminster CAB]&amp;[Westminster CAB (member)]&amp;[London]"/>
                <p n="[Local Organisation].[CAB].[Member].&amp;[Westminster CAB (member)]&amp;[London]"/>
                <p n="[Local Organisation].[CAB].[Government Region].&amp;[London]"/>
              </i>
              <i n="[Local Organisation].[CAB].[Outreach].&amp;[Westminster CAB]&amp;[Westminster CWH Central Area Office]&amp;[Westminster CAB (member)]&amp;[London]" c="Westminster CWH Central Area Office">
                <p n="[Local Organisation].[CAB].[Bureau].&amp;[Westminster CAB]&amp;[Westminster CAB (member)]&amp;[London]"/>
                <p n="[Local Organisation].[CAB].[Member].&amp;[Westminster CAB (member)]&amp;[London]"/>
                <p n="[Local Organisation].[CAB].[Government Region].&amp;[London]"/>
              </i>
              <i n="[Local Organisation].[CAB].[Outreach].&amp;[Westminster CAB]&amp;[Westminster CWH North Area Office]&amp;[Westminster CAB (member)]&amp;[London]" c="Westminster CWH North Area Office">
                <p n="[Local Organisation].[CAB].[Bureau].&amp;[Westminster CAB]&amp;[Westminster CAB (member)]&amp;[London]"/>
                <p n="[Local Organisation].[CAB].[Member].&amp;[Westminster CAB (member)]&amp;[London]"/>
                <p n="[Local Organisation].[CAB].[Government Region].&amp;[London]"/>
              </i>
              <i n="[Local Organisation].[CAB].[Outreach].&amp;[Westminster CAB]&amp;[Westminster CWH South Area Office]&amp;[Westminster CAB (member)]&amp;[London]" c="Westminster CWH South Area Office">
                <p n="[Local Organisation].[CAB].[Bureau].&amp;[Westminster CAB]&amp;[Westminster CAB (member)]&amp;[London]"/>
                <p n="[Local Organisation].[CAB].[Member].&amp;[Westminster CAB (member)]&amp;[London]"/>
                <p n="[Local Organisation].[CAB].[Government Region].&amp;[London]"/>
              </i>
              <i n="[Local Organisation].[CAB].[Outreach].&amp;[Westminster CAB]&amp;[Westminster CWH West Area Office]&amp;[Westminster CAB (member)]&amp;[London]" c="Westminster CWH West Area Office">
                <p n="[Local Organisation].[CAB].[Bureau].&amp;[Westminster CAB]&amp;[Westminster CAB (member)]&amp;[London]"/>
                <p n="[Local Organisation].[CAB].[Member].&amp;[Westminster CAB (member)]&amp;[London]"/>
                <p n="[Local Organisation].[CAB].[Government Region].&amp;[London]"/>
              </i>
              <i n="[Local Organisation].[CAB].[Outreach].&amp;[Westminster CAB]&amp;[Westminster Ecaterina Erjiu @ South Westminster Psychological Centre]&amp;[Westminster CAB (member)]&amp;[London]" c="Westminster Ecaterina Erjiu @ South Westminster Psychological Centre">
                <p n="[Local Organisation].[CAB].[Bureau].&amp;[Westminster CAB]&amp;[Westminster CAB (member)]&amp;[London]"/>
                <p n="[Local Organisation].[CAB].[Member].&amp;[Westminster CAB (member)]&amp;[London]"/>
                <p n="[Local Organisation].[CAB].[Government Region].&amp;[London]"/>
              </i>
              <i n="[Local Organisation].[CAB].[Outreach].&amp;[Westminster CAB]&amp;[Westminster Ecaterina Erjui @ Millbank]&amp;[Westminster CAB (member)]&amp;[London]" c="Westminster Ecaterina Erjui @ Millbank">
                <p n="[Local Organisation].[CAB].[Bureau].&amp;[Westminster CAB]&amp;[Westminster CAB (member)]&amp;[London]"/>
                <p n="[Local Organisation].[CAB].[Member].&amp;[Westminster CAB (member)]&amp;[London]"/>
                <p n="[Local Organisation].[CAB].[Government Region].&amp;[London]"/>
              </i>
            </range>
          </ranges>
        </level>
      </levels>
      <selections count="1">
        <selection n="[Local Organisation].[CAB].[Member].&amp;[York (member)]&amp;[Yorkshire &amp; the Humber]">
          <p n="[Local Organisation].[CAB].[Government Region].&amp;[Yorkshire &amp; the Humber]"/>
        </selection>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Monthly_Calendar_Enquiry_Created.Financial" sourceName="[Monthly Calendar Enquiry Created].[Financial]">
  <pivotTables>
    <pivotTable tabId="17" name="PivotTable2"/>
    <pivotTable tabId="6" name="PivotTable8"/>
    <pivotTable tabId="21" name="SummaryEnquiryDate"/>
    <pivotTable tabId="21" name="SummaryOutcomeDate"/>
  </pivotTables>
  <data>
    <olap pivotCacheId="56">
      <levels count="4">
        <level uniqueName="[Monthly Calendar Enquiry Created].[Financial].[(All)]" sourceCaption="(All)" count="0"/>
        <level uniqueName="[Monthly Calendar Enquiry Created].[Financial].[Year]" sourceCaption="Year" count="23">
          <ranges>
            <range startItem="0">
              <i n="[Monthly Calendar Enquiry Created].[Financial].[Year].&amp;[]" c=""/>
              <i n="[Monthly Calendar Enquiry Created].[Financial].[Year].&amp;[2001-02]" c="2001-02"/>
              <i n="[Monthly Calendar Enquiry Created].[Financial].[Year].&amp;[2007-08]" c="2007-08"/>
              <i n="[Monthly Calendar Enquiry Created].[Financial].[Year].&amp;[2008-09]" c="2008-09"/>
              <i n="[Monthly Calendar Enquiry Created].[Financial].[Year].&amp;[2010-11]" c="2010-11"/>
              <i n="[Monthly Calendar Enquiry Created].[Financial].[Year].&amp;[2011-12]" c="2011-12"/>
              <i n="[Monthly Calendar Enquiry Created].[Financial].[Year].&amp;[2012-13]" c="2012-13"/>
              <i n="[Monthly Calendar Enquiry Created].[Financial].[Year].&amp;[2013-14]" c="2013-14"/>
              <i n="[Monthly Calendar Enquiry Created].[Financial].[Year].&amp;[2014-15]" c="2014-15"/>
              <i n="[Monthly Calendar Enquiry Created].[Financial].[Year].&amp;[2015-16]" c="2015-16"/>
              <i n="[Monthly Calendar Enquiry Created].[Financial].[Year].&amp;[2016-17]" c="2016-17"/>
              <i n="[Monthly Calendar Enquiry Created].[Financial].[Year].&amp;[2017-18]" c="2017-18"/>
              <i n="[Monthly Calendar Enquiry Created].[Financial].[Year].&amp;[1999-00]" c="1999-00" nd="1"/>
              <i n="[Monthly Calendar Enquiry Created].[Financial].[Year].&amp;[2000-01]" c="2000-01" nd="1"/>
              <i n="[Monthly Calendar Enquiry Created].[Financial].[Year].&amp;[2002-03]" c="2002-03" nd="1"/>
              <i n="[Monthly Calendar Enquiry Created].[Financial].[Year].&amp;[2003-04]" c="2003-04" nd="1"/>
              <i n="[Monthly Calendar Enquiry Created].[Financial].[Year].&amp;[2004-05]" c="2004-05" nd="1"/>
              <i n="[Monthly Calendar Enquiry Created].[Financial].[Year].&amp;[2005-06]" c="2005-06" nd="1"/>
              <i n="[Monthly Calendar Enquiry Created].[Financial].[Year].&amp;[2006-07]" c="2006-07" nd="1"/>
              <i n="[Monthly Calendar Enquiry Created].[Financial].[Year].&amp;[2009-10]" c="2009-10" nd="1"/>
              <i n="[Monthly Calendar Enquiry Created].[Financial].[Year].&amp;[2018-19]" c="2018-19" nd="1"/>
              <i n="[Monthly Calendar Enquiry Created].[Financial].[Year].&amp;[2019-20]" c="2019-20" nd="1"/>
              <i n="[Monthly Calendar Enquiry Created].[Financial].[Year].&amp;[2020-21]" c="2020-21" nd="1"/>
            </range>
          </ranges>
        </level>
        <level uniqueName="[Monthly Calendar Enquiry Created].[Financial].[Quarter]" sourceCaption="Quarter" count="86">
          <ranges>
            <range startItem="0">
              <i n="[Monthly Calendar Enquiry Created].[Financial].[Quarter].&amp;[]&amp;[]" c="">
                <p n="[Monthly Calendar Enquiry Created].[Financial].[Year].&amp;[]"/>
              </i>
              <i n="[Monthly Calendar Enquiry Created].[Financial].[Quarter].&amp;[Q4]&amp;[2001-02]" c="Q4">
                <p n="[Monthly Calendar Enquiry Created].[Financial].[Year].&amp;[2001-02]"/>
              </i>
              <i n="[Monthly Calendar Enquiry Created].[Financial].[Quarter].&amp;[Q2]&amp;[2007-08]" c="Q2">
                <p n="[Monthly Calendar Enquiry Created].[Financial].[Year].&amp;[2007-08]"/>
              </i>
              <i n="[Monthly Calendar Enquiry Created].[Financial].[Quarter].&amp;[Q4]&amp;[2008-09]" c="Q4">
                <p n="[Monthly Calendar Enquiry Created].[Financial].[Year].&amp;[2008-09]"/>
              </i>
              <i n="[Monthly Calendar Enquiry Created].[Financial].[Quarter].&amp;[Q1]&amp;[2010-11]" c="Q1">
                <p n="[Monthly Calendar Enquiry Created].[Financial].[Year].&amp;[2010-11]"/>
              </i>
              <i n="[Monthly Calendar Enquiry Created].[Financial].[Quarter].&amp;[Q1]&amp;[2011-12]" c="Q1">
                <p n="[Monthly Calendar Enquiry Created].[Financial].[Year].&amp;[2011-12]"/>
              </i>
              <i n="[Monthly Calendar Enquiry Created].[Financial].[Quarter].&amp;[Q2]&amp;[2011-12]" c="Q2">
                <p n="[Monthly Calendar Enquiry Created].[Financial].[Year].&amp;[2011-12]"/>
              </i>
              <i n="[Monthly Calendar Enquiry Created].[Financial].[Quarter].&amp;[Q3]&amp;[2011-12]" c="Q3">
                <p n="[Monthly Calendar Enquiry Created].[Financial].[Year].&amp;[2011-12]"/>
              </i>
              <i n="[Monthly Calendar Enquiry Created].[Financial].[Quarter].&amp;[Q4]&amp;[2011-12]" c="Q4">
                <p n="[Monthly Calendar Enquiry Created].[Financial].[Year].&amp;[2011-12]"/>
              </i>
              <i n="[Monthly Calendar Enquiry Created].[Financial].[Quarter].&amp;[Q1]&amp;[2012-13]" c="Q1">
                <p n="[Monthly Calendar Enquiry Created].[Financial].[Year].&amp;[2012-13]"/>
              </i>
              <i n="[Monthly Calendar Enquiry Created].[Financial].[Quarter].&amp;[Q2]&amp;[2012-13]" c="Q2">
                <p n="[Monthly Calendar Enquiry Created].[Financial].[Year].&amp;[2012-13]"/>
              </i>
              <i n="[Monthly Calendar Enquiry Created].[Financial].[Quarter].&amp;[Q3]&amp;[2012-13]" c="Q3">
                <p n="[Monthly Calendar Enquiry Created].[Financial].[Year].&amp;[2012-13]"/>
              </i>
              <i n="[Monthly Calendar Enquiry Created].[Financial].[Quarter].&amp;[Q4]&amp;[2012-13]" c="Q4">
                <p n="[Monthly Calendar Enquiry Created].[Financial].[Year].&amp;[2012-13]"/>
              </i>
              <i n="[Monthly Calendar Enquiry Created].[Financial].[Quarter].&amp;[Q1]&amp;[2013-14]" c="Q1">
                <p n="[Monthly Calendar Enquiry Created].[Financial].[Year].&amp;[2013-14]"/>
              </i>
              <i n="[Monthly Calendar Enquiry Created].[Financial].[Quarter].&amp;[Q2]&amp;[2013-14]" c="Q2">
                <p n="[Monthly Calendar Enquiry Created].[Financial].[Year].&amp;[2013-14]"/>
              </i>
              <i n="[Monthly Calendar Enquiry Created].[Financial].[Quarter].&amp;[Q3]&amp;[2013-14]" c="Q3">
                <p n="[Monthly Calendar Enquiry Created].[Financial].[Year].&amp;[2013-14]"/>
              </i>
              <i n="[Monthly Calendar Enquiry Created].[Financial].[Quarter].&amp;[Q4]&amp;[2013-14]" c="Q4">
                <p n="[Monthly Calendar Enquiry Created].[Financial].[Year].&amp;[2013-14]"/>
              </i>
              <i n="[Monthly Calendar Enquiry Created].[Financial].[Quarter].&amp;[Q1]&amp;[2014-15]" c="Q1">
                <p n="[Monthly Calendar Enquiry Created].[Financial].[Year].&amp;[2014-15]"/>
              </i>
              <i n="[Monthly Calendar Enquiry Created].[Financial].[Quarter].&amp;[Q2]&amp;[2014-15]" c="Q2">
                <p n="[Monthly Calendar Enquiry Created].[Financial].[Year].&amp;[2014-15]"/>
              </i>
              <i n="[Monthly Calendar Enquiry Created].[Financial].[Quarter].&amp;[Q3]&amp;[2014-15]" c="Q3">
                <p n="[Monthly Calendar Enquiry Created].[Financial].[Year].&amp;[2014-15]"/>
              </i>
              <i n="[Monthly Calendar Enquiry Created].[Financial].[Quarter].&amp;[Q4]&amp;[2014-15]" c="Q4">
                <p n="[Monthly Calendar Enquiry Created].[Financial].[Year].&amp;[2014-15]"/>
              </i>
              <i n="[Monthly Calendar Enquiry Created].[Financial].[Quarter].&amp;[Q1]&amp;[2015-16]" c="Q1">
                <p n="[Monthly Calendar Enquiry Created].[Financial].[Year].&amp;[2015-16]"/>
              </i>
              <i n="[Monthly Calendar Enquiry Created].[Financial].[Quarter].&amp;[Q2]&amp;[2015-16]" c="Q2">
                <p n="[Monthly Calendar Enquiry Created].[Financial].[Year].&amp;[2015-16]"/>
              </i>
              <i n="[Monthly Calendar Enquiry Created].[Financial].[Quarter].&amp;[Q3]&amp;[2015-16]" c="Q3">
                <p n="[Monthly Calendar Enquiry Created].[Financial].[Year].&amp;[2015-16]"/>
              </i>
              <i n="[Monthly Calendar Enquiry Created].[Financial].[Quarter].&amp;[Q4]&amp;[2015-16]" c="Q4">
                <p n="[Monthly Calendar Enquiry Created].[Financial].[Year].&amp;[2015-16]"/>
              </i>
              <i n="[Monthly Calendar Enquiry Created].[Financial].[Quarter].&amp;[Q1]&amp;[2016-17]" c="Q1">
                <p n="[Monthly Calendar Enquiry Created].[Financial].[Year].&amp;[2016-17]"/>
              </i>
              <i n="[Monthly Calendar Enquiry Created].[Financial].[Quarter].&amp;[Q2]&amp;[2016-17]" c="Q2">
                <p n="[Monthly Calendar Enquiry Created].[Financial].[Year].&amp;[2016-17]"/>
              </i>
              <i n="[Monthly Calendar Enquiry Created].[Financial].[Quarter].&amp;[Q3]&amp;[2016-17]" c="Q3">
                <p n="[Monthly Calendar Enquiry Created].[Financial].[Year].&amp;[2016-17]"/>
              </i>
              <i n="[Monthly Calendar Enquiry Created].[Financial].[Quarter].&amp;[Q4]&amp;[2016-17]" c="Q4">
                <p n="[Monthly Calendar Enquiry Created].[Financial].[Year].&amp;[2016-17]"/>
              </i>
              <i n="[Monthly Calendar Enquiry Created].[Financial].[Quarter].&amp;[Q1]&amp;[2017-18]" c="Q1">
                <p n="[Monthly Calendar Enquiry Created].[Financial].[Year].&amp;[2017-18]"/>
              </i>
              <i n="[Monthly Calendar Enquiry Created].[Financial].[Quarter].&amp;[Q2]&amp;[2017-18]" c="Q2">
                <p n="[Monthly Calendar Enquiry Created].[Financial].[Year].&amp;[2017-18]"/>
              </i>
              <i n="[Monthly Calendar Enquiry Created].[Financial].[Quarter].&amp;[Q3]&amp;[2017-18]" c="Q3">
                <p n="[Monthly Calendar Enquiry Created].[Financial].[Year].&amp;[2017-18]"/>
              </i>
              <i n="[Monthly Calendar Enquiry Created].[Financial].[Quarter].&amp;[Q4]&amp;[1999-00]" c="Q4" nd="1">
                <p n="[Monthly Calendar Enquiry Created].[Financial].[Year].&amp;[1999-00]"/>
              </i>
              <i n="[Monthly Calendar Enquiry Created].[Financial].[Quarter].&amp;[Q1]&amp;[2000-01]" c="Q1" nd="1">
                <p n="[Monthly Calendar Enquiry Created].[Financial].[Year].&amp;[2000-01]"/>
              </i>
              <i n="[Monthly Calendar Enquiry Created].[Financial].[Quarter].&amp;[Q2]&amp;[2000-01]" c="Q2" nd="1">
                <p n="[Monthly Calendar Enquiry Created].[Financial].[Year].&amp;[2000-01]"/>
              </i>
              <i n="[Monthly Calendar Enquiry Created].[Financial].[Quarter].&amp;[Q3]&amp;[2000-01]" c="Q3" nd="1">
                <p n="[Monthly Calendar Enquiry Created].[Financial].[Year].&amp;[2000-01]"/>
              </i>
              <i n="[Monthly Calendar Enquiry Created].[Financial].[Quarter].&amp;[Q4]&amp;[2000-01]" c="Q4" nd="1">
                <p n="[Monthly Calendar Enquiry Created].[Financial].[Year].&amp;[2000-01]"/>
              </i>
              <i n="[Monthly Calendar Enquiry Created].[Financial].[Quarter].&amp;[Q1]&amp;[2001-02]" c="Q1" nd="1">
                <p n="[Monthly Calendar Enquiry Created].[Financial].[Year].&amp;[2001-02]"/>
              </i>
              <i n="[Monthly Calendar Enquiry Created].[Financial].[Quarter].&amp;[Q2]&amp;[2001-02]" c="Q2" nd="1">
                <p n="[Monthly Calendar Enquiry Created].[Financial].[Year].&amp;[2001-02]"/>
              </i>
              <i n="[Monthly Calendar Enquiry Created].[Financial].[Quarter].&amp;[Q3]&amp;[2001-02]" c="Q3" nd="1">
                <p n="[Monthly Calendar Enquiry Created].[Financial].[Year].&amp;[2001-02]"/>
              </i>
              <i n="[Monthly Calendar Enquiry Created].[Financial].[Quarter].&amp;[Q1]&amp;[2002-03]" c="Q1" nd="1">
                <p n="[Monthly Calendar Enquiry Created].[Financial].[Year].&amp;[2002-03]"/>
              </i>
              <i n="[Monthly Calendar Enquiry Created].[Financial].[Quarter].&amp;[Q2]&amp;[2002-03]" c="Q2" nd="1">
                <p n="[Monthly Calendar Enquiry Created].[Financial].[Year].&amp;[2002-03]"/>
              </i>
              <i n="[Monthly Calendar Enquiry Created].[Financial].[Quarter].&amp;[Q3]&amp;[2002-03]" c="Q3" nd="1">
                <p n="[Monthly Calendar Enquiry Created].[Financial].[Year].&amp;[2002-03]"/>
              </i>
              <i n="[Monthly Calendar Enquiry Created].[Financial].[Quarter].&amp;[Q4]&amp;[2002-03]" c="Q4" nd="1">
                <p n="[Monthly Calendar Enquiry Created].[Financial].[Year].&amp;[2002-03]"/>
              </i>
              <i n="[Monthly Calendar Enquiry Created].[Financial].[Quarter].&amp;[Q1]&amp;[2003-04]" c="Q1" nd="1">
                <p n="[Monthly Calendar Enquiry Created].[Financial].[Year].&amp;[2003-04]"/>
              </i>
              <i n="[Monthly Calendar Enquiry Created].[Financial].[Quarter].&amp;[Q2]&amp;[2003-04]" c="Q2" nd="1">
                <p n="[Monthly Calendar Enquiry Created].[Financial].[Year].&amp;[2003-04]"/>
              </i>
              <i n="[Monthly Calendar Enquiry Created].[Financial].[Quarter].&amp;[Q3]&amp;[2003-04]" c="Q3" nd="1">
                <p n="[Monthly Calendar Enquiry Created].[Financial].[Year].&amp;[2003-04]"/>
              </i>
              <i n="[Monthly Calendar Enquiry Created].[Financial].[Quarter].&amp;[Q4]&amp;[2003-04]" c="Q4" nd="1">
                <p n="[Monthly Calendar Enquiry Created].[Financial].[Year].&amp;[2003-04]"/>
              </i>
              <i n="[Monthly Calendar Enquiry Created].[Financial].[Quarter].&amp;[Q1]&amp;[2004-05]" c="Q1" nd="1">
                <p n="[Monthly Calendar Enquiry Created].[Financial].[Year].&amp;[2004-05]"/>
              </i>
              <i n="[Monthly Calendar Enquiry Created].[Financial].[Quarter].&amp;[Q2]&amp;[2004-05]" c="Q2" nd="1">
                <p n="[Monthly Calendar Enquiry Created].[Financial].[Year].&amp;[2004-05]"/>
              </i>
              <i n="[Monthly Calendar Enquiry Created].[Financial].[Quarter].&amp;[Q3]&amp;[2004-05]" c="Q3" nd="1">
                <p n="[Monthly Calendar Enquiry Created].[Financial].[Year].&amp;[2004-05]"/>
              </i>
              <i n="[Monthly Calendar Enquiry Created].[Financial].[Quarter].&amp;[Q4]&amp;[2004-05]" c="Q4" nd="1">
                <p n="[Monthly Calendar Enquiry Created].[Financial].[Year].&amp;[2004-05]"/>
              </i>
              <i n="[Monthly Calendar Enquiry Created].[Financial].[Quarter].&amp;[Q1]&amp;[2005-06]" c="Q1" nd="1">
                <p n="[Monthly Calendar Enquiry Created].[Financial].[Year].&amp;[2005-06]"/>
              </i>
              <i n="[Monthly Calendar Enquiry Created].[Financial].[Quarter].&amp;[Q2]&amp;[2005-06]" c="Q2" nd="1">
                <p n="[Monthly Calendar Enquiry Created].[Financial].[Year].&amp;[2005-06]"/>
              </i>
              <i n="[Monthly Calendar Enquiry Created].[Financial].[Quarter].&amp;[Q3]&amp;[2005-06]" c="Q3" nd="1">
                <p n="[Monthly Calendar Enquiry Created].[Financial].[Year].&amp;[2005-06]"/>
              </i>
              <i n="[Monthly Calendar Enquiry Created].[Financial].[Quarter].&amp;[Q4]&amp;[2005-06]" c="Q4" nd="1">
                <p n="[Monthly Calendar Enquiry Created].[Financial].[Year].&amp;[2005-06]"/>
              </i>
              <i n="[Monthly Calendar Enquiry Created].[Financial].[Quarter].&amp;[Q1]&amp;[2006-07]" c="Q1" nd="1">
                <p n="[Monthly Calendar Enquiry Created].[Financial].[Year].&amp;[2006-07]"/>
              </i>
              <i n="[Monthly Calendar Enquiry Created].[Financial].[Quarter].&amp;[Q2]&amp;[2006-07]" c="Q2" nd="1">
                <p n="[Monthly Calendar Enquiry Created].[Financial].[Year].&amp;[2006-07]"/>
              </i>
              <i n="[Monthly Calendar Enquiry Created].[Financial].[Quarter].&amp;[Q3]&amp;[2006-07]" c="Q3" nd="1">
                <p n="[Monthly Calendar Enquiry Created].[Financial].[Year].&amp;[2006-07]"/>
              </i>
              <i n="[Monthly Calendar Enquiry Created].[Financial].[Quarter].&amp;[Q4]&amp;[2006-07]" c="Q4" nd="1">
                <p n="[Monthly Calendar Enquiry Created].[Financial].[Year].&amp;[2006-07]"/>
              </i>
              <i n="[Monthly Calendar Enquiry Created].[Financial].[Quarter].&amp;[Q1]&amp;[2007-08]" c="Q1" nd="1">
                <p n="[Monthly Calendar Enquiry Created].[Financial].[Year].&amp;[2007-08]"/>
              </i>
              <i n="[Monthly Calendar Enquiry Created].[Financial].[Quarter].&amp;[Q3]&amp;[2007-08]" c="Q3" nd="1">
                <p n="[Monthly Calendar Enquiry Created].[Financial].[Year].&amp;[2007-08]"/>
              </i>
              <i n="[Monthly Calendar Enquiry Created].[Financial].[Quarter].&amp;[Q4]&amp;[2007-08]" c="Q4" nd="1">
                <p n="[Monthly Calendar Enquiry Created].[Financial].[Year].&amp;[2007-08]"/>
              </i>
              <i n="[Monthly Calendar Enquiry Created].[Financial].[Quarter].&amp;[Q1]&amp;[2008-09]" c="Q1" nd="1">
                <p n="[Monthly Calendar Enquiry Created].[Financial].[Year].&amp;[2008-09]"/>
              </i>
              <i n="[Monthly Calendar Enquiry Created].[Financial].[Quarter].&amp;[Q2]&amp;[2008-09]" c="Q2" nd="1">
                <p n="[Monthly Calendar Enquiry Created].[Financial].[Year].&amp;[2008-09]"/>
              </i>
              <i n="[Monthly Calendar Enquiry Created].[Financial].[Quarter].&amp;[Q3]&amp;[2008-09]" c="Q3" nd="1">
                <p n="[Monthly Calendar Enquiry Created].[Financial].[Year].&amp;[2008-09]"/>
              </i>
              <i n="[Monthly Calendar Enquiry Created].[Financial].[Quarter].&amp;[Q1]&amp;[2009-10]" c="Q1" nd="1">
                <p n="[Monthly Calendar Enquiry Created].[Financial].[Year].&amp;[2009-10]"/>
              </i>
              <i n="[Monthly Calendar Enquiry Created].[Financial].[Quarter].&amp;[Q2]&amp;[2009-10]" c="Q2" nd="1">
                <p n="[Monthly Calendar Enquiry Created].[Financial].[Year].&amp;[2009-10]"/>
              </i>
              <i n="[Monthly Calendar Enquiry Created].[Financial].[Quarter].&amp;[Q3]&amp;[2009-10]" c="Q3" nd="1">
                <p n="[Monthly Calendar Enquiry Created].[Financial].[Year].&amp;[2009-10]"/>
              </i>
              <i n="[Monthly Calendar Enquiry Created].[Financial].[Quarter].&amp;[Q4]&amp;[2009-10]" c="Q4" nd="1">
                <p n="[Monthly Calendar Enquiry Created].[Financial].[Year].&amp;[2009-10]"/>
              </i>
              <i n="[Monthly Calendar Enquiry Created].[Financial].[Quarter].&amp;[Q2]&amp;[2010-11]" c="Q2" nd="1">
                <p n="[Monthly Calendar Enquiry Created].[Financial].[Year].&amp;[2010-11]"/>
              </i>
              <i n="[Monthly Calendar Enquiry Created].[Financial].[Quarter].&amp;[Q3]&amp;[2010-11]" c="Q3" nd="1">
                <p n="[Monthly Calendar Enquiry Created].[Financial].[Year].&amp;[2010-11]"/>
              </i>
              <i n="[Monthly Calendar Enquiry Created].[Financial].[Quarter].&amp;[Q4]&amp;[2010-11]" c="Q4" nd="1">
                <p n="[Monthly Calendar Enquiry Created].[Financial].[Year].&amp;[2010-11]"/>
              </i>
              <i n="[Monthly Calendar Enquiry Created].[Financial].[Quarter].&amp;[Q4]&amp;[2017-18]" c="Q4" nd="1">
                <p n="[Monthly Calendar Enquiry Created].[Financial].[Year].&amp;[2017-18]"/>
              </i>
              <i n="[Monthly Calendar Enquiry Created].[Financial].[Quarter].&amp;[Q1]&amp;[2018-19]" c="Q1" nd="1">
                <p n="[Monthly Calendar Enquiry Created].[Financial].[Year].&amp;[2018-19]"/>
              </i>
              <i n="[Monthly Calendar Enquiry Created].[Financial].[Quarter].&amp;[Q2]&amp;[2018-19]" c="Q2" nd="1">
                <p n="[Monthly Calendar Enquiry Created].[Financial].[Year].&amp;[2018-19]"/>
              </i>
              <i n="[Monthly Calendar Enquiry Created].[Financial].[Quarter].&amp;[Q3]&amp;[2018-19]" c="Q3" nd="1">
                <p n="[Monthly Calendar Enquiry Created].[Financial].[Year].&amp;[2018-19]"/>
              </i>
              <i n="[Monthly Calendar Enquiry Created].[Financial].[Quarter].&amp;[Q4]&amp;[2018-19]" c="Q4" nd="1">
                <p n="[Monthly Calendar Enquiry Created].[Financial].[Year].&amp;[2018-19]"/>
              </i>
              <i n="[Monthly Calendar Enquiry Created].[Financial].[Quarter].&amp;[Q1]&amp;[2019-20]" c="Q1" nd="1">
                <p n="[Monthly Calendar Enquiry Created].[Financial].[Year].&amp;[2019-20]"/>
              </i>
              <i n="[Monthly Calendar Enquiry Created].[Financial].[Quarter].&amp;[Q2]&amp;[2019-20]" c="Q2" nd="1">
                <p n="[Monthly Calendar Enquiry Created].[Financial].[Year].&amp;[2019-20]"/>
              </i>
              <i n="[Monthly Calendar Enquiry Created].[Financial].[Quarter].&amp;[Q3]&amp;[2019-20]" c="Q3" nd="1">
                <p n="[Monthly Calendar Enquiry Created].[Financial].[Year].&amp;[2019-20]"/>
              </i>
              <i n="[Monthly Calendar Enquiry Created].[Financial].[Quarter].&amp;[Q4]&amp;[2019-20]" c="Q4" nd="1">
                <p n="[Monthly Calendar Enquiry Created].[Financial].[Year].&amp;[2019-20]"/>
              </i>
              <i n="[Monthly Calendar Enquiry Created].[Financial].[Quarter].&amp;[Q1]&amp;[2020-21]" c="Q1" nd="1">
                <p n="[Monthly Calendar Enquiry Created].[Financial].[Year].&amp;[2020-21]"/>
              </i>
              <i n="[Monthly Calendar Enquiry Created].[Financial].[Quarter].&amp;[Q2]&amp;[2020-21]" c="Q2" nd="1">
                <p n="[Monthly Calendar Enquiry Created].[Financial].[Year].&amp;[2020-21]"/>
              </i>
              <i n="[Monthly Calendar Enquiry Created].[Financial].[Quarter].&amp;[Q3]&amp;[2020-21]" c="Q3" nd="1">
                <p n="[Monthly Calendar Enquiry Created].[Financial].[Year].&amp;[2020-21]"/>
              </i>
              <i n="[Monthly Calendar Enquiry Created].[Financial].[Quarter].&amp;[Q4]&amp;[2020-21]" c="Q4" nd="1">
                <p n="[Monthly Calendar Enquiry Created].[Financial].[Year].&amp;[2020-21]"/>
              </i>
            </range>
          </ranges>
        </level>
        <level uniqueName="[Monthly Calendar Enquiry Created].[Financial].[Month Name]" sourceCaption="Month Name" count="256">
          <ranges>
            <range startItem="0">
              <i n="[Monthly Calendar Enquiry Created].[Financial].[Month Name].&amp;[Not recorded/not applicable]&amp;[]" c="Not recorded/not applicable">
                <p n="[Monthly Calendar Enquiry Created].[Financial].[Quarter].&amp;[]&amp;[]"/>
                <p n="[Monthly Calendar Enquiry Created].[Financial].[Year].&amp;[]"/>
              </i>
              <i n="[Monthly Calendar Enquiry Created].[Financial].[Month Name].&amp;[March]&amp;[2001-02]" c="March">
                <p n="[Monthly Calendar Enquiry Created].[Financial].[Quarter].&amp;[Q4]&amp;[2001-02]"/>
                <p n="[Monthly Calendar Enquiry Created].[Financial].[Year].&amp;[2001-02]"/>
              </i>
              <i n="[Monthly Calendar Enquiry Created].[Financial].[Month Name].&amp;[August]&amp;[2007-08]" c="August">
                <p n="[Monthly Calendar Enquiry Created].[Financial].[Quarter].&amp;[Q2]&amp;[2007-08]"/>
                <p n="[Monthly Calendar Enquiry Created].[Financial].[Year].&amp;[2007-08]"/>
              </i>
              <i n="[Monthly Calendar Enquiry Created].[Financial].[Month Name].&amp;[February]&amp;[2008-09]" c="February">
                <p n="[Monthly Calendar Enquiry Created].[Financial].[Quarter].&amp;[Q4]&amp;[2008-09]"/>
                <p n="[Monthly Calendar Enquiry Created].[Financial].[Year].&amp;[2008-09]"/>
              </i>
              <i n="[Monthly Calendar Enquiry Created].[Financial].[Month Name].&amp;[June]&amp;[2010-11]" c="June">
                <p n="[Monthly Calendar Enquiry Created].[Financial].[Quarter].&amp;[Q1]&amp;[2010-11]"/>
                <p n="[Monthly Calendar Enquiry Created].[Financial].[Year].&amp;[2010-11]"/>
              </i>
              <i n="[Monthly Calendar Enquiry Created].[Financial].[Month Name].&amp;[May]&amp;[2011-12]" c="May">
                <p n="[Monthly Calendar Enquiry Created].[Financial].[Quarter].&amp;[Q1]&amp;[2011-12]"/>
                <p n="[Monthly Calendar Enquiry Created].[Financial].[Year].&amp;[2011-12]"/>
              </i>
              <i n="[Monthly Calendar Enquiry Created].[Financial].[Month Name].&amp;[June]&amp;[2011-12]" c="June">
                <p n="[Monthly Calendar Enquiry Created].[Financial].[Quarter].&amp;[Q1]&amp;[2011-12]"/>
                <p n="[Monthly Calendar Enquiry Created].[Financial].[Year].&amp;[2011-12]"/>
              </i>
              <i n="[Monthly Calendar Enquiry Created].[Financial].[Month Name].&amp;[July]&amp;[2011-12]" c="July">
                <p n="[Monthly Calendar Enquiry Created].[Financial].[Quarter].&amp;[Q2]&amp;[2011-12]"/>
                <p n="[Monthly Calendar Enquiry Created].[Financial].[Year].&amp;[2011-12]"/>
              </i>
              <i n="[Monthly Calendar Enquiry Created].[Financial].[Month Name].&amp;[August]&amp;[2011-12]" c="August">
                <p n="[Monthly Calendar Enquiry Created].[Financial].[Quarter].&amp;[Q2]&amp;[2011-12]"/>
                <p n="[Monthly Calendar Enquiry Created].[Financial].[Year].&amp;[2011-12]"/>
              </i>
              <i n="[Monthly Calendar Enquiry Created].[Financial].[Month Name].&amp;[September]&amp;[2011-12]" c="September">
                <p n="[Monthly Calendar Enquiry Created].[Financial].[Quarter].&amp;[Q2]&amp;[2011-12]"/>
                <p n="[Monthly Calendar Enquiry Created].[Financial].[Year].&amp;[2011-12]"/>
              </i>
              <i n="[Monthly Calendar Enquiry Created].[Financial].[Month Name].&amp;[October]&amp;[2011-12]" c="October">
                <p n="[Monthly Calendar Enquiry Created].[Financial].[Quarter].&amp;[Q3]&amp;[2011-12]"/>
                <p n="[Monthly Calendar Enquiry Created].[Financial].[Year].&amp;[2011-12]"/>
              </i>
              <i n="[Monthly Calendar Enquiry Created].[Financial].[Month Name].&amp;[November]&amp;[2011-12]" c="November">
                <p n="[Monthly Calendar Enquiry Created].[Financial].[Quarter].&amp;[Q3]&amp;[2011-12]"/>
                <p n="[Monthly Calendar Enquiry Created].[Financial].[Year].&amp;[2011-12]"/>
              </i>
              <i n="[Monthly Calendar Enquiry Created].[Financial].[Month Name].&amp;[December]&amp;[2011-12]" c="December">
                <p n="[Monthly Calendar Enquiry Created].[Financial].[Quarter].&amp;[Q3]&amp;[2011-12]"/>
                <p n="[Monthly Calendar Enquiry Created].[Financial].[Year].&amp;[2011-12]"/>
              </i>
              <i n="[Monthly Calendar Enquiry Created].[Financial].[Month Name].&amp;[January]&amp;[2011-12]" c="January">
                <p n="[Monthly Calendar Enquiry Created].[Financial].[Quarter].&amp;[Q4]&amp;[2011-12]"/>
                <p n="[Monthly Calendar Enquiry Created].[Financial].[Year].&amp;[2011-12]"/>
              </i>
              <i n="[Monthly Calendar Enquiry Created].[Financial].[Month Name].&amp;[February]&amp;[2011-12]" c="February">
                <p n="[Monthly Calendar Enquiry Created].[Financial].[Quarter].&amp;[Q4]&amp;[2011-12]"/>
                <p n="[Monthly Calendar Enquiry Created].[Financial].[Year].&amp;[2011-12]"/>
              </i>
              <i n="[Monthly Calendar Enquiry Created].[Financial].[Month Name].&amp;[March]&amp;[2011-12]" c="March">
                <p n="[Monthly Calendar Enquiry Created].[Financial].[Quarter].&amp;[Q4]&amp;[2011-12]"/>
                <p n="[Monthly Calendar Enquiry Created].[Financial].[Year].&amp;[2011-12]"/>
              </i>
              <i n="[Monthly Calendar Enquiry Created].[Financial].[Month Name].&amp;[April]&amp;[2012-13]" c="April">
                <p n="[Monthly Calendar Enquiry Created].[Financial].[Quarter].&amp;[Q1]&amp;[2012-13]"/>
                <p n="[Monthly Calendar Enquiry Created].[Financial].[Year].&amp;[2012-13]"/>
              </i>
              <i n="[Monthly Calendar Enquiry Created].[Financial].[Month Name].&amp;[May]&amp;[2012-13]" c="May">
                <p n="[Monthly Calendar Enquiry Created].[Financial].[Quarter].&amp;[Q1]&amp;[2012-13]"/>
                <p n="[Monthly Calendar Enquiry Created].[Financial].[Year].&amp;[2012-13]"/>
              </i>
              <i n="[Monthly Calendar Enquiry Created].[Financial].[Month Name].&amp;[June]&amp;[2012-13]" c="June">
                <p n="[Monthly Calendar Enquiry Created].[Financial].[Quarter].&amp;[Q1]&amp;[2012-13]"/>
                <p n="[Monthly Calendar Enquiry Created].[Financial].[Year].&amp;[2012-13]"/>
              </i>
              <i n="[Monthly Calendar Enquiry Created].[Financial].[Month Name].&amp;[July]&amp;[2012-13]" c="July">
                <p n="[Monthly Calendar Enquiry Created].[Financial].[Quarter].&amp;[Q2]&amp;[2012-13]"/>
                <p n="[Monthly Calendar Enquiry Created].[Financial].[Year].&amp;[2012-13]"/>
              </i>
              <i n="[Monthly Calendar Enquiry Created].[Financial].[Month Name].&amp;[August]&amp;[2012-13]" c="August">
                <p n="[Monthly Calendar Enquiry Created].[Financial].[Quarter].&amp;[Q2]&amp;[2012-13]"/>
                <p n="[Monthly Calendar Enquiry Created].[Financial].[Year].&amp;[2012-13]"/>
              </i>
              <i n="[Monthly Calendar Enquiry Created].[Financial].[Month Name].&amp;[September]&amp;[2012-13]" c="September">
                <p n="[Monthly Calendar Enquiry Created].[Financial].[Quarter].&amp;[Q2]&amp;[2012-13]"/>
                <p n="[Monthly Calendar Enquiry Created].[Financial].[Year].&amp;[2012-13]"/>
              </i>
              <i n="[Monthly Calendar Enquiry Created].[Financial].[Month Name].&amp;[October]&amp;[2012-13]" c="October">
                <p n="[Monthly Calendar Enquiry Created].[Financial].[Quarter].&amp;[Q3]&amp;[2012-13]"/>
                <p n="[Monthly Calendar Enquiry Created].[Financial].[Year].&amp;[2012-13]"/>
              </i>
              <i n="[Monthly Calendar Enquiry Created].[Financial].[Month Name].&amp;[November]&amp;[2012-13]" c="November">
                <p n="[Monthly Calendar Enquiry Created].[Financial].[Quarter].&amp;[Q3]&amp;[2012-13]"/>
                <p n="[Monthly Calendar Enquiry Created].[Financial].[Year].&amp;[2012-13]"/>
              </i>
              <i n="[Monthly Calendar Enquiry Created].[Financial].[Month Name].&amp;[December]&amp;[2012-13]" c="December">
                <p n="[Monthly Calendar Enquiry Created].[Financial].[Quarter].&amp;[Q3]&amp;[2012-13]"/>
                <p n="[Monthly Calendar Enquiry Created].[Financial].[Year].&amp;[2012-13]"/>
              </i>
              <i n="[Monthly Calendar Enquiry Created].[Financial].[Month Name].&amp;[January]&amp;[2012-13]" c="January">
                <p n="[Monthly Calendar Enquiry Created].[Financial].[Quarter].&amp;[Q4]&amp;[2012-13]"/>
                <p n="[Monthly Calendar Enquiry Created].[Financial].[Year].&amp;[2012-13]"/>
              </i>
              <i n="[Monthly Calendar Enquiry Created].[Financial].[Month Name].&amp;[February]&amp;[2012-13]" c="February">
                <p n="[Monthly Calendar Enquiry Created].[Financial].[Quarter].&amp;[Q4]&amp;[2012-13]"/>
                <p n="[Monthly Calendar Enquiry Created].[Financial].[Year].&amp;[2012-13]"/>
              </i>
              <i n="[Monthly Calendar Enquiry Created].[Financial].[Month Name].&amp;[March]&amp;[2012-13]" c="March">
                <p n="[Monthly Calendar Enquiry Created].[Financial].[Quarter].&amp;[Q4]&amp;[2012-13]"/>
                <p n="[Monthly Calendar Enquiry Created].[Financial].[Year].&amp;[2012-13]"/>
              </i>
              <i n="[Monthly Calendar Enquiry Created].[Financial].[Month Name].&amp;[April]&amp;[2013-14]" c="April">
                <p n="[Monthly Calendar Enquiry Created].[Financial].[Quarter].&amp;[Q1]&amp;[2013-14]"/>
                <p n="[Monthly Calendar Enquiry Created].[Financial].[Year].&amp;[2013-14]"/>
              </i>
              <i n="[Monthly Calendar Enquiry Created].[Financial].[Month Name].&amp;[May]&amp;[2013-14]" c="May">
                <p n="[Monthly Calendar Enquiry Created].[Financial].[Quarter].&amp;[Q1]&amp;[2013-14]"/>
                <p n="[Monthly Calendar Enquiry Created].[Financial].[Year].&amp;[2013-14]"/>
              </i>
              <i n="[Monthly Calendar Enquiry Created].[Financial].[Month Name].&amp;[June]&amp;[2013-14]" c="June">
                <p n="[Monthly Calendar Enquiry Created].[Financial].[Quarter].&amp;[Q1]&amp;[2013-14]"/>
                <p n="[Monthly Calendar Enquiry Created].[Financial].[Year].&amp;[2013-14]"/>
              </i>
              <i n="[Monthly Calendar Enquiry Created].[Financial].[Month Name].&amp;[July]&amp;[2013-14]" c="July">
                <p n="[Monthly Calendar Enquiry Created].[Financial].[Quarter].&amp;[Q2]&amp;[2013-14]"/>
                <p n="[Monthly Calendar Enquiry Created].[Financial].[Year].&amp;[2013-14]"/>
              </i>
              <i n="[Monthly Calendar Enquiry Created].[Financial].[Month Name].&amp;[August]&amp;[2013-14]" c="August">
                <p n="[Monthly Calendar Enquiry Created].[Financial].[Quarter].&amp;[Q2]&amp;[2013-14]"/>
                <p n="[Monthly Calendar Enquiry Created].[Financial].[Year].&amp;[2013-14]"/>
              </i>
              <i n="[Monthly Calendar Enquiry Created].[Financial].[Month Name].&amp;[September]&amp;[2013-14]" c="September">
                <p n="[Monthly Calendar Enquiry Created].[Financial].[Quarter].&amp;[Q2]&amp;[2013-14]"/>
                <p n="[Monthly Calendar Enquiry Created].[Financial].[Year].&amp;[2013-14]"/>
              </i>
              <i n="[Monthly Calendar Enquiry Created].[Financial].[Month Name].&amp;[October]&amp;[2013-14]" c="October">
                <p n="[Monthly Calendar Enquiry Created].[Financial].[Quarter].&amp;[Q3]&amp;[2013-14]"/>
                <p n="[Monthly Calendar Enquiry Created].[Financial].[Year].&amp;[2013-14]"/>
              </i>
              <i n="[Monthly Calendar Enquiry Created].[Financial].[Month Name].&amp;[November]&amp;[2013-14]" c="November">
                <p n="[Monthly Calendar Enquiry Created].[Financial].[Quarter].&amp;[Q3]&amp;[2013-14]"/>
                <p n="[Monthly Calendar Enquiry Created].[Financial].[Year].&amp;[2013-14]"/>
              </i>
              <i n="[Monthly Calendar Enquiry Created].[Financial].[Month Name].&amp;[December]&amp;[2013-14]" c="December">
                <p n="[Monthly Calendar Enquiry Created].[Financial].[Quarter].&amp;[Q3]&amp;[2013-14]"/>
                <p n="[Monthly Calendar Enquiry Created].[Financial].[Year].&amp;[2013-14]"/>
              </i>
              <i n="[Monthly Calendar Enquiry Created].[Financial].[Month Name].&amp;[January]&amp;[2013-14]" c="January">
                <p n="[Monthly Calendar Enquiry Created].[Financial].[Quarter].&amp;[Q4]&amp;[2013-14]"/>
                <p n="[Monthly Calendar Enquiry Created].[Financial].[Year].&amp;[2013-14]"/>
              </i>
              <i n="[Monthly Calendar Enquiry Created].[Financial].[Month Name].&amp;[February]&amp;[2013-14]" c="February">
                <p n="[Monthly Calendar Enquiry Created].[Financial].[Quarter].&amp;[Q4]&amp;[2013-14]"/>
                <p n="[Monthly Calendar Enquiry Created].[Financial].[Year].&amp;[2013-14]"/>
              </i>
              <i n="[Monthly Calendar Enquiry Created].[Financial].[Month Name].&amp;[March]&amp;[2013-14]" c="March">
                <p n="[Monthly Calendar Enquiry Created].[Financial].[Quarter].&amp;[Q4]&amp;[2013-14]"/>
                <p n="[Monthly Calendar Enquiry Created].[Financial].[Year].&amp;[2013-14]"/>
              </i>
              <i n="[Monthly Calendar Enquiry Created].[Financial].[Month Name].&amp;[April]&amp;[2014-15]" c="April">
                <p n="[Monthly Calendar Enquiry Created].[Financial].[Quarter].&amp;[Q1]&amp;[2014-15]"/>
                <p n="[Monthly Calendar Enquiry Created].[Financial].[Year].&amp;[2014-15]"/>
              </i>
              <i n="[Monthly Calendar Enquiry Created].[Financial].[Month Name].&amp;[May]&amp;[2014-15]" c="May">
                <p n="[Monthly Calendar Enquiry Created].[Financial].[Quarter].&amp;[Q1]&amp;[2014-15]"/>
                <p n="[Monthly Calendar Enquiry Created].[Financial].[Year].&amp;[2014-15]"/>
              </i>
              <i n="[Monthly Calendar Enquiry Created].[Financial].[Month Name].&amp;[June]&amp;[2014-15]" c="June">
                <p n="[Monthly Calendar Enquiry Created].[Financial].[Quarter].&amp;[Q1]&amp;[2014-15]"/>
                <p n="[Monthly Calendar Enquiry Created].[Financial].[Year].&amp;[2014-15]"/>
              </i>
              <i n="[Monthly Calendar Enquiry Created].[Financial].[Month Name].&amp;[July]&amp;[2014-15]" c="July">
                <p n="[Monthly Calendar Enquiry Created].[Financial].[Quarter].&amp;[Q2]&amp;[2014-15]"/>
                <p n="[Monthly Calendar Enquiry Created].[Financial].[Year].&amp;[2014-15]"/>
              </i>
              <i n="[Monthly Calendar Enquiry Created].[Financial].[Month Name].&amp;[August]&amp;[2014-15]" c="August">
                <p n="[Monthly Calendar Enquiry Created].[Financial].[Quarter].&amp;[Q2]&amp;[2014-15]"/>
                <p n="[Monthly Calendar Enquiry Created].[Financial].[Year].&amp;[2014-15]"/>
              </i>
              <i n="[Monthly Calendar Enquiry Created].[Financial].[Month Name].&amp;[September]&amp;[2014-15]" c="September">
                <p n="[Monthly Calendar Enquiry Created].[Financial].[Quarter].&amp;[Q2]&amp;[2014-15]"/>
                <p n="[Monthly Calendar Enquiry Created].[Financial].[Year].&amp;[2014-15]"/>
              </i>
              <i n="[Monthly Calendar Enquiry Created].[Financial].[Month Name].&amp;[October]&amp;[2014-15]" c="October">
                <p n="[Monthly Calendar Enquiry Created].[Financial].[Quarter].&amp;[Q3]&amp;[2014-15]"/>
                <p n="[Monthly Calendar Enquiry Created].[Financial].[Year].&amp;[2014-15]"/>
              </i>
              <i n="[Monthly Calendar Enquiry Created].[Financial].[Month Name].&amp;[November]&amp;[2014-15]" c="November">
                <p n="[Monthly Calendar Enquiry Created].[Financial].[Quarter].&amp;[Q3]&amp;[2014-15]"/>
                <p n="[Monthly Calendar Enquiry Created].[Financial].[Year].&amp;[2014-15]"/>
              </i>
              <i n="[Monthly Calendar Enquiry Created].[Financial].[Month Name].&amp;[December]&amp;[2014-15]" c="December">
                <p n="[Monthly Calendar Enquiry Created].[Financial].[Quarter].&amp;[Q3]&amp;[2014-15]"/>
                <p n="[Monthly Calendar Enquiry Created].[Financial].[Year].&amp;[2014-15]"/>
              </i>
              <i n="[Monthly Calendar Enquiry Created].[Financial].[Month Name].&amp;[January]&amp;[2014-15]" c="January">
                <p n="[Monthly Calendar Enquiry Created].[Financial].[Quarter].&amp;[Q4]&amp;[2014-15]"/>
                <p n="[Monthly Calendar Enquiry Created].[Financial].[Year].&amp;[2014-15]"/>
              </i>
              <i n="[Monthly Calendar Enquiry Created].[Financial].[Month Name].&amp;[February]&amp;[2014-15]" c="February">
                <p n="[Monthly Calendar Enquiry Created].[Financial].[Quarter].&amp;[Q4]&amp;[2014-15]"/>
                <p n="[Monthly Calendar Enquiry Created].[Financial].[Year].&amp;[2014-15]"/>
              </i>
              <i n="[Monthly Calendar Enquiry Created].[Financial].[Month Name].&amp;[March]&amp;[2014-15]" c="March">
                <p n="[Monthly Calendar Enquiry Created].[Financial].[Quarter].&amp;[Q4]&amp;[2014-15]"/>
                <p n="[Monthly Calendar Enquiry Created].[Financial].[Year].&amp;[2014-15]"/>
              </i>
              <i n="[Monthly Calendar Enquiry Created].[Financial].[Month Name].&amp;[April]&amp;[2015-16]" c="April">
                <p n="[Monthly Calendar Enquiry Created].[Financial].[Quarter].&amp;[Q1]&amp;[2015-16]"/>
                <p n="[Monthly Calendar Enquiry Created].[Financial].[Year].&amp;[2015-16]"/>
              </i>
              <i n="[Monthly Calendar Enquiry Created].[Financial].[Month Name].&amp;[May]&amp;[2015-16]" c="May">
                <p n="[Monthly Calendar Enquiry Created].[Financial].[Quarter].&amp;[Q1]&amp;[2015-16]"/>
                <p n="[Monthly Calendar Enquiry Created].[Financial].[Year].&amp;[2015-16]"/>
              </i>
              <i n="[Monthly Calendar Enquiry Created].[Financial].[Month Name].&amp;[June]&amp;[2015-16]" c="June">
                <p n="[Monthly Calendar Enquiry Created].[Financial].[Quarter].&amp;[Q1]&amp;[2015-16]"/>
                <p n="[Monthly Calendar Enquiry Created].[Financial].[Year].&amp;[2015-16]"/>
              </i>
              <i n="[Monthly Calendar Enquiry Created].[Financial].[Month Name].&amp;[July]&amp;[2015-16]" c="July">
                <p n="[Monthly Calendar Enquiry Created].[Financial].[Quarter].&amp;[Q2]&amp;[2015-16]"/>
                <p n="[Monthly Calendar Enquiry Created].[Financial].[Year].&amp;[2015-16]"/>
              </i>
              <i n="[Monthly Calendar Enquiry Created].[Financial].[Month Name].&amp;[August]&amp;[2015-16]" c="August">
                <p n="[Monthly Calendar Enquiry Created].[Financial].[Quarter].&amp;[Q2]&amp;[2015-16]"/>
                <p n="[Monthly Calendar Enquiry Created].[Financial].[Year].&amp;[2015-16]"/>
              </i>
              <i n="[Monthly Calendar Enquiry Created].[Financial].[Month Name].&amp;[September]&amp;[2015-16]" c="September">
                <p n="[Monthly Calendar Enquiry Created].[Financial].[Quarter].&amp;[Q2]&amp;[2015-16]"/>
                <p n="[Monthly Calendar Enquiry Created].[Financial].[Year].&amp;[2015-16]"/>
              </i>
              <i n="[Monthly Calendar Enquiry Created].[Financial].[Month Name].&amp;[October]&amp;[2015-16]" c="October">
                <p n="[Monthly Calendar Enquiry Created].[Financial].[Quarter].&amp;[Q3]&amp;[2015-16]"/>
                <p n="[Monthly Calendar Enquiry Created].[Financial].[Year].&amp;[2015-16]"/>
              </i>
              <i n="[Monthly Calendar Enquiry Created].[Financial].[Month Name].&amp;[November]&amp;[2015-16]" c="November">
                <p n="[Monthly Calendar Enquiry Created].[Financial].[Quarter].&amp;[Q3]&amp;[2015-16]"/>
                <p n="[Monthly Calendar Enquiry Created].[Financial].[Year].&amp;[2015-16]"/>
              </i>
              <i n="[Monthly Calendar Enquiry Created].[Financial].[Month Name].&amp;[December]&amp;[2015-16]" c="December">
                <p n="[Monthly Calendar Enquiry Created].[Financial].[Quarter].&amp;[Q3]&amp;[2015-16]"/>
                <p n="[Monthly Calendar Enquiry Created].[Financial].[Year].&amp;[2015-16]"/>
              </i>
              <i n="[Monthly Calendar Enquiry Created].[Financial].[Month Name].&amp;[January]&amp;[2015-16]" c="January">
                <p n="[Monthly Calendar Enquiry Created].[Financial].[Quarter].&amp;[Q4]&amp;[2015-16]"/>
                <p n="[Monthly Calendar Enquiry Created].[Financial].[Year].&amp;[2015-16]"/>
              </i>
              <i n="[Monthly Calendar Enquiry Created].[Financial].[Month Name].&amp;[February]&amp;[2015-16]" c="February">
                <p n="[Monthly Calendar Enquiry Created].[Financial].[Quarter].&amp;[Q4]&amp;[2015-16]"/>
                <p n="[Monthly Calendar Enquiry Created].[Financial].[Year].&amp;[2015-16]"/>
              </i>
              <i n="[Monthly Calendar Enquiry Created].[Financial].[Month Name].&amp;[March]&amp;[2015-16]" c="March">
                <p n="[Monthly Calendar Enquiry Created].[Financial].[Quarter].&amp;[Q4]&amp;[2015-16]"/>
                <p n="[Monthly Calendar Enquiry Created].[Financial].[Year].&amp;[2015-16]"/>
              </i>
              <i n="[Monthly Calendar Enquiry Created].[Financial].[Month Name].&amp;[April]&amp;[2016-17]" c="April">
                <p n="[Monthly Calendar Enquiry Created].[Financial].[Quarter].&amp;[Q1]&amp;[2016-17]"/>
                <p n="[Monthly Calendar Enquiry Created].[Financial].[Year].&amp;[2016-17]"/>
              </i>
              <i n="[Monthly Calendar Enquiry Created].[Financial].[Month Name].&amp;[May]&amp;[2016-17]" c="May">
                <p n="[Monthly Calendar Enquiry Created].[Financial].[Quarter].&amp;[Q1]&amp;[2016-17]"/>
                <p n="[Monthly Calendar Enquiry Created].[Financial].[Year].&amp;[2016-17]"/>
              </i>
              <i n="[Monthly Calendar Enquiry Created].[Financial].[Month Name].&amp;[June]&amp;[2016-17]" c="June">
                <p n="[Monthly Calendar Enquiry Created].[Financial].[Quarter].&amp;[Q1]&amp;[2016-17]"/>
                <p n="[Monthly Calendar Enquiry Created].[Financial].[Year].&amp;[2016-17]"/>
              </i>
              <i n="[Monthly Calendar Enquiry Created].[Financial].[Month Name].&amp;[July]&amp;[2016-17]" c="July">
                <p n="[Monthly Calendar Enquiry Created].[Financial].[Quarter].&amp;[Q2]&amp;[2016-17]"/>
                <p n="[Monthly Calendar Enquiry Created].[Financial].[Year].&amp;[2016-17]"/>
              </i>
              <i n="[Monthly Calendar Enquiry Created].[Financial].[Month Name].&amp;[August]&amp;[2016-17]" c="August">
                <p n="[Monthly Calendar Enquiry Created].[Financial].[Quarter].&amp;[Q2]&amp;[2016-17]"/>
                <p n="[Monthly Calendar Enquiry Created].[Financial].[Year].&amp;[2016-17]"/>
              </i>
              <i n="[Monthly Calendar Enquiry Created].[Financial].[Month Name].&amp;[September]&amp;[2016-17]" c="September">
                <p n="[Monthly Calendar Enquiry Created].[Financial].[Quarter].&amp;[Q2]&amp;[2016-17]"/>
                <p n="[Monthly Calendar Enquiry Created].[Financial].[Year].&amp;[2016-17]"/>
              </i>
              <i n="[Monthly Calendar Enquiry Created].[Financial].[Month Name].&amp;[October]&amp;[2016-17]" c="October">
                <p n="[Monthly Calendar Enquiry Created].[Financial].[Quarter].&amp;[Q3]&amp;[2016-17]"/>
                <p n="[Monthly Calendar Enquiry Created].[Financial].[Year].&amp;[2016-17]"/>
              </i>
              <i n="[Monthly Calendar Enquiry Created].[Financial].[Month Name].&amp;[November]&amp;[2016-17]" c="November">
                <p n="[Monthly Calendar Enquiry Created].[Financial].[Quarter].&amp;[Q3]&amp;[2016-17]"/>
                <p n="[Monthly Calendar Enquiry Created].[Financial].[Year].&amp;[2016-17]"/>
              </i>
              <i n="[Monthly Calendar Enquiry Created].[Financial].[Month Name].&amp;[December]&amp;[2016-17]" c="December">
                <p n="[Monthly Calendar Enquiry Created].[Financial].[Quarter].&amp;[Q3]&amp;[2016-17]"/>
                <p n="[Monthly Calendar Enquiry Created].[Financial].[Year].&amp;[2016-17]"/>
              </i>
              <i n="[Monthly Calendar Enquiry Created].[Financial].[Month Name].&amp;[January]&amp;[2016-17]" c="January">
                <p n="[Monthly Calendar Enquiry Created].[Financial].[Quarter].&amp;[Q4]&amp;[2016-17]"/>
                <p n="[Monthly Calendar Enquiry Created].[Financial].[Year].&amp;[2016-17]"/>
              </i>
              <i n="[Monthly Calendar Enquiry Created].[Financial].[Month Name].&amp;[February]&amp;[2016-17]" c="February">
                <p n="[Monthly Calendar Enquiry Created].[Financial].[Quarter].&amp;[Q4]&amp;[2016-17]"/>
                <p n="[Monthly Calendar Enquiry Created].[Financial].[Year].&amp;[2016-17]"/>
              </i>
              <i n="[Monthly Calendar Enquiry Created].[Financial].[Month Name].&amp;[March]&amp;[2016-17]" c="March">
                <p n="[Monthly Calendar Enquiry Created].[Financial].[Quarter].&amp;[Q4]&amp;[2016-17]"/>
                <p n="[Monthly Calendar Enquiry Created].[Financial].[Year].&amp;[2016-17]"/>
              </i>
              <i n="[Monthly Calendar Enquiry Created].[Financial].[Month Name].&amp;[April]&amp;[2017-18]" c="April">
                <p n="[Monthly Calendar Enquiry Created].[Financial].[Quarter].&amp;[Q1]&amp;[2017-18]"/>
                <p n="[Monthly Calendar Enquiry Created].[Financial].[Year].&amp;[2017-18]"/>
              </i>
              <i n="[Monthly Calendar Enquiry Created].[Financial].[Month Name].&amp;[July]&amp;[2017-18]" c="July">
                <p n="[Monthly Calendar Enquiry Created].[Financial].[Quarter].&amp;[Q2]&amp;[2017-18]"/>
                <p n="[Monthly Calendar Enquiry Created].[Financial].[Year].&amp;[2017-18]"/>
              </i>
              <i n="[Monthly Calendar Enquiry Created].[Financial].[Month Name].&amp;[October]&amp;[2017-18]" c="October">
                <p n="[Monthly Calendar Enquiry Created].[Financial].[Quarter].&amp;[Q3]&amp;[2017-18]"/>
                <p n="[Monthly Calendar Enquiry Created].[Financial].[Year].&amp;[2017-18]"/>
              </i>
              <i n="[Monthly Calendar Enquiry Created].[Financial].[Month Name].&amp;[November]&amp;[2017-18]" c="November">
                <p n="[Monthly Calendar Enquiry Created].[Financial].[Quarter].&amp;[Q3]&amp;[2017-18]"/>
                <p n="[Monthly Calendar Enquiry Created].[Financial].[Year].&amp;[2017-18]"/>
              </i>
              <i n="[Monthly Calendar Enquiry Created].[Financial].[Month Name].&amp;[December]&amp;[2017-18]" c="December">
                <p n="[Monthly Calendar Enquiry Created].[Financial].[Quarter].&amp;[Q3]&amp;[2017-18]"/>
                <p n="[Monthly Calendar Enquiry Created].[Financial].[Year].&amp;[2017-18]"/>
              </i>
              <i n="[Monthly Calendar Enquiry Created].[Financial].[Month Name].&amp;[January]&amp;[1999-00]" c="January" nd="1">
                <p n="[Monthly Calendar Enquiry Created].[Financial].[Quarter].&amp;[Q4]&amp;[1999-00]"/>
                <p n="[Monthly Calendar Enquiry Created].[Financial].[Year].&amp;[1999-00]"/>
              </i>
              <i n="[Monthly Calendar Enquiry Created].[Financial].[Month Name].&amp;[February]&amp;[1999-00]" c="February" nd="1">
                <p n="[Monthly Calendar Enquiry Created].[Financial].[Quarter].&amp;[Q4]&amp;[1999-00]"/>
                <p n="[Monthly Calendar Enquiry Created].[Financial].[Year].&amp;[1999-00]"/>
              </i>
              <i n="[Monthly Calendar Enquiry Created].[Financial].[Month Name].&amp;[March]&amp;[1999-00]" c="March" nd="1">
                <p n="[Monthly Calendar Enquiry Created].[Financial].[Quarter].&amp;[Q4]&amp;[1999-00]"/>
                <p n="[Monthly Calendar Enquiry Created].[Financial].[Year].&amp;[1999-00]"/>
              </i>
              <i n="[Monthly Calendar Enquiry Created].[Financial].[Month Name].&amp;[April]&amp;[2000-01]" c="April" nd="1">
                <p n="[Monthly Calendar Enquiry Created].[Financial].[Quarter].&amp;[Q1]&amp;[2000-01]"/>
                <p n="[Monthly Calendar Enquiry Created].[Financial].[Year].&amp;[2000-01]"/>
              </i>
              <i n="[Monthly Calendar Enquiry Created].[Financial].[Month Name].&amp;[May]&amp;[2000-01]" c="May" nd="1">
                <p n="[Monthly Calendar Enquiry Created].[Financial].[Quarter].&amp;[Q1]&amp;[2000-01]"/>
                <p n="[Monthly Calendar Enquiry Created].[Financial].[Year].&amp;[2000-01]"/>
              </i>
              <i n="[Monthly Calendar Enquiry Created].[Financial].[Month Name].&amp;[June]&amp;[2000-01]" c="June" nd="1">
                <p n="[Monthly Calendar Enquiry Created].[Financial].[Quarter].&amp;[Q1]&amp;[2000-01]"/>
                <p n="[Monthly Calendar Enquiry Created].[Financial].[Year].&amp;[2000-01]"/>
              </i>
              <i n="[Monthly Calendar Enquiry Created].[Financial].[Month Name].&amp;[July]&amp;[2000-01]" c="July" nd="1">
                <p n="[Monthly Calendar Enquiry Created].[Financial].[Quarter].&amp;[Q2]&amp;[2000-01]"/>
                <p n="[Monthly Calendar Enquiry Created].[Financial].[Year].&amp;[2000-01]"/>
              </i>
              <i n="[Monthly Calendar Enquiry Created].[Financial].[Month Name].&amp;[August]&amp;[2000-01]" c="August" nd="1">
                <p n="[Monthly Calendar Enquiry Created].[Financial].[Quarter].&amp;[Q2]&amp;[2000-01]"/>
                <p n="[Monthly Calendar Enquiry Created].[Financial].[Year].&amp;[2000-01]"/>
              </i>
              <i n="[Monthly Calendar Enquiry Created].[Financial].[Month Name].&amp;[September]&amp;[2000-01]" c="September" nd="1">
                <p n="[Monthly Calendar Enquiry Created].[Financial].[Quarter].&amp;[Q2]&amp;[2000-01]"/>
                <p n="[Monthly Calendar Enquiry Created].[Financial].[Year].&amp;[2000-01]"/>
              </i>
              <i n="[Monthly Calendar Enquiry Created].[Financial].[Month Name].&amp;[October]&amp;[2000-01]" c="October" nd="1">
                <p n="[Monthly Calendar Enquiry Created].[Financial].[Quarter].&amp;[Q3]&amp;[2000-01]"/>
                <p n="[Monthly Calendar Enquiry Created].[Financial].[Year].&amp;[2000-01]"/>
              </i>
              <i n="[Monthly Calendar Enquiry Created].[Financial].[Month Name].&amp;[November]&amp;[2000-01]" c="November" nd="1">
                <p n="[Monthly Calendar Enquiry Created].[Financial].[Quarter].&amp;[Q3]&amp;[2000-01]"/>
                <p n="[Monthly Calendar Enquiry Created].[Financial].[Year].&amp;[2000-01]"/>
              </i>
              <i n="[Monthly Calendar Enquiry Created].[Financial].[Month Name].&amp;[December]&amp;[2000-01]" c="December" nd="1">
                <p n="[Monthly Calendar Enquiry Created].[Financial].[Quarter].&amp;[Q3]&amp;[2000-01]"/>
                <p n="[Monthly Calendar Enquiry Created].[Financial].[Year].&amp;[2000-01]"/>
              </i>
              <i n="[Monthly Calendar Enquiry Created].[Financial].[Month Name].&amp;[January]&amp;[2000-01]" c="January" nd="1">
                <p n="[Monthly Calendar Enquiry Created].[Financial].[Quarter].&amp;[Q4]&amp;[2000-01]"/>
                <p n="[Monthly Calendar Enquiry Created].[Financial].[Year].&amp;[2000-01]"/>
              </i>
              <i n="[Monthly Calendar Enquiry Created].[Financial].[Month Name].&amp;[February]&amp;[2000-01]" c="February" nd="1">
                <p n="[Monthly Calendar Enquiry Created].[Financial].[Quarter].&amp;[Q4]&amp;[2000-01]"/>
                <p n="[Monthly Calendar Enquiry Created].[Financial].[Year].&amp;[2000-01]"/>
              </i>
              <i n="[Monthly Calendar Enquiry Created].[Financial].[Month Name].&amp;[March]&amp;[2000-01]" c="March" nd="1">
                <p n="[Monthly Calendar Enquiry Created].[Financial].[Quarter].&amp;[Q4]&amp;[2000-01]"/>
                <p n="[Monthly Calendar Enquiry Created].[Financial].[Year].&amp;[2000-01]"/>
              </i>
              <i n="[Monthly Calendar Enquiry Created].[Financial].[Month Name].&amp;[April]&amp;[2001-02]" c="April" nd="1">
                <p n="[Monthly Calendar Enquiry Created].[Financial].[Quarter].&amp;[Q1]&amp;[2001-02]"/>
                <p n="[Monthly Calendar Enquiry Created].[Financial].[Year].&amp;[2001-02]"/>
              </i>
              <i n="[Monthly Calendar Enquiry Created].[Financial].[Month Name].&amp;[May]&amp;[2001-02]" c="May" nd="1">
                <p n="[Monthly Calendar Enquiry Created].[Financial].[Quarter].&amp;[Q1]&amp;[2001-02]"/>
                <p n="[Monthly Calendar Enquiry Created].[Financial].[Year].&amp;[2001-02]"/>
              </i>
              <i n="[Monthly Calendar Enquiry Created].[Financial].[Month Name].&amp;[June]&amp;[2001-02]" c="June" nd="1">
                <p n="[Monthly Calendar Enquiry Created].[Financial].[Quarter].&amp;[Q1]&amp;[2001-02]"/>
                <p n="[Monthly Calendar Enquiry Created].[Financial].[Year].&amp;[2001-02]"/>
              </i>
              <i n="[Monthly Calendar Enquiry Created].[Financial].[Month Name].&amp;[July]&amp;[2001-02]" c="July" nd="1">
                <p n="[Monthly Calendar Enquiry Created].[Financial].[Quarter].&amp;[Q2]&amp;[2001-02]"/>
                <p n="[Monthly Calendar Enquiry Created].[Financial].[Year].&amp;[2001-02]"/>
              </i>
              <i n="[Monthly Calendar Enquiry Created].[Financial].[Month Name].&amp;[August]&amp;[2001-02]" c="August" nd="1">
                <p n="[Monthly Calendar Enquiry Created].[Financial].[Quarter].&amp;[Q2]&amp;[2001-02]"/>
                <p n="[Monthly Calendar Enquiry Created].[Financial].[Year].&amp;[2001-02]"/>
              </i>
              <i n="[Monthly Calendar Enquiry Created].[Financial].[Month Name].&amp;[September]&amp;[2001-02]" c="September" nd="1">
                <p n="[Monthly Calendar Enquiry Created].[Financial].[Quarter].&amp;[Q2]&amp;[2001-02]"/>
                <p n="[Monthly Calendar Enquiry Created].[Financial].[Year].&amp;[2001-02]"/>
              </i>
              <i n="[Monthly Calendar Enquiry Created].[Financial].[Month Name].&amp;[October]&amp;[2001-02]" c="October" nd="1">
                <p n="[Monthly Calendar Enquiry Created].[Financial].[Quarter].&amp;[Q3]&amp;[2001-02]"/>
                <p n="[Monthly Calendar Enquiry Created].[Financial].[Year].&amp;[2001-02]"/>
              </i>
              <i n="[Monthly Calendar Enquiry Created].[Financial].[Month Name].&amp;[November]&amp;[2001-02]" c="November" nd="1">
                <p n="[Monthly Calendar Enquiry Created].[Financial].[Quarter].&amp;[Q3]&amp;[2001-02]"/>
                <p n="[Monthly Calendar Enquiry Created].[Financial].[Year].&amp;[2001-02]"/>
              </i>
              <i n="[Monthly Calendar Enquiry Created].[Financial].[Month Name].&amp;[December]&amp;[2001-02]" c="December" nd="1">
                <p n="[Monthly Calendar Enquiry Created].[Financial].[Quarter].&amp;[Q3]&amp;[2001-02]"/>
                <p n="[Monthly Calendar Enquiry Created].[Financial].[Year].&amp;[2001-02]"/>
              </i>
              <i n="[Monthly Calendar Enquiry Created].[Financial].[Month Name].&amp;[January]&amp;[2001-02]" c="January" nd="1">
                <p n="[Monthly Calendar Enquiry Created].[Financial].[Quarter].&amp;[Q4]&amp;[2001-02]"/>
                <p n="[Monthly Calendar Enquiry Created].[Financial].[Year].&amp;[2001-02]"/>
              </i>
              <i n="[Monthly Calendar Enquiry Created].[Financial].[Month Name].&amp;[February]&amp;[2001-02]" c="February" nd="1">
                <p n="[Monthly Calendar Enquiry Created].[Financial].[Quarter].&amp;[Q4]&amp;[2001-02]"/>
                <p n="[Monthly Calendar Enquiry Created].[Financial].[Year].&amp;[2001-02]"/>
              </i>
              <i n="[Monthly Calendar Enquiry Created].[Financial].[Month Name].&amp;[April]&amp;[2002-03]" c="April" nd="1">
                <p n="[Monthly Calendar Enquiry Created].[Financial].[Quarter].&amp;[Q1]&amp;[2002-03]"/>
                <p n="[Monthly Calendar Enquiry Created].[Financial].[Year].&amp;[2002-03]"/>
              </i>
              <i n="[Monthly Calendar Enquiry Created].[Financial].[Month Name].&amp;[May]&amp;[2002-03]" c="May" nd="1">
                <p n="[Monthly Calendar Enquiry Created].[Financial].[Quarter].&amp;[Q1]&amp;[2002-03]"/>
                <p n="[Monthly Calendar Enquiry Created].[Financial].[Year].&amp;[2002-03]"/>
              </i>
              <i n="[Monthly Calendar Enquiry Created].[Financial].[Month Name].&amp;[June]&amp;[2002-03]" c="June" nd="1">
                <p n="[Monthly Calendar Enquiry Created].[Financial].[Quarter].&amp;[Q1]&amp;[2002-03]"/>
                <p n="[Monthly Calendar Enquiry Created].[Financial].[Year].&amp;[2002-03]"/>
              </i>
              <i n="[Monthly Calendar Enquiry Created].[Financial].[Month Name].&amp;[July]&amp;[2002-03]" c="July" nd="1">
                <p n="[Monthly Calendar Enquiry Created].[Financial].[Quarter].&amp;[Q2]&amp;[2002-03]"/>
                <p n="[Monthly Calendar Enquiry Created].[Financial].[Year].&amp;[2002-03]"/>
              </i>
              <i n="[Monthly Calendar Enquiry Created].[Financial].[Month Name].&amp;[August]&amp;[2002-03]" c="August" nd="1">
                <p n="[Monthly Calendar Enquiry Created].[Financial].[Quarter].&amp;[Q2]&amp;[2002-03]"/>
                <p n="[Monthly Calendar Enquiry Created].[Financial].[Year].&amp;[2002-03]"/>
              </i>
              <i n="[Monthly Calendar Enquiry Created].[Financial].[Month Name].&amp;[September]&amp;[2002-03]" c="September" nd="1">
                <p n="[Monthly Calendar Enquiry Created].[Financial].[Quarter].&amp;[Q2]&amp;[2002-03]"/>
                <p n="[Monthly Calendar Enquiry Created].[Financial].[Year].&amp;[2002-03]"/>
              </i>
              <i n="[Monthly Calendar Enquiry Created].[Financial].[Month Name].&amp;[October]&amp;[2002-03]" c="October" nd="1">
                <p n="[Monthly Calendar Enquiry Created].[Financial].[Quarter].&amp;[Q3]&amp;[2002-03]"/>
                <p n="[Monthly Calendar Enquiry Created].[Financial].[Year].&amp;[2002-03]"/>
              </i>
              <i n="[Monthly Calendar Enquiry Created].[Financial].[Month Name].&amp;[November]&amp;[2002-03]" c="November" nd="1">
                <p n="[Monthly Calendar Enquiry Created].[Financial].[Quarter].&amp;[Q3]&amp;[2002-03]"/>
                <p n="[Monthly Calendar Enquiry Created].[Financial].[Year].&amp;[2002-03]"/>
              </i>
              <i n="[Monthly Calendar Enquiry Created].[Financial].[Month Name].&amp;[December]&amp;[2002-03]" c="December" nd="1">
                <p n="[Monthly Calendar Enquiry Created].[Financial].[Quarter].&amp;[Q3]&amp;[2002-03]"/>
                <p n="[Monthly Calendar Enquiry Created].[Financial].[Year].&amp;[2002-03]"/>
              </i>
              <i n="[Monthly Calendar Enquiry Created].[Financial].[Month Name].&amp;[January]&amp;[2002-03]" c="January" nd="1">
                <p n="[Monthly Calendar Enquiry Created].[Financial].[Quarter].&amp;[Q4]&amp;[2002-03]"/>
                <p n="[Monthly Calendar Enquiry Created].[Financial].[Year].&amp;[2002-03]"/>
              </i>
              <i n="[Monthly Calendar Enquiry Created].[Financial].[Month Name].&amp;[February]&amp;[2002-03]" c="February" nd="1">
                <p n="[Monthly Calendar Enquiry Created].[Financial].[Quarter].&amp;[Q4]&amp;[2002-03]"/>
                <p n="[Monthly Calendar Enquiry Created].[Financial].[Year].&amp;[2002-03]"/>
              </i>
              <i n="[Monthly Calendar Enquiry Created].[Financial].[Month Name].&amp;[March]&amp;[2002-03]" c="March" nd="1">
                <p n="[Monthly Calendar Enquiry Created].[Financial].[Quarter].&amp;[Q4]&amp;[2002-03]"/>
                <p n="[Monthly Calendar Enquiry Created].[Financial].[Year].&amp;[2002-03]"/>
              </i>
              <i n="[Monthly Calendar Enquiry Created].[Financial].[Month Name].&amp;[April]&amp;[2003-04]" c="April" nd="1">
                <p n="[Monthly Calendar Enquiry Created].[Financial].[Quarter].&amp;[Q1]&amp;[2003-04]"/>
                <p n="[Monthly Calendar Enquiry Created].[Financial].[Year].&amp;[2003-04]"/>
              </i>
              <i n="[Monthly Calendar Enquiry Created].[Financial].[Month Name].&amp;[May]&amp;[2003-04]" c="May" nd="1">
                <p n="[Monthly Calendar Enquiry Created].[Financial].[Quarter].&amp;[Q1]&amp;[2003-04]"/>
                <p n="[Monthly Calendar Enquiry Created].[Financial].[Year].&amp;[2003-04]"/>
              </i>
              <i n="[Monthly Calendar Enquiry Created].[Financial].[Month Name].&amp;[June]&amp;[2003-04]" c="June" nd="1">
                <p n="[Monthly Calendar Enquiry Created].[Financial].[Quarter].&amp;[Q1]&amp;[2003-04]"/>
                <p n="[Monthly Calendar Enquiry Created].[Financial].[Year].&amp;[2003-04]"/>
              </i>
              <i n="[Monthly Calendar Enquiry Created].[Financial].[Month Name].&amp;[July]&amp;[2003-04]" c="July" nd="1">
                <p n="[Monthly Calendar Enquiry Created].[Financial].[Quarter].&amp;[Q2]&amp;[2003-04]"/>
                <p n="[Monthly Calendar Enquiry Created].[Financial].[Year].&amp;[2003-04]"/>
              </i>
              <i n="[Monthly Calendar Enquiry Created].[Financial].[Month Name].&amp;[August]&amp;[2003-04]" c="August" nd="1">
                <p n="[Monthly Calendar Enquiry Created].[Financial].[Quarter].&amp;[Q2]&amp;[2003-04]"/>
                <p n="[Monthly Calendar Enquiry Created].[Financial].[Year].&amp;[2003-04]"/>
              </i>
              <i n="[Monthly Calendar Enquiry Created].[Financial].[Month Name].&amp;[September]&amp;[2003-04]" c="September" nd="1">
                <p n="[Monthly Calendar Enquiry Created].[Financial].[Quarter].&amp;[Q2]&amp;[2003-04]"/>
                <p n="[Monthly Calendar Enquiry Created].[Financial].[Year].&amp;[2003-04]"/>
              </i>
              <i n="[Monthly Calendar Enquiry Created].[Financial].[Month Name].&amp;[October]&amp;[2003-04]" c="October" nd="1">
                <p n="[Monthly Calendar Enquiry Created].[Financial].[Quarter].&amp;[Q3]&amp;[2003-04]"/>
                <p n="[Monthly Calendar Enquiry Created].[Financial].[Year].&amp;[2003-04]"/>
              </i>
              <i n="[Monthly Calendar Enquiry Created].[Financial].[Month Name].&amp;[November]&amp;[2003-04]" c="November" nd="1">
                <p n="[Monthly Calendar Enquiry Created].[Financial].[Quarter].&amp;[Q3]&amp;[2003-04]"/>
                <p n="[Monthly Calendar Enquiry Created].[Financial].[Year].&amp;[2003-04]"/>
              </i>
              <i n="[Monthly Calendar Enquiry Created].[Financial].[Month Name].&amp;[December]&amp;[2003-04]" c="December" nd="1">
                <p n="[Monthly Calendar Enquiry Created].[Financial].[Quarter].&amp;[Q3]&amp;[2003-04]"/>
                <p n="[Monthly Calendar Enquiry Created].[Financial].[Year].&amp;[2003-04]"/>
              </i>
              <i n="[Monthly Calendar Enquiry Created].[Financial].[Month Name].&amp;[January]&amp;[2003-04]" c="January" nd="1">
                <p n="[Monthly Calendar Enquiry Created].[Financial].[Quarter].&amp;[Q4]&amp;[2003-04]"/>
                <p n="[Monthly Calendar Enquiry Created].[Financial].[Year].&amp;[2003-04]"/>
              </i>
              <i n="[Monthly Calendar Enquiry Created].[Financial].[Month Name].&amp;[February]&amp;[2003-04]" c="February" nd="1">
                <p n="[Monthly Calendar Enquiry Created].[Financial].[Quarter].&amp;[Q4]&amp;[2003-04]"/>
                <p n="[Monthly Calendar Enquiry Created].[Financial].[Year].&amp;[2003-04]"/>
              </i>
              <i n="[Monthly Calendar Enquiry Created].[Financial].[Month Name].&amp;[March]&amp;[2003-04]" c="March" nd="1">
                <p n="[Monthly Calendar Enquiry Created].[Financial].[Quarter].&amp;[Q4]&amp;[2003-04]"/>
                <p n="[Monthly Calendar Enquiry Created].[Financial].[Year].&amp;[2003-04]"/>
              </i>
              <i n="[Monthly Calendar Enquiry Created].[Financial].[Month Name].&amp;[April]&amp;[2004-05]" c="April" nd="1">
                <p n="[Monthly Calendar Enquiry Created].[Financial].[Quarter].&amp;[Q1]&amp;[2004-05]"/>
                <p n="[Monthly Calendar Enquiry Created].[Financial].[Year].&amp;[2004-05]"/>
              </i>
              <i n="[Monthly Calendar Enquiry Created].[Financial].[Month Name].&amp;[May]&amp;[2004-05]" c="May" nd="1">
                <p n="[Monthly Calendar Enquiry Created].[Financial].[Quarter].&amp;[Q1]&amp;[2004-05]"/>
                <p n="[Monthly Calendar Enquiry Created].[Financial].[Year].&amp;[2004-05]"/>
              </i>
              <i n="[Monthly Calendar Enquiry Created].[Financial].[Month Name].&amp;[June]&amp;[2004-05]" c="June" nd="1">
                <p n="[Monthly Calendar Enquiry Created].[Financial].[Quarter].&amp;[Q1]&amp;[2004-05]"/>
                <p n="[Monthly Calendar Enquiry Created].[Financial].[Year].&amp;[2004-05]"/>
              </i>
              <i n="[Monthly Calendar Enquiry Created].[Financial].[Month Name].&amp;[July]&amp;[2004-05]" c="July" nd="1">
                <p n="[Monthly Calendar Enquiry Created].[Financial].[Quarter].&amp;[Q2]&amp;[2004-05]"/>
                <p n="[Monthly Calendar Enquiry Created].[Financial].[Year].&amp;[2004-05]"/>
              </i>
              <i n="[Monthly Calendar Enquiry Created].[Financial].[Month Name].&amp;[August]&amp;[2004-05]" c="August" nd="1">
                <p n="[Monthly Calendar Enquiry Created].[Financial].[Quarter].&amp;[Q2]&amp;[2004-05]"/>
                <p n="[Monthly Calendar Enquiry Created].[Financial].[Year].&amp;[2004-05]"/>
              </i>
              <i n="[Monthly Calendar Enquiry Created].[Financial].[Month Name].&amp;[September]&amp;[2004-05]" c="September" nd="1">
                <p n="[Monthly Calendar Enquiry Created].[Financial].[Quarter].&amp;[Q2]&amp;[2004-05]"/>
                <p n="[Monthly Calendar Enquiry Created].[Financial].[Year].&amp;[2004-05]"/>
              </i>
              <i n="[Monthly Calendar Enquiry Created].[Financial].[Month Name].&amp;[October]&amp;[2004-05]" c="October" nd="1">
                <p n="[Monthly Calendar Enquiry Created].[Financial].[Quarter].&amp;[Q3]&amp;[2004-05]"/>
                <p n="[Monthly Calendar Enquiry Created].[Financial].[Year].&amp;[2004-05]"/>
              </i>
              <i n="[Monthly Calendar Enquiry Created].[Financial].[Month Name].&amp;[November]&amp;[2004-05]" c="November" nd="1">
                <p n="[Monthly Calendar Enquiry Created].[Financial].[Quarter].&amp;[Q3]&amp;[2004-05]"/>
                <p n="[Monthly Calendar Enquiry Created].[Financial].[Year].&amp;[2004-05]"/>
              </i>
              <i n="[Monthly Calendar Enquiry Created].[Financial].[Month Name].&amp;[December]&amp;[2004-05]" c="December" nd="1">
                <p n="[Monthly Calendar Enquiry Created].[Financial].[Quarter].&amp;[Q3]&amp;[2004-05]"/>
                <p n="[Monthly Calendar Enquiry Created].[Financial].[Year].&amp;[2004-05]"/>
              </i>
              <i n="[Monthly Calendar Enquiry Created].[Financial].[Month Name].&amp;[January]&amp;[2004-05]" c="January" nd="1">
                <p n="[Monthly Calendar Enquiry Created].[Financial].[Quarter].&amp;[Q4]&amp;[2004-05]"/>
                <p n="[Monthly Calendar Enquiry Created].[Financial].[Year].&amp;[2004-05]"/>
              </i>
              <i n="[Monthly Calendar Enquiry Created].[Financial].[Month Name].&amp;[February]&amp;[2004-05]" c="February" nd="1">
                <p n="[Monthly Calendar Enquiry Created].[Financial].[Quarter].&amp;[Q4]&amp;[2004-05]"/>
                <p n="[Monthly Calendar Enquiry Created].[Financial].[Year].&amp;[2004-05]"/>
              </i>
              <i n="[Monthly Calendar Enquiry Created].[Financial].[Month Name].&amp;[March]&amp;[2004-05]" c="March" nd="1">
                <p n="[Monthly Calendar Enquiry Created].[Financial].[Quarter].&amp;[Q4]&amp;[2004-05]"/>
                <p n="[Monthly Calendar Enquiry Created].[Financial].[Year].&amp;[2004-05]"/>
              </i>
              <i n="[Monthly Calendar Enquiry Created].[Financial].[Month Name].&amp;[April]&amp;[2005-06]" c="April" nd="1">
                <p n="[Monthly Calendar Enquiry Created].[Financial].[Quarter].&amp;[Q1]&amp;[2005-06]"/>
                <p n="[Monthly Calendar Enquiry Created].[Financial].[Year].&amp;[2005-06]"/>
              </i>
              <i n="[Monthly Calendar Enquiry Created].[Financial].[Month Name].&amp;[May]&amp;[2005-06]" c="May" nd="1">
                <p n="[Monthly Calendar Enquiry Created].[Financial].[Quarter].&amp;[Q1]&amp;[2005-06]"/>
                <p n="[Monthly Calendar Enquiry Created].[Financial].[Year].&amp;[2005-06]"/>
              </i>
              <i n="[Monthly Calendar Enquiry Created].[Financial].[Month Name].&amp;[June]&amp;[2005-06]" c="June" nd="1">
                <p n="[Monthly Calendar Enquiry Created].[Financial].[Quarter].&amp;[Q1]&amp;[2005-06]"/>
                <p n="[Monthly Calendar Enquiry Created].[Financial].[Year].&amp;[2005-06]"/>
              </i>
              <i n="[Monthly Calendar Enquiry Created].[Financial].[Month Name].&amp;[July]&amp;[2005-06]" c="July" nd="1">
                <p n="[Monthly Calendar Enquiry Created].[Financial].[Quarter].&amp;[Q2]&amp;[2005-06]"/>
                <p n="[Monthly Calendar Enquiry Created].[Financial].[Year].&amp;[2005-06]"/>
              </i>
              <i n="[Monthly Calendar Enquiry Created].[Financial].[Month Name].&amp;[August]&amp;[2005-06]" c="August" nd="1">
                <p n="[Monthly Calendar Enquiry Created].[Financial].[Quarter].&amp;[Q2]&amp;[2005-06]"/>
                <p n="[Monthly Calendar Enquiry Created].[Financial].[Year].&amp;[2005-06]"/>
              </i>
              <i n="[Monthly Calendar Enquiry Created].[Financial].[Month Name].&amp;[September]&amp;[2005-06]" c="September" nd="1">
                <p n="[Monthly Calendar Enquiry Created].[Financial].[Quarter].&amp;[Q2]&amp;[2005-06]"/>
                <p n="[Monthly Calendar Enquiry Created].[Financial].[Year].&amp;[2005-06]"/>
              </i>
              <i n="[Monthly Calendar Enquiry Created].[Financial].[Month Name].&amp;[October]&amp;[2005-06]" c="October" nd="1">
                <p n="[Monthly Calendar Enquiry Created].[Financial].[Quarter].&amp;[Q3]&amp;[2005-06]"/>
                <p n="[Monthly Calendar Enquiry Created].[Financial].[Year].&amp;[2005-06]"/>
              </i>
              <i n="[Monthly Calendar Enquiry Created].[Financial].[Month Name].&amp;[November]&amp;[2005-06]" c="November" nd="1">
                <p n="[Monthly Calendar Enquiry Created].[Financial].[Quarter].&amp;[Q3]&amp;[2005-06]"/>
                <p n="[Monthly Calendar Enquiry Created].[Financial].[Year].&amp;[2005-06]"/>
              </i>
              <i n="[Monthly Calendar Enquiry Created].[Financial].[Month Name].&amp;[December]&amp;[2005-06]" c="December" nd="1">
                <p n="[Monthly Calendar Enquiry Created].[Financial].[Quarter].&amp;[Q3]&amp;[2005-06]"/>
                <p n="[Monthly Calendar Enquiry Created].[Financial].[Year].&amp;[2005-06]"/>
              </i>
              <i n="[Monthly Calendar Enquiry Created].[Financial].[Month Name].&amp;[January]&amp;[2005-06]" c="January" nd="1">
                <p n="[Monthly Calendar Enquiry Created].[Financial].[Quarter].&amp;[Q4]&amp;[2005-06]"/>
                <p n="[Monthly Calendar Enquiry Created].[Financial].[Year].&amp;[2005-06]"/>
              </i>
              <i n="[Monthly Calendar Enquiry Created].[Financial].[Month Name].&amp;[February]&amp;[2005-06]" c="February" nd="1">
                <p n="[Monthly Calendar Enquiry Created].[Financial].[Quarter].&amp;[Q4]&amp;[2005-06]"/>
                <p n="[Monthly Calendar Enquiry Created].[Financial].[Year].&amp;[2005-06]"/>
              </i>
              <i n="[Monthly Calendar Enquiry Created].[Financial].[Month Name].&amp;[March]&amp;[2005-06]" c="March" nd="1">
                <p n="[Monthly Calendar Enquiry Created].[Financial].[Quarter].&amp;[Q4]&amp;[2005-06]"/>
                <p n="[Monthly Calendar Enquiry Created].[Financial].[Year].&amp;[2005-06]"/>
              </i>
              <i n="[Monthly Calendar Enquiry Created].[Financial].[Month Name].&amp;[April]&amp;[2006-07]" c="April" nd="1">
                <p n="[Monthly Calendar Enquiry Created].[Financial].[Quarter].&amp;[Q1]&amp;[2006-07]"/>
                <p n="[Monthly Calendar Enquiry Created].[Financial].[Year].&amp;[2006-07]"/>
              </i>
              <i n="[Monthly Calendar Enquiry Created].[Financial].[Month Name].&amp;[May]&amp;[2006-07]" c="May" nd="1">
                <p n="[Monthly Calendar Enquiry Created].[Financial].[Quarter].&amp;[Q1]&amp;[2006-07]"/>
                <p n="[Monthly Calendar Enquiry Created].[Financial].[Year].&amp;[2006-07]"/>
              </i>
              <i n="[Monthly Calendar Enquiry Created].[Financial].[Month Name].&amp;[June]&amp;[2006-07]" c="June" nd="1">
                <p n="[Monthly Calendar Enquiry Created].[Financial].[Quarter].&amp;[Q1]&amp;[2006-07]"/>
                <p n="[Monthly Calendar Enquiry Created].[Financial].[Year].&amp;[2006-07]"/>
              </i>
              <i n="[Monthly Calendar Enquiry Created].[Financial].[Month Name].&amp;[July]&amp;[2006-07]" c="July" nd="1">
                <p n="[Monthly Calendar Enquiry Created].[Financial].[Quarter].&amp;[Q2]&amp;[2006-07]"/>
                <p n="[Monthly Calendar Enquiry Created].[Financial].[Year].&amp;[2006-07]"/>
              </i>
              <i n="[Monthly Calendar Enquiry Created].[Financial].[Month Name].&amp;[August]&amp;[2006-07]" c="August" nd="1">
                <p n="[Monthly Calendar Enquiry Created].[Financial].[Quarter].&amp;[Q2]&amp;[2006-07]"/>
                <p n="[Monthly Calendar Enquiry Created].[Financial].[Year].&amp;[2006-07]"/>
              </i>
              <i n="[Monthly Calendar Enquiry Created].[Financial].[Month Name].&amp;[September]&amp;[2006-07]" c="September" nd="1">
                <p n="[Monthly Calendar Enquiry Created].[Financial].[Quarter].&amp;[Q2]&amp;[2006-07]"/>
                <p n="[Monthly Calendar Enquiry Created].[Financial].[Year].&amp;[2006-07]"/>
              </i>
              <i n="[Monthly Calendar Enquiry Created].[Financial].[Month Name].&amp;[October]&amp;[2006-07]" c="October" nd="1">
                <p n="[Monthly Calendar Enquiry Created].[Financial].[Quarter].&amp;[Q3]&amp;[2006-07]"/>
                <p n="[Monthly Calendar Enquiry Created].[Financial].[Year].&amp;[2006-07]"/>
              </i>
              <i n="[Monthly Calendar Enquiry Created].[Financial].[Month Name].&amp;[November]&amp;[2006-07]" c="November" nd="1">
                <p n="[Monthly Calendar Enquiry Created].[Financial].[Quarter].&amp;[Q3]&amp;[2006-07]"/>
                <p n="[Monthly Calendar Enquiry Created].[Financial].[Year].&amp;[2006-07]"/>
              </i>
              <i n="[Monthly Calendar Enquiry Created].[Financial].[Month Name].&amp;[December]&amp;[2006-07]" c="December" nd="1">
                <p n="[Monthly Calendar Enquiry Created].[Financial].[Quarter].&amp;[Q3]&amp;[2006-07]"/>
                <p n="[Monthly Calendar Enquiry Created].[Financial].[Year].&amp;[2006-07]"/>
              </i>
              <i n="[Monthly Calendar Enquiry Created].[Financial].[Month Name].&amp;[January]&amp;[2006-07]" c="January" nd="1">
                <p n="[Monthly Calendar Enquiry Created].[Financial].[Quarter].&amp;[Q4]&amp;[2006-07]"/>
                <p n="[Monthly Calendar Enquiry Created].[Financial].[Year].&amp;[2006-07]"/>
              </i>
              <i n="[Monthly Calendar Enquiry Created].[Financial].[Month Name].&amp;[February]&amp;[2006-07]" c="February" nd="1">
                <p n="[Monthly Calendar Enquiry Created].[Financial].[Quarter].&amp;[Q4]&amp;[2006-07]"/>
                <p n="[Monthly Calendar Enquiry Created].[Financial].[Year].&amp;[2006-07]"/>
              </i>
              <i n="[Monthly Calendar Enquiry Created].[Financial].[Month Name].&amp;[March]&amp;[2006-07]" c="March" nd="1">
                <p n="[Monthly Calendar Enquiry Created].[Financial].[Quarter].&amp;[Q4]&amp;[2006-07]"/>
                <p n="[Monthly Calendar Enquiry Created].[Financial].[Year].&amp;[2006-07]"/>
              </i>
              <i n="[Monthly Calendar Enquiry Created].[Financial].[Month Name].&amp;[April]&amp;[2007-08]" c="April" nd="1">
                <p n="[Monthly Calendar Enquiry Created].[Financial].[Quarter].&amp;[Q1]&amp;[2007-08]"/>
                <p n="[Monthly Calendar Enquiry Created].[Financial].[Year].&amp;[2007-08]"/>
              </i>
              <i n="[Monthly Calendar Enquiry Created].[Financial].[Month Name].&amp;[May]&amp;[2007-08]" c="May" nd="1">
                <p n="[Monthly Calendar Enquiry Created].[Financial].[Quarter].&amp;[Q1]&amp;[2007-08]"/>
                <p n="[Monthly Calendar Enquiry Created].[Financial].[Year].&amp;[2007-08]"/>
              </i>
              <i n="[Monthly Calendar Enquiry Created].[Financial].[Month Name].&amp;[June]&amp;[2007-08]" c="June" nd="1">
                <p n="[Monthly Calendar Enquiry Created].[Financial].[Quarter].&amp;[Q1]&amp;[2007-08]"/>
                <p n="[Monthly Calendar Enquiry Created].[Financial].[Year].&amp;[2007-08]"/>
              </i>
              <i n="[Monthly Calendar Enquiry Created].[Financial].[Month Name].&amp;[July]&amp;[2007-08]" c="July" nd="1">
                <p n="[Monthly Calendar Enquiry Created].[Financial].[Quarter].&amp;[Q2]&amp;[2007-08]"/>
                <p n="[Monthly Calendar Enquiry Created].[Financial].[Year].&amp;[2007-08]"/>
              </i>
              <i n="[Monthly Calendar Enquiry Created].[Financial].[Month Name].&amp;[September]&amp;[2007-08]" c="September" nd="1">
                <p n="[Monthly Calendar Enquiry Created].[Financial].[Quarter].&amp;[Q2]&amp;[2007-08]"/>
                <p n="[Monthly Calendar Enquiry Created].[Financial].[Year].&amp;[2007-08]"/>
              </i>
              <i n="[Monthly Calendar Enquiry Created].[Financial].[Month Name].&amp;[October]&amp;[2007-08]" c="October" nd="1">
                <p n="[Monthly Calendar Enquiry Created].[Financial].[Quarter].&amp;[Q3]&amp;[2007-08]"/>
                <p n="[Monthly Calendar Enquiry Created].[Financial].[Year].&amp;[2007-08]"/>
              </i>
              <i n="[Monthly Calendar Enquiry Created].[Financial].[Month Name].&amp;[November]&amp;[2007-08]" c="November" nd="1">
                <p n="[Monthly Calendar Enquiry Created].[Financial].[Quarter].&amp;[Q3]&amp;[2007-08]"/>
                <p n="[Monthly Calendar Enquiry Created].[Financial].[Year].&amp;[2007-08]"/>
              </i>
              <i n="[Monthly Calendar Enquiry Created].[Financial].[Month Name].&amp;[December]&amp;[2007-08]" c="December" nd="1">
                <p n="[Monthly Calendar Enquiry Created].[Financial].[Quarter].&amp;[Q3]&amp;[2007-08]"/>
                <p n="[Monthly Calendar Enquiry Created].[Financial].[Year].&amp;[2007-08]"/>
              </i>
              <i n="[Monthly Calendar Enquiry Created].[Financial].[Month Name].&amp;[January]&amp;[2007-08]" c="January" nd="1">
                <p n="[Monthly Calendar Enquiry Created].[Financial].[Quarter].&amp;[Q4]&amp;[2007-08]"/>
                <p n="[Monthly Calendar Enquiry Created].[Financial].[Year].&amp;[2007-08]"/>
              </i>
              <i n="[Monthly Calendar Enquiry Created].[Financial].[Month Name].&amp;[February]&amp;[2007-08]" c="February" nd="1">
                <p n="[Monthly Calendar Enquiry Created].[Financial].[Quarter].&amp;[Q4]&amp;[2007-08]"/>
                <p n="[Monthly Calendar Enquiry Created].[Financial].[Year].&amp;[2007-08]"/>
              </i>
              <i n="[Monthly Calendar Enquiry Created].[Financial].[Month Name].&amp;[March]&amp;[2007-08]" c="March" nd="1">
                <p n="[Monthly Calendar Enquiry Created].[Financial].[Quarter].&amp;[Q4]&amp;[2007-08]"/>
                <p n="[Monthly Calendar Enquiry Created].[Financial].[Year].&amp;[2007-08]"/>
              </i>
              <i n="[Monthly Calendar Enquiry Created].[Financial].[Month Name].&amp;[April]&amp;[2008-09]" c="April" nd="1">
                <p n="[Monthly Calendar Enquiry Created].[Financial].[Quarter].&amp;[Q1]&amp;[2008-09]"/>
                <p n="[Monthly Calendar Enquiry Created].[Financial].[Year].&amp;[2008-09]"/>
              </i>
              <i n="[Monthly Calendar Enquiry Created].[Financial].[Month Name].&amp;[May]&amp;[2008-09]" c="May" nd="1">
                <p n="[Monthly Calendar Enquiry Created].[Financial].[Quarter].&amp;[Q1]&amp;[2008-09]"/>
                <p n="[Monthly Calendar Enquiry Created].[Financial].[Year].&amp;[2008-09]"/>
              </i>
              <i n="[Monthly Calendar Enquiry Created].[Financial].[Month Name].&amp;[June]&amp;[2008-09]" c="June" nd="1">
                <p n="[Monthly Calendar Enquiry Created].[Financial].[Quarter].&amp;[Q1]&amp;[2008-09]"/>
                <p n="[Monthly Calendar Enquiry Created].[Financial].[Year].&amp;[2008-09]"/>
              </i>
              <i n="[Monthly Calendar Enquiry Created].[Financial].[Month Name].&amp;[July]&amp;[2008-09]" c="July" nd="1">
                <p n="[Monthly Calendar Enquiry Created].[Financial].[Quarter].&amp;[Q2]&amp;[2008-09]"/>
                <p n="[Monthly Calendar Enquiry Created].[Financial].[Year].&amp;[2008-09]"/>
              </i>
              <i n="[Monthly Calendar Enquiry Created].[Financial].[Month Name].&amp;[August]&amp;[2008-09]" c="August" nd="1">
                <p n="[Monthly Calendar Enquiry Created].[Financial].[Quarter].&amp;[Q2]&amp;[2008-09]"/>
                <p n="[Monthly Calendar Enquiry Created].[Financial].[Year].&amp;[2008-09]"/>
              </i>
              <i n="[Monthly Calendar Enquiry Created].[Financial].[Month Name].&amp;[September]&amp;[2008-09]" c="September" nd="1">
                <p n="[Monthly Calendar Enquiry Created].[Financial].[Quarter].&amp;[Q2]&amp;[2008-09]"/>
                <p n="[Monthly Calendar Enquiry Created].[Financial].[Year].&amp;[2008-09]"/>
              </i>
              <i n="[Monthly Calendar Enquiry Created].[Financial].[Month Name].&amp;[October]&amp;[2008-09]" c="October" nd="1">
                <p n="[Monthly Calendar Enquiry Created].[Financial].[Quarter].&amp;[Q3]&amp;[2008-09]"/>
                <p n="[Monthly Calendar Enquiry Created].[Financial].[Year].&amp;[2008-09]"/>
              </i>
              <i n="[Monthly Calendar Enquiry Created].[Financial].[Month Name].&amp;[November]&amp;[2008-09]" c="November" nd="1">
                <p n="[Monthly Calendar Enquiry Created].[Financial].[Quarter].&amp;[Q3]&amp;[2008-09]"/>
                <p n="[Monthly Calendar Enquiry Created].[Financial].[Year].&amp;[2008-09]"/>
              </i>
              <i n="[Monthly Calendar Enquiry Created].[Financial].[Month Name].&amp;[December]&amp;[2008-09]" c="December" nd="1">
                <p n="[Monthly Calendar Enquiry Created].[Financial].[Quarter].&amp;[Q3]&amp;[2008-09]"/>
                <p n="[Monthly Calendar Enquiry Created].[Financial].[Year].&amp;[2008-09]"/>
              </i>
              <i n="[Monthly Calendar Enquiry Created].[Financial].[Month Name].&amp;[January]&amp;[2008-09]" c="January" nd="1">
                <p n="[Monthly Calendar Enquiry Created].[Financial].[Quarter].&amp;[Q4]&amp;[2008-09]"/>
                <p n="[Monthly Calendar Enquiry Created].[Financial].[Year].&amp;[2008-09]"/>
              </i>
              <i n="[Monthly Calendar Enquiry Created].[Financial].[Month Name].&amp;[March]&amp;[2008-09]" c="March" nd="1">
                <p n="[Monthly Calendar Enquiry Created].[Financial].[Quarter].&amp;[Q4]&amp;[2008-09]"/>
                <p n="[Monthly Calendar Enquiry Created].[Financial].[Year].&amp;[2008-09]"/>
              </i>
              <i n="[Monthly Calendar Enquiry Created].[Financial].[Month Name].&amp;[April]&amp;[2009-10]" c="April" nd="1">
                <p n="[Monthly Calendar Enquiry Created].[Financial].[Quarter].&amp;[Q1]&amp;[2009-10]"/>
                <p n="[Monthly Calendar Enquiry Created].[Financial].[Year].&amp;[2009-10]"/>
              </i>
              <i n="[Monthly Calendar Enquiry Created].[Financial].[Month Name].&amp;[May]&amp;[2009-10]" c="May" nd="1">
                <p n="[Monthly Calendar Enquiry Created].[Financial].[Quarter].&amp;[Q1]&amp;[2009-10]"/>
                <p n="[Monthly Calendar Enquiry Created].[Financial].[Year].&amp;[2009-10]"/>
              </i>
              <i n="[Monthly Calendar Enquiry Created].[Financial].[Month Name].&amp;[June]&amp;[2009-10]" c="June" nd="1">
                <p n="[Monthly Calendar Enquiry Created].[Financial].[Quarter].&amp;[Q1]&amp;[2009-10]"/>
                <p n="[Monthly Calendar Enquiry Created].[Financial].[Year].&amp;[2009-10]"/>
              </i>
              <i n="[Monthly Calendar Enquiry Created].[Financial].[Month Name].&amp;[July]&amp;[2009-10]" c="July" nd="1">
                <p n="[Monthly Calendar Enquiry Created].[Financial].[Quarter].&amp;[Q2]&amp;[2009-10]"/>
                <p n="[Monthly Calendar Enquiry Created].[Financial].[Year].&amp;[2009-10]"/>
              </i>
              <i n="[Monthly Calendar Enquiry Created].[Financial].[Month Name].&amp;[August]&amp;[2009-10]" c="August" nd="1">
                <p n="[Monthly Calendar Enquiry Created].[Financial].[Quarter].&amp;[Q2]&amp;[2009-10]"/>
                <p n="[Monthly Calendar Enquiry Created].[Financial].[Year].&amp;[2009-10]"/>
              </i>
              <i n="[Monthly Calendar Enquiry Created].[Financial].[Month Name].&amp;[September]&amp;[2009-10]" c="September" nd="1">
                <p n="[Monthly Calendar Enquiry Created].[Financial].[Quarter].&amp;[Q2]&amp;[2009-10]"/>
                <p n="[Monthly Calendar Enquiry Created].[Financial].[Year].&amp;[2009-10]"/>
              </i>
              <i n="[Monthly Calendar Enquiry Created].[Financial].[Month Name].&amp;[October]&amp;[2009-10]" c="October" nd="1">
                <p n="[Monthly Calendar Enquiry Created].[Financial].[Quarter].&amp;[Q3]&amp;[2009-10]"/>
                <p n="[Monthly Calendar Enquiry Created].[Financial].[Year].&amp;[2009-10]"/>
              </i>
              <i n="[Monthly Calendar Enquiry Created].[Financial].[Month Name].&amp;[November]&amp;[2009-10]" c="November" nd="1">
                <p n="[Monthly Calendar Enquiry Created].[Financial].[Quarter].&amp;[Q3]&amp;[2009-10]"/>
                <p n="[Monthly Calendar Enquiry Created].[Financial].[Year].&amp;[2009-10]"/>
              </i>
              <i n="[Monthly Calendar Enquiry Created].[Financial].[Month Name].&amp;[December]&amp;[2009-10]" c="December" nd="1">
                <p n="[Monthly Calendar Enquiry Created].[Financial].[Quarter].&amp;[Q3]&amp;[2009-10]"/>
                <p n="[Monthly Calendar Enquiry Created].[Financial].[Year].&amp;[2009-10]"/>
              </i>
              <i n="[Monthly Calendar Enquiry Created].[Financial].[Month Name].&amp;[January]&amp;[2009-10]" c="January" nd="1">
                <p n="[Monthly Calendar Enquiry Created].[Financial].[Quarter].&amp;[Q4]&amp;[2009-10]"/>
                <p n="[Monthly Calendar Enquiry Created].[Financial].[Year].&amp;[2009-10]"/>
              </i>
              <i n="[Monthly Calendar Enquiry Created].[Financial].[Month Name].&amp;[February]&amp;[2009-10]" c="February" nd="1">
                <p n="[Monthly Calendar Enquiry Created].[Financial].[Quarter].&amp;[Q4]&amp;[2009-10]"/>
                <p n="[Monthly Calendar Enquiry Created].[Financial].[Year].&amp;[2009-10]"/>
              </i>
              <i n="[Monthly Calendar Enquiry Created].[Financial].[Month Name].&amp;[March]&amp;[2009-10]" c="March" nd="1">
                <p n="[Monthly Calendar Enquiry Created].[Financial].[Quarter].&amp;[Q4]&amp;[2009-10]"/>
                <p n="[Monthly Calendar Enquiry Created].[Financial].[Year].&amp;[2009-10]"/>
              </i>
              <i n="[Monthly Calendar Enquiry Created].[Financial].[Month Name].&amp;[April]&amp;[2010-11]" c="April" nd="1">
                <p n="[Monthly Calendar Enquiry Created].[Financial].[Quarter].&amp;[Q1]&amp;[2010-11]"/>
                <p n="[Monthly Calendar Enquiry Created].[Financial].[Year].&amp;[2010-11]"/>
              </i>
              <i n="[Monthly Calendar Enquiry Created].[Financial].[Month Name].&amp;[May]&amp;[2010-11]" c="May" nd="1">
                <p n="[Monthly Calendar Enquiry Created].[Financial].[Quarter].&amp;[Q1]&amp;[2010-11]"/>
                <p n="[Monthly Calendar Enquiry Created].[Financial].[Year].&amp;[2010-11]"/>
              </i>
              <i n="[Monthly Calendar Enquiry Created].[Financial].[Month Name].&amp;[July]&amp;[2010-11]" c="July" nd="1">
                <p n="[Monthly Calendar Enquiry Created].[Financial].[Quarter].&amp;[Q2]&amp;[2010-11]"/>
                <p n="[Monthly Calendar Enquiry Created].[Financial].[Year].&amp;[2010-11]"/>
              </i>
              <i n="[Monthly Calendar Enquiry Created].[Financial].[Month Name].&amp;[August]&amp;[2010-11]" c="August" nd="1">
                <p n="[Monthly Calendar Enquiry Created].[Financial].[Quarter].&amp;[Q2]&amp;[2010-11]"/>
                <p n="[Monthly Calendar Enquiry Created].[Financial].[Year].&amp;[2010-11]"/>
              </i>
              <i n="[Monthly Calendar Enquiry Created].[Financial].[Month Name].&amp;[September]&amp;[2010-11]" c="September" nd="1">
                <p n="[Monthly Calendar Enquiry Created].[Financial].[Quarter].&amp;[Q2]&amp;[2010-11]"/>
                <p n="[Monthly Calendar Enquiry Created].[Financial].[Year].&amp;[2010-11]"/>
              </i>
              <i n="[Monthly Calendar Enquiry Created].[Financial].[Month Name].&amp;[October]&amp;[2010-11]" c="October" nd="1">
                <p n="[Monthly Calendar Enquiry Created].[Financial].[Quarter].&amp;[Q3]&amp;[2010-11]"/>
                <p n="[Monthly Calendar Enquiry Created].[Financial].[Year].&amp;[2010-11]"/>
              </i>
              <i n="[Monthly Calendar Enquiry Created].[Financial].[Month Name].&amp;[November]&amp;[2010-11]" c="November" nd="1">
                <p n="[Monthly Calendar Enquiry Created].[Financial].[Quarter].&amp;[Q3]&amp;[2010-11]"/>
                <p n="[Monthly Calendar Enquiry Created].[Financial].[Year].&amp;[2010-11]"/>
              </i>
              <i n="[Monthly Calendar Enquiry Created].[Financial].[Month Name].&amp;[December]&amp;[2010-11]" c="December" nd="1">
                <p n="[Monthly Calendar Enquiry Created].[Financial].[Quarter].&amp;[Q3]&amp;[2010-11]"/>
                <p n="[Monthly Calendar Enquiry Created].[Financial].[Year].&amp;[2010-11]"/>
              </i>
              <i n="[Monthly Calendar Enquiry Created].[Financial].[Month Name].&amp;[January]&amp;[2010-11]" c="January" nd="1">
                <p n="[Monthly Calendar Enquiry Created].[Financial].[Quarter].&amp;[Q4]&amp;[2010-11]"/>
                <p n="[Monthly Calendar Enquiry Created].[Financial].[Year].&amp;[2010-11]"/>
              </i>
              <i n="[Monthly Calendar Enquiry Created].[Financial].[Month Name].&amp;[February]&amp;[2010-11]" c="February" nd="1">
                <p n="[Monthly Calendar Enquiry Created].[Financial].[Quarter].&amp;[Q4]&amp;[2010-11]"/>
                <p n="[Monthly Calendar Enquiry Created].[Financial].[Year].&amp;[2010-11]"/>
              </i>
              <i n="[Monthly Calendar Enquiry Created].[Financial].[Month Name].&amp;[March]&amp;[2010-11]" c="March" nd="1">
                <p n="[Monthly Calendar Enquiry Created].[Financial].[Quarter].&amp;[Q4]&amp;[2010-11]"/>
                <p n="[Monthly Calendar Enquiry Created].[Financial].[Year].&amp;[2010-11]"/>
              </i>
              <i n="[Monthly Calendar Enquiry Created].[Financial].[Month Name].&amp;[April]&amp;[2011-12]" c="April" nd="1">
                <p n="[Monthly Calendar Enquiry Created].[Financial].[Quarter].&amp;[Q1]&amp;[2011-12]"/>
                <p n="[Monthly Calendar Enquiry Created].[Financial].[Year].&amp;[2011-12]"/>
              </i>
              <i n="[Monthly Calendar Enquiry Created].[Financial].[Month Name].&amp;[May]&amp;[2017-18]" c="May" nd="1">
                <p n="[Monthly Calendar Enquiry Created].[Financial].[Quarter].&amp;[Q1]&amp;[2017-18]"/>
                <p n="[Monthly Calendar Enquiry Created].[Financial].[Year].&amp;[2017-18]"/>
              </i>
              <i n="[Monthly Calendar Enquiry Created].[Financial].[Month Name].&amp;[June]&amp;[2017-18]" c="June" nd="1">
                <p n="[Monthly Calendar Enquiry Created].[Financial].[Quarter].&amp;[Q1]&amp;[2017-18]"/>
                <p n="[Monthly Calendar Enquiry Created].[Financial].[Year].&amp;[2017-18]"/>
              </i>
              <i n="[Monthly Calendar Enquiry Created].[Financial].[Month Name].&amp;[August]&amp;[2017-18]" c="August" nd="1">
                <p n="[Monthly Calendar Enquiry Created].[Financial].[Quarter].&amp;[Q2]&amp;[2017-18]"/>
                <p n="[Monthly Calendar Enquiry Created].[Financial].[Year].&amp;[2017-18]"/>
              </i>
              <i n="[Monthly Calendar Enquiry Created].[Financial].[Month Name].&amp;[September]&amp;[2017-18]" c="September" nd="1">
                <p n="[Monthly Calendar Enquiry Created].[Financial].[Quarter].&amp;[Q2]&amp;[2017-18]"/>
                <p n="[Monthly Calendar Enquiry Created].[Financial].[Year].&amp;[2017-18]"/>
              </i>
              <i n="[Monthly Calendar Enquiry Created].[Financial].[Month Name].&amp;[January]&amp;[2017-18]" c="January" nd="1">
                <p n="[Monthly Calendar Enquiry Created].[Financial].[Quarter].&amp;[Q4]&amp;[2017-18]"/>
                <p n="[Monthly Calendar Enquiry Created].[Financial].[Year].&amp;[2017-18]"/>
              </i>
              <i n="[Monthly Calendar Enquiry Created].[Financial].[Month Name].&amp;[February]&amp;[2017-18]" c="February" nd="1">
                <p n="[Monthly Calendar Enquiry Created].[Financial].[Quarter].&amp;[Q4]&amp;[2017-18]"/>
                <p n="[Monthly Calendar Enquiry Created].[Financial].[Year].&amp;[2017-18]"/>
              </i>
              <i n="[Monthly Calendar Enquiry Created].[Financial].[Month Name].&amp;[March]&amp;[2017-18]" c="March" nd="1">
                <p n="[Monthly Calendar Enquiry Created].[Financial].[Quarter].&amp;[Q4]&amp;[2017-18]"/>
                <p n="[Monthly Calendar Enquiry Created].[Financial].[Year].&amp;[2017-18]"/>
              </i>
              <i n="[Monthly Calendar Enquiry Created].[Financial].[Month Name].&amp;[April]&amp;[2018-19]" c="April" nd="1">
                <p n="[Monthly Calendar Enquiry Created].[Financial].[Quarter].&amp;[Q1]&amp;[2018-19]"/>
                <p n="[Monthly Calendar Enquiry Created].[Financial].[Year].&amp;[2018-19]"/>
              </i>
              <i n="[Monthly Calendar Enquiry Created].[Financial].[Month Name].&amp;[May]&amp;[2018-19]" c="May" nd="1">
                <p n="[Monthly Calendar Enquiry Created].[Financial].[Quarter].&amp;[Q1]&amp;[2018-19]"/>
                <p n="[Monthly Calendar Enquiry Created].[Financial].[Year].&amp;[2018-19]"/>
              </i>
              <i n="[Monthly Calendar Enquiry Created].[Financial].[Month Name].&amp;[June]&amp;[2018-19]" c="June" nd="1">
                <p n="[Monthly Calendar Enquiry Created].[Financial].[Quarter].&amp;[Q1]&amp;[2018-19]"/>
                <p n="[Monthly Calendar Enquiry Created].[Financial].[Year].&amp;[2018-19]"/>
              </i>
              <i n="[Monthly Calendar Enquiry Created].[Financial].[Month Name].&amp;[July]&amp;[2018-19]" c="July" nd="1">
                <p n="[Monthly Calendar Enquiry Created].[Financial].[Quarter].&amp;[Q2]&amp;[2018-19]"/>
                <p n="[Monthly Calendar Enquiry Created].[Financial].[Year].&amp;[2018-19]"/>
              </i>
              <i n="[Monthly Calendar Enquiry Created].[Financial].[Month Name].&amp;[August]&amp;[2018-19]" c="August" nd="1">
                <p n="[Monthly Calendar Enquiry Created].[Financial].[Quarter].&amp;[Q2]&amp;[2018-19]"/>
                <p n="[Monthly Calendar Enquiry Created].[Financial].[Year].&amp;[2018-19]"/>
              </i>
              <i n="[Monthly Calendar Enquiry Created].[Financial].[Month Name].&amp;[September]&amp;[2018-19]" c="September" nd="1">
                <p n="[Monthly Calendar Enquiry Created].[Financial].[Quarter].&amp;[Q2]&amp;[2018-19]"/>
                <p n="[Monthly Calendar Enquiry Created].[Financial].[Year].&amp;[2018-19]"/>
              </i>
              <i n="[Monthly Calendar Enquiry Created].[Financial].[Month Name].&amp;[October]&amp;[2018-19]" c="October" nd="1">
                <p n="[Monthly Calendar Enquiry Created].[Financial].[Quarter].&amp;[Q3]&amp;[2018-19]"/>
                <p n="[Monthly Calendar Enquiry Created].[Financial].[Year].&amp;[2018-19]"/>
              </i>
              <i n="[Monthly Calendar Enquiry Created].[Financial].[Month Name].&amp;[November]&amp;[2018-19]" c="November" nd="1">
                <p n="[Monthly Calendar Enquiry Created].[Financial].[Quarter].&amp;[Q3]&amp;[2018-19]"/>
                <p n="[Monthly Calendar Enquiry Created].[Financial].[Year].&amp;[2018-19]"/>
              </i>
              <i n="[Monthly Calendar Enquiry Created].[Financial].[Month Name].&amp;[December]&amp;[2018-19]" c="December" nd="1">
                <p n="[Monthly Calendar Enquiry Created].[Financial].[Quarter].&amp;[Q3]&amp;[2018-19]"/>
                <p n="[Monthly Calendar Enquiry Created].[Financial].[Year].&amp;[2018-19]"/>
              </i>
              <i n="[Monthly Calendar Enquiry Created].[Financial].[Month Name].&amp;[January]&amp;[2018-19]" c="January" nd="1">
                <p n="[Monthly Calendar Enquiry Created].[Financial].[Quarter].&amp;[Q4]&amp;[2018-19]"/>
                <p n="[Monthly Calendar Enquiry Created].[Financial].[Year].&amp;[2018-19]"/>
              </i>
              <i n="[Monthly Calendar Enquiry Created].[Financial].[Month Name].&amp;[February]&amp;[2018-19]" c="February" nd="1">
                <p n="[Monthly Calendar Enquiry Created].[Financial].[Quarter].&amp;[Q4]&amp;[2018-19]"/>
                <p n="[Monthly Calendar Enquiry Created].[Financial].[Year].&amp;[2018-19]"/>
              </i>
              <i n="[Monthly Calendar Enquiry Created].[Financial].[Month Name].&amp;[March]&amp;[2018-19]" c="March" nd="1">
                <p n="[Monthly Calendar Enquiry Created].[Financial].[Quarter].&amp;[Q4]&amp;[2018-19]"/>
                <p n="[Monthly Calendar Enquiry Created].[Financial].[Year].&amp;[2018-19]"/>
              </i>
              <i n="[Monthly Calendar Enquiry Created].[Financial].[Month Name].&amp;[April]&amp;[2019-20]" c="April" nd="1">
                <p n="[Monthly Calendar Enquiry Created].[Financial].[Quarter].&amp;[Q1]&amp;[2019-20]"/>
                <p n="[Monthly Calendar Enquiry Created].[Financial].[Year].&amp;[2019-20]"/>
              </i>
              <i n="[Monthly Calendar Enquiry Created].[Financial].[Month Name].&amp;[May]&amp;[2019-20]" c="May" nd="1">
                <p n="[Monthly Calendar Enquiry Created].[Financial].[Quarter].&amp;[Q1]&amp;[2019-20]"/>
                <p n="[Monthly Calendar Enquiry Created].[Financial].[Year].&amp;[2019-20]"/>
              </i>
              <i n="[Monthly Calendar Enquiry Created].[Financial].[Month Name].&amp;[June]&amp;[2019-20]" c="June" nd="1">
                <p n="[Monthly Calendar Enquiry Created].[Financial].[Quarter].&amp;[Q1]&amp;[2019-20]"/>
                <p n="[Monthly Calendar Enquiry Created].[Financial].[Year].&amp;[2019-20]"/>
              </i>
              <i n="[Monthly Calendar Enquiry Created].[Financial].[Month Name].&amp;[July]&amp;[2019-20]" c="July" nd="1">
                <p n="[Monthly Calendar Enquiry Created].[Financial].[Quarter].&amp;[Q2]&amp;[2019-20]"/>
                <p n="[Monthly Calendar Enquiry Created].[Financial].[Year].&amp;[2019-20]"/>
              </i>
              <i n="[Monthly Calendar Enquiry Created].[Financial].[Month Name].&amp;[August]&amp;[2019-20]" c="August" nd="1">
                <p n="[Monthly Calendar Enquiry Created].[Financial].[Quarter].&amp;[Q2]&amp;[2019-20]"/>
                <p n="[Monthly Calendar Enquiry Created].[Financial].[Year].&amp;[2019-20]"/>
              </i>
              <i n="[Monthly Calendar Enquiry Created].[Financial].[Month Name].&amp;[September]&amp;[2019-20]" c="September" nd="1">
                <p n="[Monthly Calendar Enquiry Created].[Financial].[Quarter].&amp;[Q2]&amp;[2019-20]"/>
                <p n="[Monthly Calendar Enquiry Created].[Financial].[Year].&amp;[2019-20]"/>
              </i>
              <i n="[Monthly Calendar Enquiry Created].[Financial].[Month Name].&amp;[October]&amp;[2019-20]" c="October" nd="1">
                <p n="[Monthly Calendar Enquiry Created].[Financial].[Quarter].&amp;[Q3]&amp;[2019-20]"/>
                <p n="[Monthly Calendar Enquiry Created].[Financial].[Year].&amp;[2019-20]"/>
              </i>
              <i n="[Monthly Calendar Enquiry Created].[Financial].[Month Name].&amp;[November]&amp;[2019-20]" c="November" nd="1">
                <p n="[Monthly Calendar Enquiry Created].[Financial].[Quarter].&amp;[Q3]&amp;[2019-20]"/>
                <p n="[Monthly Calendar Enquiry Created].[Financial].[Year].&amp;[2019-20]"/>
              </i>
              <i n="[Monthly Calendar Enquiry Created].[Financial].[Month Name].&amp;[December]&amp;[2019-20]" c="December" nd="1">
                <p n="[Monthly Calendar Enquiry Created].[Financial].[Quarter].&amp;[Q3]&amp;[2019-20]"/>
                <p n="[Monthly Calendar Enquiry Created].[Financial].[Year].&amp;[2019-20]"/>
              </i>
              <i n="[Monthly Calendar Enquiry Created].[Financial].[Month Name].&amp;[January]&amp;[2019-20]" c="January" nd="1">
                <p n="[Monthly Calendar Enquiry Created].[Financial].[Quarter].&amp;[Q4]&amp;[2019-20]"/>
                <p n="[Monthly Calendar Enquiry Created].[Financial].[Year].&amp;[2019-20]"/>
              </i>
              <i n="[Monthly Calendar Enquiry Created].[Financial].[Month Name].&amp;[February]&amp;[2019-20]" c="February" nd="1">
                <p n="[Monthly Calendar Enquiry Created].[Financial].[Quarter].&amp;[Q4]&amp;[2019-20]"/>
                <p n="[Monthly Calendar Enquiry Created].[Financial].[Year].&amp;[2019-20]"/>
              </i>
              <i n="[Monthly Calendar Enquiry Created].[Financial].[Month Name].&amp;[March]&amp;[2019-20]" c="March" nd="1">
                <p n="[Monthly Calendar Enquiry Created].[Financial].[Quarter].&amp;[Q4]&amp;[2019-20]"/>
                <p n="[Monthly Calendar Enquiry Created].[Financial].[Year].&amp;[2019-20]"/>
              </i>
              <i n="[Monthly Calendar Enquiry Created].[Financial].[Month Name].&amp;[April]&amp;[2020-21]" c="April" nd="1">
                <p n="[Monthly Calendar Enquiry Created].[Financial].[Quarter].&amp;[Q1]&amp;[2020-21]"/>
                <p n="[Monthly Calendar Enquiry Created].[Financial].[Year].&amp;[2020-21]"/>
              </i>
              <i n="[Monthly Calendar Enquiry Created].[Financial].[Month Name].&amp;[May]&amp;[2020-21]" c="May" nd="1">
                <p n="[Monthly Calendar Enquiry Created].[Financial].[Quarter].&amp;[Q1]&amp;[2020-21]"/>
                <p n="[Monthly Calendar Enquiry Created].[Financial].[Year].&amp;[2020-21]"/>
              </i>
              <i n="[Monthly Calendar Enquiry Created].[Financial].[Month Name].&amp;[June]&amp;[2020-21]" c="June" nd="1">
                <p n="[Monthly Calendar Enquiry Created].[Financial].[Quarter].&amp;[Q1]&amp;[2020-21]"/>
                <p n="[Monthly Calendar Enquiry Created].[Financial].[Year].&amp;[2020-21]"/>
              </i>
              <i n="[Monthly Calendar Enquiry Created].[Financial].[Month Name].&amp;[July]&amp;[2020-21]" c="July" nd="1">
                <p n="[Monthly Calendar Enquiry Created].[Financial].[Quarter].&amp;[Q2]&amp;[2020-21]"/>
                <p n="[Monthly Calendar Enquiry Created].[Financial].[Year].&amp;[2020-21]"/>
              </i>
              <i n="[Monthly Calendar Enquiry Created].[Financial].[Month Name].&amp;[August]&amp;[2020-21]" c="August" nd="1">
                <p n="[Monthly Calendar Enquiry Created].[Financial].[Quarter].&amp;[Q2]&amp;[2020-21]"/>
                <p n="[Monthly Calendar Enquiry Created].[Financial].[Year].&amp;[2020-21]"/>
              </i>
              <i n="[Monthly Calendar Enquiry Created].[Financial].[Month Name].&amp;[September]&amp;[2020-21]" c="September" nd="1">
                <p n="[Monthly Calendar Enquiry Created].[Financial].[Quarter].&amp;[Q2]&amp;[2020-21]"/>
                <p n="[Monthly Calendar Enquiry Created].[Financial].[Year].&amp;[2020-21]"/>
              </i>
              <i n="[Monthly Calendar Enquiry Created].[Financial].[Month Name].&amp;[October]&amp;[2020-21]" c="October" nd="1">
                <p n="[Monthly Calendar Enquiry Created].[Financial].[Quarter].&amp;[Q3]&amp;[2020-21]"/>
                <p n="[Monthly Calendar Enquiry Created].[Financial].[Year].&amp;[2020-21]"/>
              </i>
              <i n="[Monthly Calendar Enquiry Created].[Financial].[Month Name].&amp;[November]&amp;[2020-21]" c="November" nd="1">
                <p n="[Monthly Calendar Enquiry Created].[Financial].[Quarter].&amp;[Q3]&amp;[2020-21]"/>
                <p n="[Monthly Calendar Enquiry Created].[Financial].[Year].&amp;[2020-21]"/>
              </i>
              <i n="[Monthly Calendar Enquiry Created].[Financial].[Month Name].&amp;[December]&amp;[2020-21]" c="December" nd="1">
                <p n="[Monthly Calendar Enquiry Created].[Financial].[Quarter].&amp;[Q3]&amp;[2020-21]"/>
                <p n="[Monthly Calendar Enquiry Created].[Financial].[Year].&amp;[2020-21]"/>
              </i>
              <i n="[Monthly Calendar Enquiry Created].[Financial].[Month Name].&amp;[January]&amp;[2020-21]" c="January" nd="1">
                <p n="[Monthly Calendar Enquiry Created].[Financial].[Quarter].&amp;[Q4]&amp;[2020-21]"/>
                <p n="[Monthly Calendar Enquiry Created].[Financial].[Year].&amp;[2020-21]"/>
              </i>
              <i n="[Monthly Calendar Enquiry Created].[Financial].[Month Name].&amp;[February]&amp;[2020-21]" c="February" nd="1">
                <p n="[Monthly Calendar Enquiry Created].[Financial].[Quarter].&amp;[Q4]&amp;[2020-21]"/>
                <p n="[Monthly Calendar Enquiry Created].[Financial].[Year].&amp;[2020-21]"/>
              </i>
              <i n="[Monthly Calendar Enquiry Created].[Financial].[Month Name].&amp;[March]&amp;[2020-21]" c="March" nd="1">
                <p n="[Monthly Calendar Enquiry Created].[Financial].[Quarter].&amp;[Q4]&amp;[2020-21]"/>
                <p n="[Monthly Calendar Enquiry Created].[Financial].[Year].&amp;[2020-21]"/>
              </i>
            </range>
          </ranges>
        </level>
      </levels>
      <selections count="1">
        <selection n="[Monthly Calendar Enquiry Created].[Financial].[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Monthly_Calendar_Outcome_Date.Financial" sourceName="[Monthly Calendar Outcome Date].[Financial]">
  <pivotTables>
    <pivotTable tabId="17" name="PivotTable2"/>
    <pivotTable tabId="6" name="PivotTable8"/>
    <pivotTable tabId="21" name="SummaryEnquiryDate"/>
    <pivotTable tabId="21" name="SummaryOutcomeDate"/>
  </pivotTables>
  <data>
    <olap pivotCacheId="56">
      <levels count="4">
        <level uniqueName="[Monthly Calendar Outcome Date].[Financial].[(All)]" sourceCaption="(All)" count="0"/>
        <level uniqueName="[Monthly Calendar Outcome Date].[Financial].[Year]" sourceCaption="Year" count="23">
          <ranges>
            <range startItem="0">
              <i n="[Monthly Calendar Outcome Date].[Financial].[Year].&amp;[2001-02]" c="2001-02"/>
              <i n="[Monthly Calendar Outcome Date].[Financial].[Year].&amp;[2002-03]" c="2002-03"/>
              <i n="[Monthly Calendar Outcome Date].[Financial].[Year].&amp;[2003-04]" c="2003-04"/>
              <i n="[Monthly Calendar Outcome Date].[Financial].[Year].&amp;[2004-05]" c="2004-05"/>
              <i n="[Monthly Calendar Outcome Date].[Financial].[Year].&amp;[2005-06]" c="2005-06"/>
              <i n="[Monthly Calendar Outcome Date].[Financial].[Year].&amp;[2007-08]" c="2007-08"/>
              <i n="[Monthly Calendar Outcome Date].[Financial].[Year].&amp;[2008-09]" c="2008-09"/>
              <i n="[Monthly Calendar Outcome Date].[Financial].[Year].&amp;[2009-10]" c="2009-10"/>
              <i n="[Monthly Calendar Outcome Date].[Financial].[Year].&amp;[2010-11]" c="2010-11"/>
              <i n="[Monthly Calendar Outcome Date].[Financial].[Year].&amp;[2011-12]" c="2011-12"/>
              <i n="[Monthly Calendar Outcome Date].[Financial].[Year].&amp;[2012-13]" c="2012-13"/>
              <i n="[Monthly Calendar Outcome Date].[Financial].[Year].&amp;[2013-14]" c="2013-14"/>
              <i n="[Monthly Calendar Outcome Date].[Financial].[Year].&amp;[2014-15]" c="2014-15"/>
              <i n="[Monthly Calendar Outcome Date].[Financial].[Year].&amp;[2015-16]" c="2015-16"/>
              <i n="[Monthly Calendar Outcome Date].[Financial].[Year].&amp;[2016-17]" c="2016-17"/>
              <i n="[Monthly Calendar Outcome Date].[Financial].[Year].&amp;[]" c="" nd="1"/>
              <i n="[Monthly Calendar Outcome Date].[Financial].[Year].&amp;[1999-00]" c="1999-00" nd="1"/>
              <i n="[Monthly Calendar Outcome Date].[Financial].[Year].&amp;[2000-01]" c="2000-01" nd="1"/>
              <i n="[Monthly Calendar Outcome Date].[Financial].[Year].&amp;[2006-07]" c="2006-07" nd="1"/>
              <i n="[Monthly Calendar Outcome Date].[Financial].[Year].&amp;[2017-18]" c="2017-18" nd="1"/>
              <i n="[Monthly Calendar Outcome Date].[Financial].[Year].&amp;[2018-19]" c="2018-19" nd="1"/>
              <i n="[Monthly Calendar Outcome Date].[Financial].[Year].&amp;[2019-20]" c="2019-20" nd="1"/>
              <i n="[Monthly Calendar Outcome Date].[Financial].[Year].&amp;[2020-21]" c="2020-21" nd="1"/>
            </range>
          </ranges>
        </level>
        <level uniqueName="[Monthly Calendar Outcome Date].[Financial].[Quarter]" sourceCaption="Quarter" count="86">
          <ranges>
            <range startItem="0">
              <i n="[Monthly Calendar Outcome Date].[Financial].[Quarter].&amp;[Q1]&amp;[2001-02]" c="Q1">
                <p n="[Monthly Calendar Outcome Date].[Financial].[Year].&amp;[2001-02]"/>
              </i>
              <i n="[Monthly Calendar Outcome Date].[Financial].[Quarter].&amp;[Q3]&amp;[2002-03]" c="Q3">
                <p n="[Monthly Calendar Outcome Date].[Financial].[Year].&amp;[2002-03]"/>
              </i>
              <i n="[Monthly Calendar Outcome Date].[Financial].[Quarter].&amp;[Q3]&amp;[2003-04]" c="Q3">
                <p n="[Monthly Calendar Outcome Date].[Financial].[Year].&amp;[2003-04]"/>
              </i>
              <i n="[Monthly Calendar Outcome Date].[Financial].[Quarter].&amp;[Q1]&amp;[2004-05]" c="Q1">
                <p n="[Monthly Calendar Outcome Date].[Financial].[Year].&amp;[2004-05]"/>
              </i>
              <i n="[Monthly Calendar Outcome Date].[Financial].[Quarter].&amp;[Q2]&amp;[2004-05]" c="Q2">
                <p n="[Monthly Calendar Outcome Date].[Financial].[Year].&amp;[2004-05]"/>
              </i>
              <i n="[Monthly Calendar Outcome Date].[Financial].[Quarter].&amp;[Q4]&amp;[2004-05]" c="Q4">
                <p n="[Monthly Calendar Outcome Date].[Financial].[Year].&amp;[2004-05]"/>
              </i>
              <i n="[Monthly Calendar Outcome Date].[Financial].[Quarter].&amp;[Q1]&amp;[2005-06]" c="Q1">
                <p n="[Monthly Calendar Outcome Date].[Financial].[Year].&amp;[2005-06]"/>
              </i>
              <i n="[Monthly Calendar Outcome Date].[Financial].[Quarter].&amp;[Q2]&amp;[2005-06]" c="Q2">
                <p n="[Monthly Calendar Outcome Date].[Financial].[Year].&amp;[2005-06]"/>
              </i>
              <i n="[Monthly Calendar Outcome Date].[Financial].[Quarter].&amp;[Q2]&amp;[2007-08]" c="Q2">
                <p n="[Monthly Calendar Outcome Date].[Financial].[Year].&amp;[2007-08]"/>
              </i>
              <i n="[Monthly Calendar Outcome Date].[Financial].[Quarter].&amp;[Q4]&amp;[2007-08]" c="Q4">
                <p n="[Monthly Calendar Outcome Date].[Financial].[Year].&amp;[2007-08]"/>
              </i>
              <i n="[Monthly Calendar Outcome Date].[Financial].[Quarter].&amp;[Q4]&amp;[2008-09]" c="Q4">
                <p n="[Monthly Calendar Outcome Date].[Financial].[Year].&amp;[2008-09]"/>
              </i>
              <i n="[Monthly Calendar Outcome Date].[Financial].[Quarter].&amp;[Q1]&amp;[2009-10]" c="Q1">
                <p n="[Monthly Calendar Outcome Date].[Financial].[Year].&amp;[2009-10]"/>
              </i>
              <i n="[Monthly Calendar Outcome Date].[Financial].[Quarter].&amp;[Q3]&amp;[2009-10]" c="Q3">
                <p n="[Monthly Calendar Outcome Date].[Financial].[Year].&amp;[2009-10]"/>
              </i>
              <i n="[Monthly Calendar Outcome Date].[Financial].[Quarter].&amp;[Q4]&amp;[2009-10]" c="Q4">
                <p n="[Monthly Calendar Outcome Date].[Financial].[Year].&amp;[2009-10]"/>
              </i>
              <i n="[Monthly Calendar Outcome Date].[Financial].[Quarter].&amp;[Q2]&amp;[2010-11]" c="Q2">
                <p n="[Monthly Calendar Outcome Date].[Financial].[Year].&amp;[2010-11]"/>
              </i>
              <i n="[Monthly Calendar Outcome Date].[Financial].[Quarter].&amp;[Q3]&amp;[2010-11]" c="Q3">
                <p n="[Monthly Calendar Outcome Date].[Financial].[Year].&amp;[2010-11]"/>
              </i>
              <i n="[Monthly Calendar Outcome Date].[Financial].[Quarter].&amp;[Q4]&amp;[2010-11]" c="Q4">
                <p n="[Monthly Calendar Outcome Date].[Financial].[Year].&amp;[2010-11]"/>
              </i>
              <i n="[Monthly Calendar Outcome Date].[Financial].[Quarter].&amp;[Q1]&amp;[2011-12]" c="Q1">
                <p n="[Monthly Calendar Outcome Date].[Financial].[Year].&amp;[2011-12]"/>
              </i>
              <i n="[Monthly Calendar Outcome Date].[Financial].[Quarter].&amp;[Q2]&amp;[2011-12]" c="Q2">
                <p n="[Monthly Calendar Outcome Date].[Financial].[Year].&amp;[2011-12]"/>
              </i>
              <i n="[Monthly Calendar Outcome Date].[Financial].[Quarter].&amp;[Q3]&amp;[2011-12]" c="Q3">
                <p n="[Monthly Calendar Outcome Date].[Financial].[Year].&amp;[2011-12]"/>
              </i>
              <i n="[Monthly Calendar Outcome Date].[Financial].[Quarter].&amp;[Q4]&amp;[2011-12]" c="Q4">
                <p n="[Monthly Calendar Outcome Date].[Financial].[Year].&amp;[2011-12]"/>
              </i>
              <i n="[Monthly Calendar Outcome Date].[Financial].[Quarter].&amp;[Q1]&amp;[2012-13]" c="Q1">
                <p n="[Monthly Calendar Outcome Date].[Financial].[Year].&amp;[2012-13]"/>
              </i>
              <i n="[Monthly Calendar Outcome Date].[Financial].[Quarter].&amp;[Q2]&amp;[2012-13]" c="Q2">
                <p n="[Monthly Calendar Outcome Date].[Financial].[Year].&amp;[2012-13]"/>
              </i>
              <i n="[Monthly Calendar Outcome Date].[Financial].[Quarter].&amp;[Q3]&amp;[2012-13]" c="Q3">
                <p n="[Monthly Calendar Outcome Date].[Financial].[Year].&amp;[2012-13]"/>
              </i>
              <i n="[Monthly Calendar Outcome Date].[Financial].[Quarter].&amp;[Q4]&amp;[2012-13]" c="Q4">
                <p n="[Monthly Calendar Outcome Date].[Financial].[Year].&amp;[2012-13]"/>
              </i>
              <i n="[Monthly Calendar Outcome Date].[Financial].[Quarter].&amp;[Q1]&amp;[2013-14]" c="Q1">
                <p n="[Monthly Calendar Outcome Date].[Financial].[Year].&amp;[2013-14]"/>
              </i>
              <i n="[Monthly Calendar Outcome Date].[Financial].[Quarter].&amp;[Q2]&amp;[2013-14]" c="Q2">
                <p n="[Monthly Calendar Outcome Date].[Financial].[Year].&amp;[2013-14]"/>
              </i>
              <i n="[Monthly Calendar Outcome Date].[Financial].[Quarter].&amp;[Q3]&amp;[2013-14]" c="Q3">
                <p n="[Monthly Calendar Outcome Date].[Financial].[Year].&amp;[2013-14]"/>
              </i>
              <i n="[Monthly Calendar Outcome Date].[Financial].[Quarter].&amp;[Q4]&amp;[2013-14]" c="Q4">
                <p n="[Monthly Calendar Outcome Date].[Financial].[Year].&amp;[2013-14]"/>
              </i>
              <i n="[Monthly Calendar Outcome Date].[Financial].[Quarter].&amp;[Q1]&amp;[2014-15]" c="Q1">
                <p n="[Monthly Calendar Outcome Date].[Financial].[Year].&amp;[2014-15]"/>
              </i>
              <i n="[Monthly Calendar Outcome Date].[Financial].[Quarter].&amp;[Q2]&amp;[2014-15]" c="Q2">
                <p n="[Monthly Calendar Outcome Date].[Financial].[Year].&amp;[2014-15]"/>
              </i>
              <i n="[Monthly Calendar Outcome Date].[Financial].[Quarter].&amp;[Q3]&amp;[2014-15]" c="Q3">
                <p n="[Monthly Calendar Outcome Date].[Financial].[Year].&amp;[2014-15]"/>
              </i>
              <i n="[Monthly Calendar Outcome Date].[Financial].[Quarter].&amp;[Q4]&amp;[2014-15]" c="Q4">
                <p n="[Monthly Calendar Outcome Date].[Financial].[Year].&amp;[2014-15]"/>
              </i>
              <i n="[Monthly Calendar Outcome Date].[Financial].[Quarter].&amp;[Q1]&amp;[2015-16]" c="Q1">
                <p n="[Monthly Calendar Outcome Date].[Financial].[Year].&amp;[2015-16]"/>
              </i>
              <i n="[Monthly Calendar Outcome Date].[Financial].[Quarter].&amp;[Q2]&amp;[2015-16]" c="Q2">
                <p n="[Monthly Calendar Outcome Date].[Financial].[Year].&amp;[2015-16]"/>
              </i>
              <i n="[Monthly Calendar Outcome Date].[Financial].[Quarter].&amp;[Q3]&amp;[2015-16]" c="Q3">
                <p n="[Monthly Calendar Outcome Date].[Financial].[Year].&amp;[2015-16]"/>
              </i>
              <i n="[Monthly Calendar Outcome Date].[Financial].[Quarter].&amp;[Q4]&amp;[2015-16]" c="Q4">
                <p n="[Monthly Calendar Outcome Date].[Financial].[Year].&amp;[2015-16]"/>
              </i>
              <i n="[Monthly Calendar Outcome Date].[Financial].[Quarter].&amp;[Q1]&amp;[2016-17]" c="Q1">
                <p n="[Monthly Calendar Outcome Date].[Financial].[Year].&amp;[2016-17]"/>
              </i>
              <i n="[Monthly Calendar Outcome Date].[Financial].[Quarter].&amp;[Q2]&amp;[2016-17]" c="Q2">
                <p n="[Monthly Calendar Outcome Date].[Financial].[Year].&amp;[2016-17]"/>
              </i>
              <i n="[Monthly Calendar Outcome Date].[Financial].[Quarter].&amp;[Q3]&amp;[2016-17]" c="Q3">
                <p n="[Monthly Calendar Outcome Date].[Financial].[Year].&amp;[2016-17]"/>
              </i>
              <i n="[Monthly Calendar Outcome Date].[Financial].[Quarter].&amp;[Q4]&amp;[2016-17]" c="Q4">
                <p n="[Monthly Calendar Outcome Date].[Financial].[Year].&amp;[2016-17]"/>
              </i>
              <i n="[Monthly Calendar Outcome Date].[Financial].[Quarter].&amp;[]&amp;[]" c="" nd="1">
                <p n="[Monthly Calendar Outcome Date].[Financial].[Year].&amp;[]"/>
              </i>
              <i n="[Monthly Calendar Outcome Date].[Financial].[Quarter].&amp;[Q4]&amp;[1999-00]" c="Q4" nd="1">
                <p n="[Monthly Calendar Outcome Date].[Financial].[Year].&amp;[1999-00]"/>
              </i>
              <i n="[Monthly Calendar Outcome Date].[Financial].[Quarter].&amp;[Q1]&amp;[2000-01]" c="Q1" nd="1">
                <p n="[Monthly Calendar Outcome Date].[Financial].[Year].&amp;[2000-01]"/>
              </i>
              <i n="[Monthly Calendar Outcome Date].[Financial].[Quarter].&amp;[Q2]&amp;[2000-01]" c="Q2" nd="1">
                <p n="[Monthly Calendar Outcome Date].[Financial].[Year].&amp;[2000-01]"/>
              </i>
              <i n="[Monthly Calendar Outcome Date].[Financial].[Quarter].&amp;[Q3]&amp;[2000-01]" c="Q3" nd="1">
                <p n="[Monthly Calendar Outcome Date].[Financial].[Year].&amp;[2000-01]"/>
              </i>
              <i n="[Monthly Calendar Outcome Date].[Financial].[Quarter].&amp;[Q4]&amp;[2000-01]" c="Q4" nd="1">
                <p n="[Monthly Calendar Outcome Date].[Financial].[Year].&amp;[2000-01]"/>
              </i>
              <i n="[Monthly Calendar Outcome Date].[Financial].[Quarter].&amp;[Q2]&amp;[2001-02]" c="Q2" nd="1">
                <p n="[Monthly Calendar Outcome Date].[Financial].[Year].&amp;[2001-02]"/>
              </i>
              <i n="[Monthly Calendar Outcome Date].[Financial].[Quarter].&amp;[Q3]&amp;[2001-02]" c="Q3" nd="1">
                <p n="[Monthly Calendar Outcome Date].[Financial].[Year].&amp;[2001-02]"/>
              </i>
              <i n="[Monthly Calendar Outcome Date].[Financial].[Quarter].&amp;[Q4]&amp;[2001-02]" c="Q4" nd="1">
                <p n="[Monthly Calendar Outcome Date].[Financial].[Year].&amp;[2001-02]"/>
              </i>
              <i n="[Monthly Calendar Outcome Date].[Financial].[Quarter].&amp;[Q1]&amp;[2002-03]" c="Q1" nd="1">
                <p n="[Monthly Calendar Outcome Date].[Financial].[Year].&amp;[2002-03]"/>
              </i>
              <i n="[Monthly Calendar Outcome Date].[Financial].[Quarter].&amp;[Q2]&amp;[2002-03]" c="Q2" nd="1">
                <p n="[Monthly Calendar Outcome Date].[Financial].[Year].&amp;[2002-03]"/>
              </i>
              <i n="[Monthly Calendar Outcome Date].[Financial].[Quarter].&amp;[Q4]&amp;[2002-03]" c="Q4" nd="1">
                <p n="[Monthly Calendar Outcome Date].[Financial].[Year].&amp;[2002-03]"/>
              </i>
              <i n="[Monthly Calendar Outcome Date].[Financial].[Quarter].&amp;[Q1]&amp;[2003-04]" c="Q1" nd="1">
                <p n="[Monthly Calendar Outcome Date].[Financial].[Year].&amp;[2003-04]"/>
              </i>
              <i n="[Monthly Calendar Outcome Date].[Financial].[Quarter].&amp;[Q2]&amp;[2003-04]" c="Q2" nd="1">
                <p n="[Monthly Calendar Outcome Date].[Financial].[Year].&amp;[2003-04]"/>
              </i>
              <i n="[Monthly Calendar Outcome Date].[Financial].[Quarter].&amp;[Q4]&amp;[2003-04]" c="Q4" nd="1">
                <p n="[Monthly Calendar Outcome Date].[Financial].[Year].&amp;[2003-04]"/>
              </i>
              <i n="[Monthly Calendar Outcome Date].[Financial].[Quarter].&amp;[Q3]&amp;[2004-05]" c="Q3" nd="1">
                <p n="[Monthly Calendar Outcome Date].[Financial].[Year].&amp;[2004-05]"/>
              </i>
              <i n="[Monthly Calendar Outcome Date].[Financial].[Quarter].&amp;[Q3]&amp;[2005-06]" c="Q3" nd="1">
                <p n="[Monthly Calendar Outcome Date].[Financial].[Year].&amp;[2005-06]"/>
              </i>
              <i n="[Monthly Calendar Outcome Date].[Financial].[Quarter].&amp;[Q4]&amp;[2005-06]" c="Q4" nd="1">
                <p n="[Monthly Calendar Outcome Date].[Financial].[Year].&amp;[2005-06]"/>
              </i>
              <i n="[Monthly Calendar Outcome Date].[Financial].[Quarter].&amp;[Q1]&amp;[2006-07]" c="Q1" nd="1">
                <p n="[Monthly Calendar Outcome Date].[Financial].[Year].&amp;[2006-07]"/>
              </i>
              <i n="[Monthly Calendar Outcome Date].[Financial].[Quarter].&amp;[Q2]&amp;[2006-07]" c="Q2" nd="1">
                <p n="[Monthly Calendar Outcome Date].[Financial].[Year].&amp;[2006-07]"/>
              </i>
              <i n="[Monthly Calendar Outcome Date].[Financial].[Quarter].&amp;[Q3]&amp;[2006-07]" c="Q3" nd="1">
                <p n="[Monthly Calendar Outcome Date].[Financial].[Year].&amp;[2006-07]"/>
              </i>
              <i n="[Monthly Calendar Outcome Date].[Financial].[Quarter].&amp;[Q4]&amp;[2006-07]" c="Q4" nd="1">
                <p n="[Monthly Calendar Outcome Date].[Financial].[Year].&amp;[2006-07]"/>
              </i>
              <i n="[Monthly Calendar Outcome Date].[Financial].[Quarter].&amp;[Q1]&amp;[2007-08]" c="Q1" nd="1">
                <p n="[Monthly Calendar Outcome Date].[Financial].[Year].&amp;[2007-08]"/>
              </i>
              <i n="[Monthly Calendar Outcome Date].[Financial].[Quarter].&amp;[Q3]&amp;[2007-08]" c="Q3" nd="1">
                <p n="[Monthly Calendar Outcome Date].[Financial].[Year].&amp;[2007-08]"/>
              </i>
              <i n="[Monthly Calendar Outcome Date].[Financial].[Quarter].&amp;[Q1]&amp;[2008-09]" c="Q1" nd="1">
                <p n="[Monthly Calendar Outcome Date].[Financial].[Year].&amp;[2008-09]"/>
              </i>
              <i n="[Monthly Calendar Outcome Date].[Financial].[Quarter].&amp;[Q2]&amp;[2008-09]" c="Q2" nd="1">
                <p n="[Monthly Calendar Outcome Date].[Financial].[Year].&amp;[2008-09]"/>
              </i>
              <i n="[Monthly Calendar Outcome Date].[Financial].[Quarter].&amp;[Q3]&amp;[2008-09]" c="Q3" nd="1">
                <p n="[Monthly Calendar Outcome Date].[Financial].[Year].&amp;[2008-09]"/>
              </i>
              <i n="[Monthly Calendar Outcome Date].[Financial].[Quarter].&amp;[Q2]&amp;[2009-10]" c="Q2" nd="1">
                <p n="[Monthly Calendar Outcome Date].[Financial].[Year].&amp;[2009-10]"/>
              </i>
              <i n="[Monthly Calendar Outcome Date].[Financial].[Quarter].&amp;[Q1]&amp;[2010-11]" c="Q1" nd="1">
                <p n="[Monthly Calendar Outcome Date].[Financial].[Year].&amp;[2010-11]"/>
              </i>
              <i n="[Monthly Calendar Outcome Date].[Financial].[Quarter].&amp;[Q1]&amp;[2017-18]" c="Q1" nd="1">
                <p n="[Monthly Calendar Outcome Date].[Financial].[Year].&amp;[2017-18]"/>
              </i>
              <i n="[Monthly Calendar Outcome Date].[Financial].[Quarter].&amp;[Q2]&amp;[2017-18]" c="Q2" nd="1">
                <p n="[Monthly Calendar Outcome Date].[Financial].[Year].&amp;[2017-18]"/>
              </i>
              <i n="[Monthly Calendar Outcome Date].[Financial].[Quarter].&amp;[Q3]&amp;[2017-18]" c="Q3" nd="1">
                <p n="[Monthly Calendar Outcome Date].[Financial].[Year].&amp;[2017-18]"/>
              </i>
              <i n="[Monthly Calendar Outcome Date].[Financial].[Quarter].&amp;[Q4]&amp;[2017-18]" c="Q4" nd="1">
                <p n="[Monthly Calendar Outcome Date].[Financial].[Year].&amp;[2017-18]"/>
              </i>
              <i n="[Monthly Calendar Outcome Date].[Financial].[Quarter].&amp;[Q1]&amp;[2018-19]" c="Q1" nd="1">
                <p n="[Monthly Calendar Outcome Date].[Financial].[Year].&amp;[2018-19]"/>
              </i>
              <i n="[Monthly Calendar Outcome Date].[Financial].[Quarter].&amp;[Q2]&amp;[2018-19]" c="Q2" nd="1">
                <p n="[Monthly Calendar Outcome Date].[Financial].[Year].&amp;[2018-19]"/>
              </i>
              <i n="[Monthly Calendar Outcome Date].[Financial].[Quarter].&amp;[Q3]&amp;[2018-19]" c="Q3" nd="1">
                <p n="[Monthly Calendar Outcome Date].[Financial].[Year].&amp;[2018-19]"/>
              </i>
              <i n="[Monthly Calendar Outcome Date].[Financial].[Quarter].&amp;[Q4]&amp;[2018-19]" c="Q4" nd="1">
                <p n="[Monthly Calendar Outcome Date].[Financial].[Year].&amp;[2018-19]"/>
              </i>
              <i n="[Monthly Calendar Outcome Date].[Financial].[Quarter].&amp;[Q1]&amp;[2019-20]" c="Q1" nd="1">
                <p n="[Monthly Calendar Outcome Date].[Financial].[Year].&amp;[2019-20]"/>
              </i>
              <i n="[Monthly Calendar Outcome Date].[Financial].[Quarter].&amp;[Q2]&amp;[2019-20]" c="Q2" nd="1">
                <p n="[Monthly Calendar Outcome Date].[Financial].[Year].&amp;[2019-20]"/>
              </i>
              <i n="[Monthly Calendar Outcome Date].[Financial].[Quarter].&amp;[Q3]&amp;[2019-20]" c="Q3" nd="1">
                <p n="[Monthly Calendar Outcome Date].[Financial].[Year].&amp;[2019-20]"/>
              </i>
              <i n="[Monthly Calendar Outcome Date].[Financial].[Quarter].&amp;[Q4]&amp;[2019-20]" c="Q4" nd="1">
                <p n="[Monthly Calendar Outcome Date].[Financial].[Year].&amp;[2019-20]"/>
              </i>
              <i n="[Monthly Calendar Outcome Date].[Financial].[Quarter].&amp;[Q1]&amp;[2020-21]" c="Q1" nd="1">
                <p n="[Monthly Calendar Outcome Date].[Financial].[Year].&amp;[2020-21]"/>
              </i>
              <i n="[Monthly Calendar Outcome Date].[Financial].[Quarter].&amp;[Q2]&amp;[2020-21]" c="Q2" nd="1">
                <p n="[Monthly Calendar Outcome Date].[Financial].[Year].&amp;[2020-21]"/>
              </i>
              <i n="[Monthly Calendar Outcome Date].[Financial].[Quarter].&amp;[Q3]&amp;[2020-21]" c="Q3" nd="1">
                <p n="[Monthly Calendar Outcome Date].[Financial].[Year].&amp;[2020-21]"/>
              </i>
              <i n="[Monthly Calendar Outcome Date].[Financial].[Quarter].&amp;[Q4]&amp;[2020-21]" c="Q4" nd="1">
                <p n="[Monthly Calendar Outcome Date].[Financial].[Year].&amp;[2020-21]"/>
              </i>
            </range>
          </ranges>
        </level>
        <level uniqueName="[Monthly Calendar Outcome Date].[Financial].[Month Name]" sourceCaption="Month Name" count="256">
          <ranges>
            <range startItem="0">
              <i n="[Monthly Calendar Outcome Date].[Financial].[Month Name].&amp;[April]&amp;[2001-02]" c="April">
                <p n="[Monthly Calendar Outcome Date].[Financial].[Quarter].&amp;[Q1]&amp;[2001-02]"/>
                <p n="[Monthly Calendar Outcome Date].[Financial].[Year].&amp;[2001-02]"/>
              </i>
              <i n="[Monthly Calendar Outcome Date].[Financial].[Month Name].&amp;[December]&amp;[2002-03]" c="December">
                <p n="[Monthly Calendar Outcome Date].[Financial].[Quarter].&amp;[Q3]&amp;[2002-03]"/>
                <p n="[Monthly Calendar Outcome Date].[Financial].[Year].&amp;[2002-03]"/>
              </i>
              <i n="[Monthly Calendar Outcome Date].[Financial].[Month Name].&amp;[November]&amp;[2003-04]" c="November">
                <p n="[Monthly Calendar Outcome Date].[Financial].[Quarter].&amp;[Q3]&amp;[2003-04]"/>
                <p n="[Monthly Calendar Outcome Date].[Financial].[Year].&amp;[2003-04]"/>
              </i>
              <i n="[Monthly Calendar Outcome Date].[Financial].[Month Name].&amp;[April]&amp;[2004-05]" c="April">
                <p n="[Monthly Calendar Outcome Date].[Financial].[Quarter].&amp;[Q1]&amp;[2004-05]"/>
                <p n="[Monthly Calendar Outcome Date].[Financial].[Year].&amp;[2004-05]"/>
              </i>
              <i n="[Monthly Calendar Outcome Date].[Financial].[Month Name].&amp;[August]&amp;[2004-05]" c="August">
                <p n="[Monthly Calendar Outcome Date].[Financial].[Quarter].&amp;[Q2]&amp;[2004-05]"/>
                <p n="[Monthly Calendar Outcome Date].[Financial].[Year].&amp;[2004-05]"/>
              </i>
              <i n="[Monthly Calendar Outcome Date].[Financial].[Month Name].&amp;[January]&amp;[2004-05]" c="January">
                <p n="[Monthly Calendar Outcome Date].[Financial].[Quarter].&amp;[Q4]&amp;[2004-05]"/>
                <p n="[Monthly Calendar Outcome Date].[Financial].[Year].&amp;[2004-05]"/>
              </i>
              <i n="[Monthly Calendar Outcome Date].[Financial].[Month Name].&amp;[June]&amp;[2005-06]" c="June">
                <p n="[Monthly Calendar Outcome Date].[Financial].[Quarter].&amp;[Q1]&amp;[2005-06]"/>
                <p n="[Monthly Calendar Outcome Date].[Financial].[Year].&amp;[2005-06]"/>
              </i>
              <i n="[Monthly Calendar Outcome Date].[Financial].[Month Name].&amp;[July]&amp;[2005-06]" c="July">
                <p n="[Monthly Calendar Outcome Date].[Financial].[Quarter].&amp;[Q2]&amp;[2005-06]"/>
                <p n="[Monthly Calendar Outcome Date].[Financial].[Year].&amp;[2005-06]"/>
              </i>
              <i n="[Monthly Calendar Outcome Date].[Financial].[Month Name].&amp;[August]&amp;[2005-06]" c="August">
                <p n="[Monthly Calendar Outcome Date].[Financial].[Quarter].&amp;[Q2]&amp;[2005-06]"/>
                <p n="[Monthly Calendar Outcome Date].[Financial].[Year].&amp;[2005-06]"/>
              </i>
              <i n="[Monthly Calendar Outcome Date].[Financial].[Month Name].&amp;[September]&amp;[2005-06]" c="September">
                <p n="[Monthly Calendar Outcome Date].[Financial].[Quarter].&amp;[Q2]&amp;[2005-06]"/>
                <p n="[Monthly Calendar Outcome Date].[Financial].[Year].&amp;[2005-06]"/>
              </i>
              <i n="[Monthly Calendar Outcome Date].[Financial].[Month Name].&amp;[July]&amp;[2007-08]" c="July">
                <p n="[Monthly Calendar Outcome Date].[Financial].[Quarter].&amp;[Q2]&amp;[2007-08]"/>
                <p n="[Monthly Calendar Outcome Date].[Financial].[Year].&amp;[2007-08]"/>
              </i>
              <i n="[Monthly Calendar Outcome Date].[Financial].[Month Name].&amp;[January]&amp;[2007-08]" c="January">
                <p n="[Monthly Calendar Outcome Date].[Financial].[Quarter].&amp;[Q4]&amp;[2007-08]"/>
                <p n="[Monthly Calendar Outcome Date].[Financial].[Year].&amp;[2007-08]"/>
              </i>
              <i n="[Monthly Calendar Outcome Date].[Financial].[Month Name].&amp;[January]&amp;[2008-09]" c="January">
                <p n="[Monthly Calendar Outcome Date].[Financial].[Quarter].&amp;[Q4]&amp;[2008-09]"/>
                <p n="[Monthly Calendar Outcome Date].[Financial].[Year].&amp;[2008-09]"/>
              </i>
              <i n="[Monthly Calendar Outcome Date].[Financial].[Month Name].&amp;[February]&amp;[2008-09]" c="February">
                <p n="[Monthly Calendar Outcome Date].[Financial].[Quarter].&amp;[Q4]&amp;[2008-09]"/>
                <p n="[Monthly Calendar Outcome Date].[Financial].[Year].&amp;[2008-09]"/>
              </i>
              <i n="[Monthly Calendar Outcome Date].[Financial].[Month Name].&amp;[April]&amp;[2009-10]" c="April">
                <p n="[Monthly Calendar Outcome Date].[Financial].[Quarter].&amp;[Q1]&amp;[2009-10]"/>
                <p n="[Monthly Calendar Outcome Date].[Financial].[Year].&amp;[2009-10]"/>
              </i>
              <i n="[Monthly Calendar Outcome Date].[Financial].[Month Name].&amp;[June]&amp;[2009-10]" c="June">
                <p n="[Monthly Calendar Outcome Date].[Financial].[Quarter].&amp;[Q1]&amp;[2009-10]"/>
                <p n="[Monthly Calendar Outcome Date].[Financial].[Year].&amp;[2009-10]"/>
              </i>
              <i n="[Monthly Calendar Outcome Date].[Financial].[Month Name].&amp;[November]&amp;[2009-10]" c="November">
                <p n="[Monthly Calendar Outcome Date].[Financial].[Quarter].&amp;[Q3]&amp;[2009-10]"/>
                <p n="[Monthly Calendar Outcome Date].[Financial].[Year].&amp;[2009-10]"/>
              </i>
              <i n="[Monthly Calendar Outcome Date].[Financial].[Month Name].&amp;[January]&amp;[2009-10]" c="January">
                <p n="[Monthly Calendar Outcome Date].[Financial].[Quarter].&amp;[Q4]&amp;[2009-10]"/>
                <p n="[Monthly Calendar Outcome Date].[Financial].[Year].&amp;[2009-10]"/>
              </i>
              <i n="[Monthly Calendar Outcome Date].[Financial].[Month Name].&amp;[February]&amp;[2009-10]" c="February">
                <p n="[Monthly Calendar Outcome Date].[Financial].[Quarter].&amp;[Q4]&amp;[2009-10]"/>
                <p n="[Monthly Calendar Outcome Date].[Financial].[Year].&amp;[2009-10]"/>
              </i>
              <i n="[Monthly Calendar Outcome Date].[Financial].[Month Name].&amp;[July]&amp;[2010-11]" c="July">
                <p n="[Monthly Calendar Outcome Date].[Financial].[Quarter].&amp;[Q2]&amp;[2010-11]"/>
                <p n="[Monthly Calendar Outcome Date].[Financial].[Year].&amp;[2010-11]"/>
              </i>
              <i n="[Monthly Calendar Outcome Date].[Financial].[Month Name].&amp;[August]&amp;[2010-11]" c="August">
                <p n="[Monthly Calendar Outcome Date].[Financial].[Quarter].&amp;[Q2]&amp;[2010-11]"/>
                <p n="[Monthly Calendar Outcome Date].[Financial].[Year].&amp;[2010-11]"/>
              </i>
              <i n="[Monthly Calendar Outcome Date].[Financial].[Month Name].&amp;[December]&amp;[2010-11]" c="December">
                <p n="[Monthly Calendar Outcome Date].[Financial].[Quarter].&amp;[Q3]&amp;[2010-11]"/>
                <p n="[Monthly Calendar Outcome Date].[Financial].[Year].&amp;[2010-11]"/>
              </i>
              <i n="[Monthly Calendar Outcome Date].[Financial].[Month Name].&amp;[January]&amp;[2010-11]" c="January">
                <p n="[Monthly Calendar Outcome Date].[Financial].[Quarter].&amp;[Q4]&amp;[2010-11]"/>
                <p n="[Monthly Calendar Outcome Date].[Financial].[Year].&amp;[2010-11]"/>
              </i>
              <i n="[Monthly Calendar Outcome Date].[Financial].[Month Name].&amp;[May]&amp;[2011-12]" c="May">
                <p n="[Monthly Calendar Outcome Date].[Financial].[Quarter].&amp;[Q1]&amp;[2011-12]"/>
                <p n="[Monthly Calendar Outcome Date].[Financial].[Year].&amp;[2011-12]"/>
              </i>
              <i n="[Monthly Calendar Outcome Date].[Financial].[Month Name].&amp;[June]&amp;[2011-12]" c="June">
                <p n="[Monthly Calendar Outcome Date].[Financial].[Quarter].&amp;[Q1]&amp;[2011-12]"/>
                <p n="[Monthly Calendar Outcome Date].[Financial].[Year].&amp;[2011-12]"/>
              </i>
              <i n="[Monthly Calendar Outcome Date].[Financial].[Month Name].&amp;[July]&amp;[2011-12]" c="July">
                <p n="[Monthly Calendar Outcome Date].[Financial].[Quarter].&amp;[Q2]&amp;[2011-12]"/>
                <p n="[Monthly Calendar Outcome Date].[Financial].[Year].&amp;[2011-12]"/>
              </i>
              <i n="[Monthly Calendar Outcome Date].[Financial].[Month Name].&amp;[August]&amp;[2011-12]" c="August">
                <p n="[Monthly Calendar Outcome Date].[Financial].[Quarter].&amp;[Q2]&amp;[2011-12]"/>
                <p n="[Monthly Calendar Outcome Date].[Financial].[Year].&amp;[2011-12]"/>
              </i>
              <i n="[Monthly Calendar Outcome Date].[Financial].[Month Name].&amp;[September]&amp;[2011-12]" c="September">
                <p n="[Monthly Calendar Outcome Date].[Financial].[Quarter].&amp;[Q2]&amp;[2011-12]"/>
                <p n="[Monthly Calendar Outcome Date].[Financial].[Year].&amp;[2011-12]"/>
              </i>
              <i n="[Monthly Calendar Outcome Date].[Financial].[Month Name].&amp;[October]&amp;[2011-12]" c="October">
                <p n="[Monthly Calendar Outcome Date].[Financial].[Quarter].&amp;[Q3]&amp;[2011-12]"/>
                <p n="[Monthly Calendar Outcome Date].[Financial].[Year].&amp;[2011-12]"/>
              </i>
              <i n="[Monthly Calendar Outcome Date].[Financial].[Month Name].&amp;[November]&amp;[2011-12]" c="November">
                <p n="[Monthly Calendar Outcome Date].[Financial].[Quarter].&amp;[Q3]&amp;[2011-12]"/>
                <p n="[Monthly Calendar Outcome Date].[Financial].[Year].&amp;[2011-12]"/>
              </i>
              <i n="[Monthly Calendar Outcome Date].[Financial].[Month Name].&amp;[December]&amp;[2011-12]" c="December">
                <p n="[Monthly Calendar Outcome Date].[Financial].[Quarter].&amp;[Q3]&amp;[2011-12]"/>
                <p n="[Monthly Calendar Outcome Date].[Financial].[Year].&amp;[2011-12]"/>
              </i>
              <i n="[Monthly Calendar Outcome Date].[Financial].[Month Name].&amp;[January]&amp;[2011-12]" c="January">
                <p n="[Monthly Calendar Outcome Date].[Financial].[Quarter].&amp;[Q4]&amp;[2011-12]"/>
                <p n="[Monthly Calendar Outcome Date].[Financial].[Year].&amp;[2011-12]"/>
              </i>
              <i n="[Monthly Calendar Outcome Date].[Financial].[Month Name].&amp;[February]&amp;[2011-12]" c="February">
                <p n="[Monthly Calendar Outcome Date].[Financial].[Quarter].&amp;[Q4]&amp;[2011-12]"/>
                <p n="[Monthly Calendar Outcome Date].[Financial].[Year].&amp;[2011-12]"/>
              </i>
              <i n="[Monthly Calendar Outcome Date].[Financial].[Month Name].&amp;[March]&amp;[2011-12]" c="March">
                <p n="[Monthly Calendar Outcome Date].[Financial].[Quarter].&amp;[Q4]&amp;[2011-12]"/>
                <p n="[Monthly Calendar Outcome Date].[Financial].[Year].&amp;[2011-12]"/>
              </i>
              <i n="[Monthly Calendar Outcome Date].[Financial].[Month Name].&amp;[April]&amp;[2012-13]" c="April">
                <p n="[Monthly Calendar Outcome Date].[Financial].[Quarter].&amp;[Q1]&amp;[2012-13]"/>
                <p n="[Monthly Calendar Outcome Date].[Financial].[Year].&amp;[2012-13]"/>
              </i>
              <i n="[Monthly Calendar Outcome Date].[Financial].[Month Name].&amp;[May]&amp;[2012-13]" c="May">
                <p n="[Monthly Calendar Outcome Date].[Financial].[Quarter].&amp;[Q1]&amp;[2012-13]"/>
                <p n="[Monthly Calendar Outcome Date].[Financial].[Year].&amp;[2012-13]"/>
              </i>
              <i n="[Monthly Calendar Outcome Date].[Financial].[Month Name].&amp;[June]&amp;[2012-13]" c="June">
                <p n="[Monthly Calendar Outcome Date].[Financial].[Quarter].&amp;[Q1]&amp;[2012-13]"/>
                <p n="[Monthly Calendar Outcome Date].[Financial].[Year].&amp;[2012-13]"/>
              </i>
              <i n="[Monthly Calendar Outcome Date].[Financial].[Month Name].&amp;[July]&amp;[2012-13]" c="July">
                <p n="[Monthly Calendar Outcome Date].[Financial].[Quarter].&amp;[Q2]&amp;[2012-13]"/>
                <p n="[Monthly Calendar Outcome Date].[Financial].[Year].&amp;[2012-13]"/>
              </i>
              <i n="[Monthly Calendar Outcome Date].[Financial].[Month Name].&amp;[August]&amp;[2012-13]" c="August">
                <p n="[Monthly Calendar Outcome Date].[Financial].[Quarter].&amp;[Q2]&amp;[2012-13]"/>
                <p n="[Monthly Calendar Outcome Date].[Financial].[Year].&amp;[2012-13]"/>
              </i>
              <i n="[Monthly Calendar Outcome Date].[Financial].[Month Name].&amp;[September]&amp;[2012-13]" c="September">
                <p n="[Monthly Calendar Outcome Date].[Financial].[Quarter].&amp;[Q2]&amp;[2012-13]"/>
                <p n="[Monthly Calendar Outcome Date].[Financial].[Year].&amp;[2012-13]"/>
              </i>
              <i n="[Monthly Calendar Outcome Date].[Financial].[Month Name].&amp;[October]&amp;[2012-13]" c="October">
                <p n="[Monthly Calendar Outcome Date].[Financial].[Quarter].&amp;[Q3]&amp;[2012-13]"/>
                <p n="[Monthly Calendar Outcome Date].[Financial].[Year].&amp;[2012-13]"/>
              </i>
              <i n="[Monthly Calendar Outcome Date].[Financial].[Month Name].&amp;[November]&amp;[2012-13]" c="November">
                <p n="[Monthly Calendar Outcome Date].[Financial].[Quarter].&amp;[Q3]&amp;[2012-13]"/>
                <p n="[Monthly Calendar Outcome Date].[Financial].[Year].&amp;[2012-13]"/>
              </i>
              <i n="[Monthly Calendar Outcome Date].[Financial].[Month Name].&amp;[December]&amp;[2012-13]" c="December">
                <p n="[Monthly Calendar Outcome Date].[Financial].[Quarter].&amp;[Q3]&amp;[2012-13]"/>
                <p n="[Monthly Calendar Outcome Date].[Financial].[Year].&amp;[2012-13]"/>
              </i>
              <i n="[Monthly Calendar Outcome Date].[Financial].[Month Name].&amp;[January]&amp;[2012-13]" c="January">
                <p n="[Monthly Calendar Outcome Date].[Financial].[Quarter].&amp;[Q4]&amp;[2012-13]"/>
                <p n="[Monthly Calendar Outcome Date].[Financial].[Year].&amp;[2012-13]"/>
              </i>
              <i n="[Monthly Calendar Outcome Date].[Financial].[Month Name].&amp;[February]&amp;[2012-13]" c="February">
                <p n="[Monthly Calendar Outcome Date].[Financial].[Quarter].&amp;[Q4]&amp;[2012-13]"/>
                <p n="[Monthly Calendar Outcome Date].[Financial].[Year].&amp;[2012-13]"/>
              </i>
              <i n="[Monthly Calendar Outcome Date].[Financial].[Month Name].&amp;[March]&amp;[2012-13]" c="March">
                <p n="[Monthly Calendar Outcome Date].[Financial].[Quarter].&amp;[Q4]&amp;[2012-13]"/>
                <p n="[Monthly Calendar Outcome Date].[Financial].[Year].&amp;[2012-13]"/>
              </i>
              <i n="[Monthly Calendar Outcome Date].[Financial].[Month Name].&amp;[April]&amp;[2013-14]" c="April">
                <p n="[Monthly Calendar Outcome Date].[Financial].[Quarter].&amp;[Q1]&amp;[2013-14]"/>
                <p n="[Monthly Calendar Outcome Date].[Financial].[Year].&amp;[2013-14]"/>
              </i>
              <i n="[Monthly Calendar Outcome Date].[Financial].[Month Name].&amp;[May]&amp;[2013-14]" c="May">
                <p n="[Monthly Calendar Outcome Date].[Financial].[Quarter].&amp;[Q1]&amp;[2013-14]"/>
                <p n="[Monthly Calendar Outcome Date].[Financial].[Year].&amp;[2013-14]"/>
              </i>
              <i n="[Monthly Calendar Outcome Date].[Financial].[Month Name].&amp;[June]&amp;[2013-14]" c="June">
                <p n="[Monthly Calendar Outcome Date].[Financial].[Quarter].&amp;[Q1]&amp;[2013-14]"/>
                <p n="[Monthly Calendar Outcome Date].[Financial].[Year].&amp;[2013-14]"/>
              </i>
              <i n="[Monthly Calendar Outcome Date].[Financial].[Month Name].&amp;[July]&amp;[2013-14]" c="July">
                <p n="[Monthly Calendar Outcome Date].[Financial].[Quarter].&amp;[Q2]&amp;[2013-14]"/>
                <p n="[Monthly Calendar Outcome Date].[Financial].[Year].&amp;[2013-14]"/>
              </i>
              <i n="[Monthly Calendar Outcome Date].[Financial].[Month Name].&amp;[August]&amp;[2013-14]" c="August">
                <p n="[Monthly Calendar Outcome Date].[Financial].[Quarter].&amp;[Q2]&amp;[2013-14]"/>
                <p n="[Monthly Calendar Outcome Date].[Financial].[Year].&amp;[2013-14]"/>
              </i>
              <i n="[Monthly Calendar Outcome Date].[Financial].[Month Name].&amp;[September]&amp;[2013-14]" c="September">
                <p n="[Monthly Calendar Outcome Date].[Financial].[Quarter].&amp;[Q2]&amp;[2013-14]"/>
                <p n="[Monthly Calendar Outcome Date].[Financial].[Year].&amp;[2013-14]"/>
              </i>
              <i n="[Monthly Calendar Outcome Date].[Financial].[Month Name].&amp;[October]&amp;[2013-14]" c="October">
                <p n="[Monthly Calendar Outcome Date].[Financial].[Quarter].&amp;[Q3]&amp;[2013-14]"/>
                <p n="[Monthly Calendar Outcome Date].[Financial].[Year].&amp;[2013-14]"/>
              </i>
              <i n="[Monthly Calendar Outcome Date].[Financial].[Month Name].&amp;[November]&amp;[2013-14]" c="November">
                <p n="[Monthly Calendar Outcome Date].[Financial].[Quarter].&amp;[Q3]&amp;[2013-14]"/>
                <p n="[Monthly Calendar Outcome Date].[Financial].[Year].&amp;[2013-14]"/>
              </i>
              <i n="[Monthly Calendar Outcome Date].[Financial].[Month Name].&amp;[December]&amp;[2013-14]" c="December">
                <p n="[Monthly Calendar Outcome Date].[Financial].[Quarter].&amp;[Q3]&amp;[2013-14]"/>
                <p n="[Monthly Calendar Outcome Date].[Financial].[Year].&amp;[2013-14]"/>
              </i>
              <i n="[Monthly Calendar Outcome Date].[Financial].[Month Name].&amp;[January]&amp;[2013-14]" c="January">
                <p n="[Monthly Calendar Outcome Date].[Financial].[Quarter].&amp;[Q4]&amp;[2013-14]"/>
                <p n="[Monthly Calendar Outcome Date].[Financial].[Year].&amp;[2013-14]"/>
              </i>
              <i n="[Monthly Calendar Outcome Date].[Financial].[Month Name].&amp;[February]&amp;[2013-14]" c="February">
                <p n="[Monthly Calendar Outcome Date].[Financial].[Quarter].&amp;[Q4]&amp;[2013-14]"/>
                <p n="[Monthly Calendar Outcome Date].[Financial].[Year].&amp;[2013-14]"/>
              </i>
              <i n="[Monthly Calendar Outcome Date].[Financial].[Month Name].&amp;[March]&amp;[2013-14]" c="March">
                <p n="[Monthly Calendar Outcome Date].[Financial].[Quarter].&amp;[Q4]&amp;[2013-14]"/>
                <p n="[Monthly Calendar Outcome Date].[Financial].[Year].&amp;[2013-14]"/>
              </i>
              <i n="[Monthly Calendar Outcome Date].[Financial].[Month Name].&amp;[April]&amp;[2014-15]" c="April">
                <p n="[Monthly Calendar Outcome Date].[Financial].[Quarter].&amp;[Q1]&amp;[2014-15]"/>
                <p n="[Monthly Calendar Outcome Date].[Financial].[Year].&amp;[2014-15]"/>
              </i>
              <i n="[Monthly Calendar Outcome Date].[Financial].[Month Name].&amp;[May]&amp;[2014-15]" c="May">
                <p n="[Monthly Calendar Outcome Date].[Financial].[Quarter].&amp;[Q1]&amp;[2014-15]"/>
                <p n="[Monthly Calendar Outcome Date].[Financial].[Year].&amp;[2014-15]"/>
              </i>
              <i n="[Monthly Calendar Outcome Date].[Financial].[Month Name].&amp;[June]&amp;[2014-15]" c="June">
                <p n="[Monthly Calendar Outcome Date].[Financial].[Quarter].&amp;[Q1]&amp;[2014-15]"/>
                <p n="[Monthly Calendar Outcome Date].[Financial].[Year].&amp;[2014-15]"/>
              </i>
              <i n="[Monthly Calendar Outcome Date].[Financial].[Month Name].&amp;[July]&amp;[2014-15]" c="July">
                <p n="[Monthly Calendar Outcome Date].[Financial].[Quarter].&amp;[Q2]&amp;[2014-15]"/>
                <p n="[Monthly Calendar Outcome Date].[Financial].[Year].&amp;[2014-15]"/>
              </i>
              <i n="[Monthly Calendar Outcome Date].[Financial].[Month Name].&amp;[August]&amp;[2014-15]" c="August">
                <p n="[Monthly Calendar Outcome Date].[Financial].[Quarter].&amp;[Q2]&amp;[2014-15]"/>
                <p n="[Monthly Calendar Outcome Date].[Financial].[Year].&amp;[2014-15]"/>
              </i>
              <i n="[Monthly Calendar Outcome Date].[Financial].[Month Name].&amp;[September]&amp;[2014-15]" c="September">
                <p n="[Monthly Calendar Outcome Date].[Financial].[Quarter].&amp;[Q2]&amp;[2014-15]"/>
                <p n="[Monthly Calendar Outcome Date].[Financial].[Year].&amp;[2014-15]"/>
              </i>
              <i n="[Monthly Calendar Outcome Date].[Financial].[Month Name].&amp;[October]&amp;[2014-15]" c="October">
                <p n="[Monthly Calendar Outcome Date].[Financial].[Quarter].&amp;[Q3]&amp;[2014-15]"/>
                <p n="[Monthly Calendar Outcome Date].[Financial].[Year].&amp;[2014-15]"/>
              </i>
              <i n="[Monthly Calendar Outcome Date].[Financial].[Month Name].&amp;[November]&amp;[2014-15]" c="November">
                <p n="[Monthly Calendar Outcome Date].[Financial].[Quarter].&amp;[Q3]&amp;[2014-15]"/>
                <p n="[Monthly Calendar Outcome Date].[Financial].[Year].&amp;[2014-15]"/>
              </i>
              <i n="[Monthly Calendar Outcome Date].[Financial].[Month Name].&amp;[December]&amp;[2014-15]" c="December">
                <p n="[Monthly Calendar Outcome Date].[Financial].[Quarter].&amp;[Q3]&amp;[2014-15]"/>
                <p n="[Monthly Calendar Outcome Date].[Financial].[Year].&amp;[2014-15]"/>
              </i>
              <i n="[Monthly Calendar Outcome Date].[Financial].[Month Name].&amp;[January]&amp;[2014-15]" c="January">
                <p n="[Monthly Calendar Outcome Date].[Financial].[Quarter].&amp;[Q4]&amp;[2014-15]"/>
                <p n="[Monthly Calendar Outcome Date].[Financial].[Year].&amp;[2014-15]"/>
              </i>
              <i n="[Monthly Calendar Outcome Date].[Financial].[Month Name].&amp;[February]&amp;[2014-15]" c="February">
                <p n="[Monthly Calendar Outcome Date].[Financial].[Quarter].&amp;[Q4]&amp;[2014-15]"/>
                <p n="[Monthly Calendar Outcome Date].[Financial].[Year].&amp;[2014-15]"/>
              </i>
              <i n="[Monthly Calendar Outcome Date].[Financial].[Month Name].&amp;[March]&amp;[2014-15]" c="March">
                <p n="[Monthly Calendar Outcome Date].[Financial].[Quarter].&amp;[Q4]&amp;[2014-15]"/>
                <p n="[Monthly Calendar Outcome Date].[Financial].[Year].&amp;[2014-15]"/>
              </i>
              <i n="[Monthly Calendar Outcome Date].[Financial].[Month Name].&amp;[April]&amp;[2015-16]" c="April">
                <p n="[Monthly Calendar Outcome Date].[Financial].[Quarter].&amp;[Q1]&amp;[2015-16]"/>
                <p n="[Monthly Calendar Outcome Date].[Financial].[Year].&amp;[2015-16]"/>
              </i>
              <i n="[Monthly Calendar Outcome Date].[Financial].[Month Name].&amp;[May]&amp;[2015-16]" c="May">
                <p n="[Monthly Calendar Outcome Date].[Financial].[Quarter].&amp;[Q1]&amp;[2015-16]"/>
                <p n="[Monthly Calendar Outcome Date].[Financial].[Year].&amp;[2015-16]"/>
              </i>
              <i n="[Monthly Calendar Outcome Date].[Financial].[Month Name].&amp;[June]&amp;[2015-16]" c="June">
                <p n="[Monthly Calendar Outcome Date].[Financial].[Quarter].&amp;[Q1]&amp;[2015-16]"/>
                <p n="[Monthly Calendar Outcome Date].[Financial].[Year].&amp;[2015-16]"/>
              </i>
              <i n="[Monthly Calendar Outcome Date].[Financial].[Month Name].&amp;[July]&amp;[2015-16]" c="July">
                <p n="[Monthly Calendar Outcome Date].[Financial].[Quarter].&amp;[Q2]&amp;[2015-16]"/>
                <p n="[Monthly Calendar Outcome Date].[Financial].[Year].&amp;[2015-16]"/>
              </i>
              <i n="[Monthly Calendar Outcome Date].[Financial].[Month Name].&amp;[August]&amp;[2015-16]" c="August">
                <p n="[Monthly Calendar Outcome Date].[Financial].[Quarter].&amp;[Q2]&amp;[2015-16]"/>
                <p n="[Monthly Calendar Outcome Date].[Financial].[Year].&amp;[2015-16]"/>
              </i>
              <i n="[Monthly Calendar Outcome Date].[Financial].[Month Name].&amp;[September]&amp;[2015-16]" c="September">
                <p n="[Monthly Calendar Outcome Date].[Financial].[Quarter].&amp;[Q2]&amp;[2015-16]"/>
                <p n="[Monthly Calendar Outcome Date].[Financial].[Year].&amp;[2015-16]"/>
              </i>
              <i n="[Monthly Calendar Outcome Date].[Financial].[Month Name].&amp;[October]&amp;[2015-16]" c="October">
                <p n="[Monthly Calendar Outcome Date].[Financial].[Quarter].&amp;[Q3]&amp;[2015-16]"/>
                <p n="[Monthly Calendar Outcome Date].[Financial].[Year].&amp;[2015-16]"/>
              </i>
              <i n="[Monthly Calendar Outcome Date].[Financial].[Month Name].&amp;[November]&amp;[2015-16]" c="November">
                <p n="[Monthly Calendar Outcome Date].[Financial].[Quarter].&amp;[Q3]&amp;[2015-16]"/>
                <p n="[Monthly Calendar Outcome Date].[Financial].[Year].&amp;[2015-16]"/>
              </i>
              <i n="[Monthly Calendar Outcome Date].[Financial].[Month Name].&amp;[December]&amp;[2015-16]" c="December">
                <p n="[Monthly Calendar Outcome Date].[Financial].[Quarter].&amp;[Q3]&amp;[2015-16]"/>
                <p n="[Monthly Calendar Outcome Date].[Financial].[Year].&amp;[2015-16]"/>
              </i>
              <i n="[Monthly Calendar Outcome Date].[Financial].[Month Name].&amp;[January]&amp;[2015-16]" c="January">
                <p n="[Monthly Calendar Outcome Date].[Financial].[Quarter].&amp;[Q4]&amp;[2015-16]"/>
                <p n="[Monthly Calendar Outcome Date].[Financial].[Year].&amp;[2015-16]"/>
              </i>
              <i n="[Monthly Calendar Outcome Date].[Financial].[Month Name].&amp;[February]&amp;[2015-16]" c="February">
                <p n="[Monthly Calendar Outcome Date].[Financial].[Quarter].&amp;[Q4]&amp;[2015-16]"/>
                <p n="[Monthly Calendar Outcome Date].[Financial].[Year].&amp;[2015-16]"/>
              </i>
              <i n="[Monthly Calendar Outcome Date].[Financial].[Month Name].&amp;[March]&amp;[2015-16]" c="March">
                <p n="[Monthly Calendar Outcome Date].[Financial].[Quarter].&amp;[Q4]&amp;[2015-16]"/>
                <p n="[Monthly Calendar Outcome Date].[Financial].[Year].&amp;[2015-16]"/>
              </i>
              <i n="[Monthly Calendar Outcome Date].[Financial].[Month Name].&amp;[April]&amp;[2016-17]" c="April">
                <p n="[Monthly Calendar Outcome Date].[Financial].[Quarter].&amp;[Q1]&amp;[2016-17]"/>
                <p n="[Monthly Calendar Outcome Date].[Financial].[Year].&amp;[2016-17]"/>
              </i>
              <i n="[Monthly Calendar Outcome Date].[Financial].[Month Name].&amp;[May]&amp;[2016-17]" c="May">
                <p n="[Monthly Calendar Outcome Date].[Financial].[Quarter].&amp;[Q1]&amp;[2016-17]"/>
                <p n="[Monthly Calendar Outcome Date].[Financial].[Year].&amp;[2016-17]"/>
              </i>
              <i n="[Monthly Calendar Outcome Date].[Financial].[Month Name].&amp;[June]&amp;[2016-17]" c="June">
                <p n="[Monthly Calendar Outcome Date].[Financial].[Quarter].&amp;[Q1]&amp;[2016-17]"/>
                <p n="[Monthly Calendar Outcome Date].[Financial].[Year].&amp;[2016-17]"/>
              </i>
              <i n="[Monthly Calendar Outcome Date].[Financial].[Month Name].&amp;[July]&amp;[2016-17]" c="July">
                <p n="[Monthly Calendar Outcome Date].[Financial].[Quarter].&amp;[Q2]&amp;[2016-17]"/>
                <p n="[Monthly Calendar Outcome Date].[Financial].[Year].&amp;[2016-17]"/>
              </i>
              <i n="[Monthly Calendar Outcome Date].[Financial].[Month Name].&amp;[August]&amp;[2016-17]" c="August">
                <p n="[Monthly Calendar Outcome Date].[Financial].[Quarter].&amp;[Q2]&amp;[2016-17]"/>
                <p n="[Monthly Calendar Outcome Date].[Financial].[Year].&amp;[2016-17]"/>
              </i>
              <i n="[Monthly Calendar Outcome Date].[Financial].[Month Name].&amp;[September]&amp;[2016-17]" c="September">
                <p n="[Monthly Calendar Outcome Date].[Financial].[Quarter].&amp;[Q2]&amp;[2016-17]"/>
                <p n="[Monthly Calendar Outcome Date].[Financial].[Year].&amp;[2016-17]"/>
              </i>
              <i n="[Monthly Calendar Outcome Date].[Financial].[Month Name].&amp;[October]&amp;[2016-17]" c="October">
                <p n="[Monthly Calendar Outcome Date].[Financial].[Quarter].&amp;[Q3]&amp;[2016-17]"/>
                <p n="[Monthly Calendar Outcome Date].[Financial].[Year].&amp;[2016-17]"/>
              </i>
              <i n="[Monthly Calendar Outcome Date].[Financial].[Month Name].&amp;[November]&amp;[2016-17]" c="November">
                <p n="[Monthly Calendar Outcome Date].[Financial].[Quarter].&amp;[Q3]&amp;[2016-17]"/>
                <p n="[Monthly Calendar Outcome Date].[Financial].[Year].&amp;[2016-17]"/>
              </i>
              <i n="[Monthly Calendar Outcome Date].[Financial].[Month Name].&amp;[December]&amp;[2016-17]" c="December">
                <p n="[Monthly Calendar Outcome Date].[Financial].[Quarter].&amp;[Q3]&amp;[2016-17]"/>
                <p n="[Monthly Calendar Outcome Date].[Financial].[Year].&amp;[2016-17]"/>
              </i>
              <i n="[Monthly Calendar Outcome Date].[Financial].[Month Name].&amp;[January]&amp;[2016-17]" c="January">
                <p n="[Monthly Calendar Outcome Date].[Financial].[Quarter].&amp;[Q4]&amp;[2016-17]"/>
                <p n="[Monthly Calendar Outcome Date].[Financial].[Year].&amp;[2016-17]"/>
              </i>
              <i n="[Monthly Calendar Outcome Date].[Financial].[Month Name].&amp;[February]&amp;[2016-17]" c="February">
                <p n="[Monthly Calendar Outcome Date].[Financial].[Quarter].&amp;[Q4]&amp;[2016-17]"/>
                <p n="[Monthly Calendar Outcome Date].[Financial].[Year].&amp;[2016-17]"/>
              </i>
              <i n="[Monthly Calendar Outcome Date].[Financial].[Month Name].&amp;[March]&amp;[2016-17]" c="March">
                <p n="[Monthly Calendar Outcome Date].[Financial].[Quarter].&amp;[Q4]&amp;[2016-17]"/>
                <p n="[Monthly Calendar Outcome Date].[Financial].[Year].&amp;[2016-17]"/>
              </i>
              <i n="[Monthly Calendar Outcome Date].[Financial].[Month Name].&amp;[Not recorded/not applicable]&amp;[]" c="Not recorded/not applicable" nd="1">
                <p n="[Monthly Calendar Outcome Date].[Financial].[Quarter].&amp;[]&amp;[]"/>
                <p n="[Monthly Calendar Outcome Date].[Financial].[Year].&amp;[]"/>
              </i>
              <i n="[Monthly Calendar Outcome Date].[Financial].[Month Name].&amp;[January]&amp;[1999-00]" c="January" nd="1">
                <p n="[Monthly Calendar Outcome Date].[Financial].[Quarter].&amp;[Q4]&amp;[1999-00]"/>
                <p n="[Monthly Calendar Outcome Date].[Financial].[Year].&amp;[1999-00]"/>
              </i>
              <i n="[Monthly Calendar Outcome Date].[Financial].[Month Name].&amp;[February]&amp;[1999-00]" c="February" nd="1">
                <p n="[Monthly Calendar Outcome Date].[Financial].[Quarter].&amp;[Q4]&amp;[1999-00]"/>
                <p n="[Monthly Calendar Outcome Date].[Financial].[Year].&amp;[1999-00]"/>
              </i>
              <i n="[Monthly Calendar Outcome Date].[Financial].[Month Name].&amp;[March]&amp;[1999-00]" c="March" nd="1">
                <p n="[Monthly Calendar Outcome Date].[Financial].[Quarter].&amp;[Q4]&amp;[1999-00]"/>
                <p n="[Monthly Calendar Outcome Date].[Financial].[Year].&amp;[1999-00]"/>
              </i>
              <i n="[Monthly Calendar Outcome Date].[Financial].[Month Name].&amp;[April]&amp;[2000-01]" c="April" nd="1">
                <p n="[Monthly Calendar Outcome Date].[Financial].[Quarter].&amp;[Q1]&amp;[2000-01]"/>
                <p n="[Monthly Calendar Outcome Date].[Financial].[Year].&amp;[2000-01]"/>
              </i>
              <i n="[Monthly Calendar Outcome Date].[Financial].[Month Name].&amp;[May]&amp;[2000-01]" c="May" nd="1">
                <p n="[Monthly Calendar Outcome Date].[Financial].[Quarter].&amp;[Q1]&amp;[2000-01]"/>
                <p n="[Monthly Calendar Outcome Date].[Financial].[Year].&amp;[2000-01]"/>
              </i>
              <i n="[Monthly Calendar Outcome Date].[Financial].[Month Name].&amp;[June]&amp;[2000-01]" c="June" nd="1">
                <p n="[Monthly Calendar Outcome Date].[Financial].[Quarter].&amp;[Q1]&amp;[2000-01]"/>
                <p n="[Monthly Calendar Outcome Date].[Financial].[Year].&amp;[2000-01]"/>
              </i>
              <i n="[Monthly Calendar Outcome Date].[Financial].[Month Name].&amp;[July]&amp;[2000-01]" c="July" nd="1">
                <p n="[Monthly Calendar Outcome Date].[Financial].[Quarter].&amp;[Q2]&amp;[2000-01]"/>
                <p n="[Monthly Calendar Outcome Date].[Financial].[Year].&amp;[2000-01]"/>
              </i>
              <i n="[Monthly Calendar Outcome Date].[Financial].[Month Name].&amp;[August]&amp;[2000-01]" c="August" nd="1">
                <p n="[Monthly Calendar Outcome Date].[Financial].[Quarter].&amp;[Q2]&amp;[2000-01]"/>
                <p n="[Monthly Calendar Outcome Date].[Financial].[Year].&amp;[2000-01]"/>
              </i>
              <i n="[Monthly Calendar Outcome Date].[Financial].[Month Name].&amp;[September]&amp;[2000-01]" c="September" nd="1">
                <p n="[Monthly Calendar Outcome Date].[Financial].[Quarter].&amp;[Q2]&amp;[2000-01]"/>
                <p n="[Monthly Calendar Outcome Date].[Financial].[Year].&amp;[2000-01]"/>
              </i>
              <i n="[Monthly Calendar Outcome Date].[Financial].[Month Name].&amp;[October]&amp;[2000-01]" c="October" nd="1">
                <p n="[Monthly Calendar Outcome Date].[Financial].[Quarter].&amp;[Q3]&amp;[2000-01]"/>
                <p n="[Monthly Calendar Outcome Date].[Financial].[Year].&amp;[2000-01]"/>
              </i>
              <i n="[Monthly Calendar Outcome Date].[Financial].[Month Name].&amp;[November]&amp;[2000-01]" c="November" nd="1">
                <p n="[Monthly Calendar Outcome Date].[Financial].[Quarter].&amp;[Q3]&amp;[2000-01]"/>
                <p n="[Monthly Calendar Outcome Date].[Financial].[Year].&amp;[2000-01]"/>
              </i>
              <i n="[Monthly Calendar Outcome Date].[Financial].[Month Name].&amp;[December]&amp;[2000-01]" c="December" nd="1">
                <p n="[Monthly Calendar Outcome Date].[Financial].[Quarter].&amp;[Q3]&amp;[2000-01]"/>
                <p n="[Monthly Calendar Outcome Date].[Financial].[Year].&amp;[2000-01]"/>
              </i>
              <i n="[Monthly Calendar Outcome Date].[Financial].[Month Name].&amp;[January]&amp;[2000-01]" c="January" nd="1">
                <p n="[Monthly Calendar Outcome Date].[Financial].[Quarter].&amp;[Q4]&amp;[2000-01]"/>
                <p n="[Monthly Calendar Outcome Date].[Financial].[Year].&amp;[2000-01]"/>
              </i>
              <i n="[Monthly Calendar Outcome Date].[Financial].[Month Name].&amp;[February]&amp;[2000-01]" c="February" nd="1">
                <p n="[Monthly Calendar Outcome Date].[Financial].[Quarter].&amp;[Q4]&amp;[2000-01]"/>
                <p n="[Monthly Calendar Outcome Date].[Financial].[Year].&amp;[2000-01]"/>
              </i>
              <i n="[Monthly Calendar Outcome Date].[Financial].[Month Name].&amp;[March]&amp;[2000-01]" c="March" nd="1">
                <p n="[Monthly Calendar Outcome Date].[Financial].[Quarter].&amp;[Q4]&amp;[2000-01]"/>
                <p n="[Monthly Calendar Outcome Date].[Financial].[Year].&amp;[2000-01]"/>
              </i>
              <i n="[Monthly Calendar Outcome Date].[Financial].[Month Name].&amp;[May]&amp;[2001-02]" c="May" nd="1">
                <p n="[Monthly Calendar Outcome Date].[Financial].[Quarter].&amp;[Q1]&amp;[2001-02]"/>
                <p n="[Monthly Calendar Outcome Date].[Financial].[Year].&amp;[2001-02]"/>
              </i>
              <i n="[Monthly Calendar Outcome Date].[Financial].[Month Name].&amp;[June]&amp;[2001-02]" c="June" nd="1">
                <p n="[Monthly Calendar Outcome Date].[Financial].[Quarter].&amp;[Q1]&amp;[2001-02]"/>
                <p n="[Monthly Calendar Outcome Date].[Financial].[Year].&amp;[2001-02]"/>
              </i>
              <i n="[Monthly Calendar Outcome Date].[Financial].[Month Name].&amp;[July]&amp;[2001-02]" c="July" nd="1">
                <p n="[Monthly Calendar Outcome Date].[Financial].[Quarter].&amp;[Q2]&amp;[2001-02]"/>
                <p n="[Monthly Calendar Outcome Date].[Financial].[Year].&amp;[2001-02]"/>
              </i>
              <i n="[Monthly Calendar Outcome Date].[Financial].[Month Name].&amp;[August]&amp;[2001-02]" c="August" nd="1">
                <p n="[Monthly Calendar Outcome Date].[Financial].[Quarter].&amp;[Q2]&amp;[2001-02]"/>
                <p n="[Monthly Calendar Outcome Date].[Financial].[Year].&amp;[2001-02]"/>
              </i>
              <i n="[Monthly Calendar Outcome Date].[Financial].[Month Name].&amp;[September]&amp;[2001-02]" c="September" nd="1">
                <p n="[Monthly Calendar Outcome Date].[Financial].[Quarter].&amp;[Q2]&amp;[2001-02]"/>
                <p n="[Monthly Calendar Outcome Date].[Financial].[Year].&amp;[2001-02]"/>
              </i>
              <i n="[Monthly Calendar Outcome Date].[Financial].[Month Name].&amp;[October]&amp;[2001-02]" c="October" nd="1">
                <p n="[Monthly Calendar Outcome Date].[Financial].[Quarter].&amp;[Q3]&amp;[2001-02]"/>
                <p n="[Monthly Calendar Outcome Date].[Financial].[Year].&amp;[2001-02]"/>
              </i>
              <i n="[Monthly Calendar Outcome Date].[Financial].[Month Name].&amp;[November]&amp;[2001-02]" c="November" nd="1">
                <p n="[Monthly Calendar Outcome Date].[Financial].[Quarter].&amp;[Q3]&amp;[2001-02]"/>
                <p n="[Monthly Calendar Outcome Date].[Financial].[Year].&amp;[2001-02]"/>
              </i>
              <i n="[Monthly Calendar Outcome Date].[Financial].[Month Name].&amp;[December]&amp;[2001-02]" c="December" nd="1">
                <p n="[Monthly Calendar Outcome Date].[Financial].[Quarter].&amp;[Q3]&amp;[2001-02]"/>
                <p n="[Monthly Calendar Outcome Date].[Financial].[Year].&amp;[2001-02]"/>
              </i>
              <i n="[Monthly Calendar Outcome Date].[Financial].[Month Name].&amp;[January]&amp;[2001-02]" c="January" nd="1">
                <p n="[Monthly Calendar Outcome Date].[Financial].[Quarter].&amp;[Q4]&amp;[2001-02]"/>
                <p n="[Monthly Calendar Outcome Date].[Financial].[Year].&amp;[2001-02]"/>
              </i>
              <i n="[Monthly Calendar Outcome Date].[Financial].[Month Name].&amp;[February]&amp;[2001-02]" c="February" nd="1">
                <p n="[Monthly Calendar Outcome Date].[Financial].[Quarter].&amp;[Q4]&amp;[2001-02]"/>
                <p n="[Monthly Calendar Outcome Date].[Financial].[Year].&amp;[2001-02]"/>
              </i>
              <i n="[Monthly Calendar Outcome Date].[Financial].[Month Name].&amp;[March]&amp;[2001-02]" c="March" nd="1">
                <p n="[Monthly Calendar Outcome Date].[Financial].[Quarter].&amp;[Q4]&amp;[2001-02]"/>
                <p n="[Monthly Calendar Outcome Date].[Financial].[Year].&amp;[2001-02]"/>
              </i>
              <i n="[Monthly Calendar Outcome Date].[Financial].[Month Name].&amp;[April]&amp;[2002-03]" c="April" nd="1">
                <p n="[Monthly Calendar Outcome Date].[Financial].[Quarter].&amp;[Q1]&amp;[2002-03]"/>
                <p n="[Monthly Calendar Outcome Date].[Financial].[Year].&amp;[2002-03]"/>
              </i>
              <i n="[Monthly Calendar Outcome Date].[Financial].[Month Name].&amp;[May]&amp;[2002-03]" c="May" nd="1">
                <p n="[Monthly Calendar Outcome Date].[Financial].[Quarter].&amp;[Q1]&amp;[2002-03]"/>
                <p n="[Monthly Calendar Outcome Date].[Financial].[Year].&amp;[2002-03]"/>
              </i>
              <i n="[Monthly Calendar Outcome Date].[Financial].[Month Name].&amp;[June]&amp;[2002-03]" c="June" nd="1">
                <p n="[Monthly Calendar Outcome Date].[Financial].[Quarter].&amp;[Q1]&amp;[2002-03]"/>
                <p n="[Monthly Calendar Outcome Date].[Financial].[Year].&amp;[2002-03]"/>
              </i>
              <i n="[Monthly Calendar Outcome Date].[Financial].[Month Name].&amp;[July]&amp;[2002-03]" c="July" nd="1">
                <p n="[Monthly Calendar Outcome Date].[Financial].[Quarter].&amp;[Q2]&amp;[2002-03]"/>
                <p n="[Monthly Calendar Outcome Date].[Financial].[Year].&amp;[2002-03]"/>
              </i>
              <i n="[Monthly Calendar Outcome Date].[Financial].[Month Name].&amp;[August]&amp;[2002-03]" c="August" nd="1">
                <p n="[Monthly Calendar Outcome Date].[Financial].[Quarter].&amp;[Q2]&amp;[2002-03]"/>
                <p n="[Monthly Calendar Outcome Date].[Financial].[Year].&amp;[2002-03]"/>
              </i>
              <i n="[Monthly Calendar Outcome Date].[Financial].[Month Name].&amp;[September]&amp;[2002-03]" c="September" nd="1">
                <p n="[Monthly Calendar Outcome Date].[Financial].[Quarter].&amp;[Q2]&amp;[2002-03]"/>
                <p n="[Monthly Calendar Outcome Date].[Financial].[Year].&amp;[2002-03]"/>
              </i>
              <i n="[Monthly Calendar Outcome Date].[Financial].[Month Name].&amp;[October]&amp;[2002-03]" c="October" nd="1">
                <p n="[Monthly Calendar Outcome Date].[Financial].[Quarter].&amp;[Q3]&amp;[2002-03]"/>
                <p n="[Monthly Calendar Outcome Date].[Financial].[Year].&amp;[2002-03]"/>
              </i>
              <i n="[Monthly Calendar Outcome Date].[Financial].[Month Name].&amp;[November]&amp;[2002-03]" c="November" nd="1">
                <p n="[Monthly Calendar Outcome Date].[Financial].[Quarter].&amp;[Q3]&amp;[2002-03]"/>
                <p n="[Monthly Calendar Outcome Date].[Financial].[Year].&amp;[2002-03]"/>
              </i>
              <i n="[Monthly Calendar Outcome Date].[Financial].[Month Name].&amp;[January]&amp;[2002-03]" c="January" nd="1">
                <p n="[Monthly Calendar Outcome Date].[Financial].[Quarter].&amp;[Q4]&amp;[2002-03]"/>
                <p n="[Monthly Calendar Outcome Date].[Financial].[Year].&amp;[2002-03]"/>
              </i>
              <i n="[Monthly Calendar Outcome Date].[Financial].[Month Name].&amp;[February]&amp;[2002-03]" c="February" nd="1">
                <p n="[Monthly Calendar Outcome Date].[Financial].[Quarter].&amp;[Q4]&amp;[2002-03]"/>
                <p n="[Monthly Calendar Outcome Date].[Financial].[Year].&amp;[2002-03]"/>
              </i>
              <i n="[Monthly Calendar Outcome Date].[Financial].[Month Name].&amp;[March]&amp;[2002-03]" c="March" nd="1">
                <p n="[Monthly Calendar Outcome Date].[Financial].[Quarter].&amp;[Q4]&amp;[2002-03]"/>
                <p n="[Monthly Calendar Outcome Date].[Financial].[Year].&amp;[2002-03]"/>
              </i>
              <i n="[Monthly Calendar Outcome Date].[Financial].[Month Name].&amp;[April]&amp;[2003-04]" c="April" nd="1">
                <p n="[Monthly Calendar Outcome Date].[Financial].[Quarter].&amp;[Q1]&amp;[2003-04]"/>
                <p n="[Monthly Calendar Outcome Date].[Financial].[Year].&amp;[2003-04]"/>
              </i>
              <i n="[Monthly Calendar Outcome Date].[Financial].[Month Name].&amp;[May]&amp;[2003-04]" c="May" nd="1">
                <p n="[Monthly Calendar Outcome Date].[Financial].[Quarter].&amp;[Q1]&amp;[2003-04]"/>
                <p n="[Monthly Calendar Outcome Date].[Financial].[Year].&amp;[2003-04]"/>
              </i>
              <i n="[Monthly Calendar Outcome Date].[Financial].[Month Name].&amp;[June]&amp;[2003-04]" c="June" nd="1">
                <p n="[Monthly Calendar Outcome Date].[Financial].[Quarter].&amp;[Q1]&amp;[2003-04]"/>
                <p n="[Monthly Calendar Outcome Date].[Financial].[Year].&amp;[2003-04]"/>
              </i>
              <i n="[Monthly Calendar Outcome Date].[Financial].[Month Name].&amp;[July]&amp;[2003-04]" c="July" nd="1">
                <p n="[Monthly Calendar Outcome Date].[Financial].[Quarter].&amp;[Q2]&amp;[2003-04]"/>
                <p n="[Monthly Calendar Outcome Date].[Financial].[Year].&amp;[2003-04]"/>
              </i>
              <i n="[Monthly Calendar Outcome Date].[Financial].[Month Name].&amp;[August]&amp;[2003-04]" c="August" nd="1">
                <p n="[Monthly Calendar Outcome Date].[Financial].[Quarter].&amp;[Q2]&amp;[2003-04]"/>
                <p n="[Monthly Calendar Outcome Date].[Financial].[Year].&amp;[2003-04]"/>
              </i>
              <i n="[Monthly Calendar Outcome Date].[Financial].[Month Name].&amp;[September]&amp;[2003-04]" c="September" nd="1">
                <p n="[Monthly Calendar Outcome Date].[Financial].[Quarter].&amp;[Q2]&amp;[2003-04]"/>
                <p n="[Monthly Calendar Outcome Date].[Financial].[Year].&amp;[2003-04]"/>
              </i>
              <i n="[Monthly Calendar Outcome Date].[Financial].[Month Name].&amp;[October]&amp;[2003-04]" c="October" nd="1">
                <p n="[Monthly Calendar Outcome Date].[Financial].[Quarter].&amp;[Q3]&amp;[2003-04]"/>
                <p n="[Monthly Calendar Outcome Date].[Financial].[Year].&amp;[2003-04]"/>
              </i>
              <i n="[Monthly Calendar Outcome Date].[Financial].[Month Name].&amp;[December]&amp;[2003-04]" c="December" nd="1">
                <p n="[Monthly Calendar Outcome Date].[Financial].[Quarter].&amp;[Q3]&amp;[2003-04]"/>
                <p n="[Monthly Calendar Outcome Date].[Financial].[Year].&amp;[2003-04]"/>
              </i>
              <i n="[Monthly Calendar Outcome Date].[Financial].[Month Name].&amp;[January]&amp;[2003-04]" c="January" nd="1">
                <p n="[Monthly Calendar Outcome Date].[Financial].[Quarter].&amp;[Q4]&amp;[2003-04]"/>
                <p n="[Monthly Calendar Outcome Date].[Financial].[Year].&amp;[2003-04]"/>
              </i>
              <i n="[Monthly Calendar Outcome Date].[Financial].[Month Name].&amp;[February]&amp;[2003-04]" c="February" nd="1">
                <p n="[Monthly Calendar Outcome Date].[Financial].[Quarter].&amp;[Q4]&amp;[2003-04]"/>
                <p n="[Monthly Calendar Outcome Date].[Financial].[Year].&amp;[2003-04]"/>
              </i>
              <i n="[Monthly Calendar Outcome Date].[Financial].[Month Name].&amp;[March]&amp;[2003-04]" c="March" nd="1">
                <p n="[Monthly Calendar Outcome Date].[Financial].[Quarter].&amp;[Q4]&amp;[2003-04]"/>
                <p n="[Monthly Calendar Outcome Date].[Financial].[Year].&amp;[2003-04]"/>
              </i>
              <i n="[Monthly Calendar Outcome Date].[Financial].[Month Name].&amp;[May]&amp;[2004-05]" c="May" nd="1">
                <p n="[Monthly Calendar Outcome Date].[Financial].[Quarter].&amp;[Q1]&amp;[2004-05]"/>
                <p n="[Monthly Calendar Outcome Date].[Financial].[Year].&amp;[2004-05]"/>
              </i>
              <i n="[Monthly Calendar Outcome Date].[Financial].[Month Name].&amp;[June]&amp;[2004-05]" c="June" nd="1">
                <p n="[Monthly Calendar Outcome Date].[Financial].[Quarter].&amp;[Q1]&amp;[2004-05]"/>
                <p n="[Monthly Calendar Outcome Date].[Financial].[Year].&amp;[2004-05]"/>
              </i>
              <i n="[Monthly Calendar Outcome Date].[Financial].[Month Name].&amp;[July]&amp;[2004-05]" c="July" nd="1">
                <p n="[Monthly Calendar Outcome Date].[Financial].[Quarter].&amp;[Q2]&amp;[2004-05]"/>
                <p n="[Monthly Calendar Outcome Date].[Financial].[Year].&amp;[2004-05]"/>
              </i>
              <i n="[Monthly Calendar Outcome Date].[Financial].[Month Name].&amp;[September]&amp;[2004-05]" c="September" nd="1">
                <p n="[Monthly Calendar Outcome Date].[Financial].[Quarter].&amp;[Q2]&amp;[2004-05]"/>
                <p n="[Monthly Calendar Outcome Date].[Financial].[Year].&amp;[2004-05]"/>
              </i>
              <i n="[Monthly Calendar Outcome Date].[Financial].[Month Name].&amp;[October]&amp;[2004-05]" c="October" nd="1">
                <p n="[Monthly Calendar Outcome Date].[Financial].[Quarter].&amp;[Q3]&amp;[2004-05]"/>
                <p n="[Monthly Calendar Outcome Date].[Financial].[Year].&amp;[2004-05]"/>
              </i>
              <i n="[Monthly Calendar Outcome Date].[Financial].[Month Name].&amp;[November]&amp;[2004-05]" c="November" nd="1">
                <p n="[Monthly Calendar Outcome Date].[Financial].[Quarter].&amp;[Q3]&amp;[2004-05]"/>
                <p n="[Monthly Calendar Outcome Date].[Financial].[Year].&amp;[2004-05]"/>
              </i>
              <i n="[Monthly Calendar Outcome Date].[Financial].[Month Name].&amp;[December]&amp;[2004-05]" c="December" nd="1">
                <p n="[Monthly Calendar Outcome Date].[Financial].[Quarter].&amp;[Q3]&amp;[2004-05]"/>
                <p n="[Monthly Calendar Outcome Date].[Financial].[Year].&amp;[2004-05]"/>
              </i>
              <i n="[Monthly Calendar Outcome Date].[Financial].[Month Name].&amp;[February]&amp;[2004-05]" c="February" nd="1">
                <p n="[Monthly Calendar Outcome Date].[Financial].[Quarter].&amp;[Q4]&amp;[2004-05]"/>
                <p n="[Monthly Calendar Outcome Date].[Financial].[Year].&amp;[2004-05]"/>
              </i>
              <i n="[Monthly Calendar Outcome Date].[Financial].[Month Name].&amp;[March]&amp;[2004-05]" c="March" nd="1">
                <p n="[Monthly Calendar Outcome Date].[Financial].[Quarter].&amp;[Q4]&amp;[2004-05]"/>
                <p n="[Monthly Calendar Outcome Date].[Financial].[Year].&amp;[2004-05]"/>
              </i>
              <i n="[Monthly Calendar Outcome Date].[Financial].[Month Name].&amp;[April]&amp;[2005-06]" c="April" nd="1">
                <p n="[Monthly Calendar Outcome Date].[Financial].[Quarter].&amp;[Q1]&amp;[2005-06]"/>
                <p n="[Monthly Calendar Outcome Date].[Financial].[Year].&amp;[2005-06]"/>
              </i>
              <i n="[Monthly Calendar Outcome Date].[Financial].[Month Name].&amp;[May]&amp;[2005-06]" c="May" nd="1">
                <p n="[Monthly Calendar Outcome Date].[Financial].[Quarter].&amp;[Q1]&amp;[2005-06]"/>
                <p n="[Monthly Calendar Outcome Date].[Financial].[Year].&amp;[2005-06]"/>
              </i>
              <i n="[Monthly Calendar Outcome Date].[Financial].[Month Name].&amp;[October]&amp;[2005-06]" c="October" nd="1">
                <p n="[Monthly Calendar Outcome Date].[Financial].[Quarter].&amp;[Q3]&amp;[2005-06]"/>
                <p n="[Monthly Calendar Outcome Date].[Financial].[Year].&amp;[2005-06]"/>
              </i>
              <i n="[Monthly Calendar Outcome Date].[Financial].[Month Name].&amp;[November]&amp;[2005-06]" c="November" nd="1">
                <p n="[Monthly Calendar Outcome Date].[Financial].[Quarter].&amp;[Q3]&amp;[2005-06]"/>
                <p n="[Monthly Calendar Outcome Date].[Financial].[Year].&amp;[2005-06]"/>
              </i>
              <i n="[Monthly Calendar Outcome Date].[Financial].[Month Name].&amp;[December]&amp;[2005-06]" c="December" nd="1">
                <p n="[Monthly Calendar Outcome Date].[Financial].[Quarter].&amp;[Q3]&amp;[2005-06]"/>
                <p n="[Monthly Calendar Outcome Date].[Financial].[Year].&amp;[2005-06]"/>
              </i>
              <i n="[Monthly Calendar Outcome Date].[Financial].[Month Name].&amp;[January]&amp;[2005-06]" c="January" nd="1">
                <p n="[Monthly Calendar Outcome Date].[Financial].[Quarter].&amp;[Q4]&amp;[2005-06]"/>
                <p n="[Monthly Calendar Outcome Date].[Financial].[Year].&amp;[2005-06]"/>
              </i>
              <i n="[Monthly Calendar Outcome Date].[Financial].[Month Name].&amp;[February]&amp;[2005-06]" c="February" nd="1">
                <p n="[Monthly Calendar Outcome Date].[Financial].[Quarter].&amp;[Q4]&amp;[2005-06]"/>
                <p n="[Monthly Calendar Outcome Date].[Financial].[Year].&amp;[2005-06]"/>
              </i>
              <i n="[Monthly Calendar Outcome Date].[Financial].[Month Name].&amp;[March]&amp;[2005-06]" c="March" nd="1">
                <p n="[Monthly Calendar Outcome Date].[Financial].[Quarter].&amp;[Q4]&amp;[2005-06]"/>
                <p n="[Monthly Calendar Outcome Date].[Financial].[Year].&amp;[2005-06]"/>
              </i>
              <i n="[Monthly Calendar Outcome Date].[Financial].[Month Name].&amp;[April]&amp;[2006-07]" c="April" nd="1">
                <p n="[Monthly Calendar Outcome Date].[Financial].[Quarter].&amp;[Q1]&amp;[2006-07]"/>
                <p n="[Monthly Calendar Outcome Date].[Financial].[Year].&amp;[2006-07]"/>
              </i>
              <i n="[Monthly Calendar Outcome Date].[Financial].[Month Name].&amp;[May]&amp;[2006-07]" c="May" nd="1">
                <p n="[Monthly Calendar Outcome Date].[Financial].[Quarter].&amp;[Q1]&amp;[2006-07]"/>
                <p n="[Monthly Calendar Outcome Date].[Financial].[Year].&amp;[2006-07]"/>
              </i>
              <i n="[Monthly Calendar Outcome Date].[Financial].[Month Name].&amp;[June]&amp;[2006-07]" c="June" nd="1">
                <p n="[Monthly Calendar Outcome Date].[Financial].[Quarter].&amp;[Q1]&amp;[2006-07]"/>
                <p n="[Monthly Calendar Outcome Date].[Financial].[Year].&amp;[2006-07]"/>
              </i>
              <i n="[Monthly Calendar Outcome Date].[Financial].[Month Name].&amp;[July]&amp;[2006-07]" c="July" nd="1">
                <p n="[Monthly Calendar Outcome Date].[Financial].[Quarter].&amp;[Q2]&amp;[2006-07]"/>
                <p n="[Monthly Calendar Outcome Date].[Financial].[Year].&amp;[2006-07]"/>
              </i>
              <i n="[Monthly Calendar Outcome Date].[Financial].[Month Name].&amp;[August]&amp;[2006-07]" c="August" nd="1">
                <p n="[Monthly Calendar Outcome Date].[Financial].[Quarter].&amp;[Q2]&amp;[2006-07]"/>
                <p n="[Monthly Calendar Outcome Date].[Financial].[Year].&amp;[2006-07]"/>
              </i>
              <i n="[Monthly Calendar Outcome Date].[Financial].[Month Name].&amp;[September]&amp;[2006-07]" c="September" nd="1">
                <p n="[Monthly Calendar Outcome Date].[Financial].[Quarter].&amp;[Q2]&amp;[2006-07]"/>
                <p n="[Monthly Calendar Outcome Date].[Financial].[Year].&amp;[2006-07]"/>
              </i>
              <i n="[Monthly Calendar Outcome Date].[Financial].[Month Name].&amp;[October]&amp;[2006-07]" c="October" nd="1">
                <p n="[Monthly Calendar Outcome Date].[Financial].[Quarter].&amp;[Q3]&amp;[2006-07]"/>
                <p n="[Monthly Calendar Outcome Date].[Financial].[Year].&amp;[2006-07]"/>
              </i>
              <i n="[Monthly Calendar Outcome Date].[Financial].[Month Name].&amp;[November]&amp;[2006-07]" c="November" nd="1">
                <p n="[Monthly Calendar Outcome Date].[Financial].[Quarter].&amp;[Q3]&amp;[2006-07]"/>
                <p n="[Monthly Calendar Outcome Date].[Financial].[Year].&amp;[2006-07]"/>
              </i>
              <i n="[Monthly Calendar Outcome Date].[Financial].[Month Name].&amp;[December]&amp;[2006-07]" c="December" nd="1">
                <p n="[Monthly Calendar Outcome Date].[Financial].[Quarter].&amp;[Q3]&amp;[2006-07]"/>
                <p n="[Monthly Calendar Outcome Date].[Financial].[Year].&amp;[2006-07]"/>
              </i>
              <i n="[Monthly Calendar Outcome Date].[Financial].[Month Name].&amp;[January]&amp;[2006-07]" c="January" nd="1">
                <p n="[Monthly Calendar Outcome Date].[Financial].[Quarter].&amp;[Q4]&amp;[2006-07]"/>
                <p n="[Monthly Calendar Outcome Date].[Financial].[Year].&amp;[2006-07]"/>
              </i>
              <i n="[Monthly Calendar Outcome Date].[Financial].[Month Name].&amp;[February]&amp;[2006-07]" c="February" nd="1">
                <p n="[Monthly Calendar Outcome Date].[Financial].[Quarter].&amp;[Q4]&amp;[2006-07]"/>
                <p n="[Monthly Calendar Outcome Date].[Financial].[Year].&amp;[2006-07]"/>
              </i>
              <i n="[Monthly Calendar Outcome Date].[Financial].[Month Name].&amp;[March]&amp;[2006-07]" c="March" nd="1">
                <p n="[Monthly Calendar Outcome Date].[Financial].[Quarter].&amp;[Q4]&amp;[2006-07]"/>
                <p n="[Monthly Calendar Outcome Date].[Financial].[Year].&amp;[2006-07]"/>
              </i>
              <i n="[Monthly Calendar Outcome Date].[Financial].[Month Name].&amp;[April]&amp;[2007-08]" c="April" nd="1">
                <p n="[Monthly Calendar Outcome Date].[Financial].[Quarter].&amp;[Q1]&amp;[2007-08]"/>
                <p n="[Monthly Calendar Outcome Date].[Financial].[Year].&amp;[2007-08]"/>
              </i>
              <i n="[Monthly Calendar Outcome Date].[Financial].[Month Name].&amp;[May]&amp;[2007-08]" c="May" nd="1">
                <p n="[Monthly Calendar Outcome Date].[Financial].[Quarter].&amp;[Q1]&amp;[2007-08]"/>
                <p n="[Monthly Calendar Outcome Date].[Financial].[Year].&amp;[2007-08]"/>
              </i>
              <i n="[Monthly Calendar Outcome Date].[Financial].[Month Name].&amp;[June]&amp;[2007-08]" c="June" nd="1">
                <p n="[Monthly Calendar Outcome Date].[Financial].[Quarter].&amp;[Q1]&amp;[2007-08]"/>
                <p n="[Monthly Calendar Outcome Date].[Financial].[Year].&amp;[2007-08]"/>
              </i>
              <i n="[Monthly Calendar Outcome Date].[Financial].[Month Name].&amp;[August]&amp;[2007-08]" c="August" nd="1">
                <p n="[Monthly Calendar Outcome Date].[Financial].[Quarter].&amp;[Q2]&amp;[2007-08]"/>
                <p n="[Monthly Calendar Outcome Date].[Financial].[Year].&amp;[2007-08]"/>
              </i>
              <i n="[Monthly Calendar Outcome Date].[Financial].[Month Name].&amp;[September]&amp;[2007-08]" c="September" nd="1">
                <p n="[Monthly Calendar Outcome Date].[Financial].[Quarter].&amp;[Q2]&amp;[2007-08]"/>
                <p n="[Monthly Calendar Outcome Date].[Financial].[Year].&amp;[2007-08]"/>
              </i>
              <i n="[Monthly Calendar Outcome Date].[Financial].[Month Name].&amp;[October]&amp;[2007-08]" c="October" nd="1">
                <p n="[Monthly Calendar Outcome Date].[Financial].[Quarter].&amp;[Q3]&amp;[2007-08]"/>
                <p n="[Monthly Calendar Outcome Date].[Financial].[Year].&amp;[2007-08]"/>
              </i>
              <i n="[Monthly Calendar Outcome Date].[Financial].[Month Name].&amp;[November]&amp;[2007-08]" c="November" nd="1">
                <p n="[Monthly Calendar Outcome Date].[Financial].[Quarter].&amp;[Q3]&amp;[2007-08]"/>
                <p n="[Monthly Calendar Outcome Date].[Financial].[Year].&amp;[2007-08]"/>
              </i>
              <i n="[Monthly Calendar Outcome Date].[Financial].[Month Name].&amp;[December]&amp;[2007-08]" c="December" nd="1">
                <p n="[Monthly Calendar Outcome Date].[Financial].[Quarter].&amp;[Q3]&amp;[2007-08]"/>
                <p n="[Monthly Calendar Outcome Date].[Financial].[Year].&amp;[2007-08]"/>
              </i>
              <i n="[Monthly Calendar Outcome Date].[Financial].[Month Name].&amp;[February]&amp;[2007-08]" c="February" nd="1">
                <p n="[Monthly Calendar Outcome Date].[Financial].[Quarter].&amp;[Q4]&amp;[2007-08]"/>
                <p n="[Monthly Calendar Outcome Date].[Financial].[Year].&amp;[2007-08]"/>
              </i>
              <i n="[Monthly Calendar Outcome Date].[Financial].[Month Name].&amp;[March]&amp;[2007-08]" c="March" nd="1">
                <p n="[Monthly Calendar Outcome Date].[Financial].[Quarter].&amp;[Q4]&amp;[2007-08]"/>
                <p n="[Monthly Calendar Outcome Date].[Financial].[Year].&amp;[2007-08]"/>
              </i>
              <i n="[Monthly Calendar Outcome Date].[Financial].[Month Name].&amp;[April]&amp;[2008-09]" c="April" nd="1">
                <p n="[Monthly Calendar Outcome Date].[Financial].[Quarter].&amp;[Q1]&amp;[2008-09]"/>
                <p n="[Monthly Calendar Outcome Date].[Financial].[Year].&amp;[2008-09]"/>
              </i>
              <i n="[Monthly Calendar Outcome Date].[Financial].[Month Name].&amp;[May]&amp;[2008-09]" c="May" nd="1">
                <p n="[Monthly Calendar Outcome Date].[Financial].[Quarter].&amp;[Q1]&amp;[2008-09]"/>
                <p n="[Monthly Calendar Outcome Date].[Financial].[Year].&amp;[2008-09]"/>
              </i>
              <i n="[Monthly Calendar Outcome Date].[Financial].[Month Name].&amp;[June]&amp;[2008-09]" c="June" nd="1">
                <p n="[Monthly Calendar Outcome Date].[Financial].[Quarter].&amp;[Q1]&amp;[2008-09]"/>
                <p n="[Monthly Calendar Outcome Date].[Financial].[Year].&amp;[2008-09]"/>
              </i>
              <i n="[Monthly Calendar Outcome Date].[Financial].[Month Name].&amp;[July]&amp;[2008-09]" c="July" nd="1">
                <p n="[Monthly Calendar Outcome Date].[Financial].[Quarter].&amp;[Q2]&amp;[2008-09]"/>
                <p n="[Monthly Calendar Outcome Date].[Financial].[Year].&amp;[2008-09]"/>
              </i>
              <i n="[Monthly Calendar Outcome Date].[Financial].[Month Name].&amp;[August]&amp;[2008-09]" c="August" nd="1">
                <p n="[Monthly Calendar Outcome Date].[Financial].[Quarter].&amp;[Q2]&amp;[2008-09]"/>
                <p n="[Monthly Calendar Outcome Date].[Financial].[Year].&amp;[2008-09]"/>
              </i>
              <i n="[Monthly Calendar Outcome Date].[Financial].[Month Name].&amp;[September]&amp;[2008-09]" c="September" nd="1">
                <p n="[Monthly Calendar Outcome Date].[Financial].[Quarter].&amp;[Q2]&amp;[2008-09]"/>
                <p n="[Monthly Calendar Outcome Date].[Financial].[Year].&amp;[2008-09]"/>
              </i>
              <i n="[Monthly Calendar Outcome Date].[Financial].[Month Name].&amp;[October]&amp;[2008-09]" c="October" nd="1">
                <p n="[Monthly Calendar Outcome Date].[Financial].[Quarter].&amp;[Q3]&amp;[2008-09]"/>
                <p n="[Monthly Calendar Outcome Date].[Financial].[Year].&amp;[2008-09]"/>
              </i>
              <i n="[Monthly Calendar Outcome Date].[Financial].[Month Name].&amp;[November]&amp;[2008-09]" c="November" nd="1">
                <p n="[Monthly Calendar Outcome Date].[Financial].[Quarter].&amp;[Q3]&amp;[2008-09]"/>
                <p n="[Monthly Calendar Outcome Date].[Financial].[Year].&amp;[2008-09]"/>
              </i>
              <i n="[Monthly Calendar Outcome Date].[Financial].[Month Name].&amp;[December]&amp;[2008-09]" c="December" nd="1">
                <p n="[Monthly Calendar Outcome Date].[Financial].[Quarter].&amp;[Q3]&amp;[2008-09]"/>
                <p n="[Monthly Calendar Outcome Date].[Financial].[Year].&amp;[2008-09]"/>
              </i>
              <i n="[Monthly Calendar Outcome Date].[Financial].[Month Name].&amp;[March]&amp;[2008-09]" c="March" nd="1">
                <p n="[Monthly Calendar Outcome Date].[Financial].[Quarter].&amp;[Q4]&amp;[2008-09]"/>
                <p n="[Monthly Calendar Outcome Date].[Financial].[Year].&amp;[2008-09]"/>
              </i>
              <i n="[Monthly Calendar Outcome Date].[Financial].[Month Name].&amp;[May]&amp;[2009-10]" c="May" nd="1">
                <p n="[Monthly Calendar Outcome Date].[Financial].[Quarter].&amp;[Q1]&amp;[2009-10]"/>
                <p n="[Monthly Calendar Outcome Date].[Financial].[Year].&amp;[2009-10]"/>
              </i>
              <i n="[Monthly Calendar Outcome Date].[Financial].[Month Name].&amp;[July]&amp;[2009-10]" c="July" nd="1">
                <p n="[Monthly Calendar Outcome Date].[Financial].[Quarter].&amp;[Q2]&amp;[2009-10]"/>
                <p n="[Monthly Calendar Outcome Date].[Financial].[Year].&amp;[2009-10]"/>
              </i>
              <i n="[Monthly Calendar Outcome Date].[Financial].[Month Name].&amp;[August]&amp;[2009-10]" c="August" nd="1">
                <p n="[Monthly Calendar Outcome Date].[Financial].[Quarter].&amp;[Q2]&amp;[2009-10]"/>
                <p n="[Monthly Calendar Outcome Date].[Financial].[Year].&amp;[2009-10]"/>
              </i>
              <i n="[Monthly Calendar Outcome Date].[Financial].[Month Name].&amp;[September]&amp;[2009-10]" c="September" nd="1">
                <p n="[Monthly Calendar Outcome Date].[Financial].[Quarter].&amp;[Q2]&amp;[2009-10]"/>
                <p n="[Monthly Calendar Outcome Date].[Financial].[Year].&amp;[2009-10]"/>
              </i>
              <i n="[Monthly Calendar Outcome Date].[Financial].[Month Name].&amp;[October]&amp;[2009-10]" c="October" nd="1">
                <p n="[Monthly Calendar Outcome Date].[Financial].[Quarter].&amp;[Q3]&amp;[2009-10]"/>
                <p n="[Monthly Calendar Outcome Date].[Financial].[Year].&amp;[2009-10]"/>
              </i>
              <i n="[Monthly Calendar Outcome Date].[Financial].[Month Name].&amp;[December]&amp;[2009-10]" c="December" nd="1">
                <p n="[Monthly Calendar Outcome Date].[Financial].[Quarter].&amp;[Q3]&amp;[2009-10]"/>
                <p n="[Monthly Calendar Outcome Date].[Financial].[Year].&amp;[2009-10]"/>
              </i>
              <i n="[Monthly Calendar Outcome Date].[Financial].[Month Name].&amp;[March]&amp;[2009-10]" c="March" nd="1">
                <p n="[Monthly Calendar Outcome Date].[Financial].[Quarter].&amp;[Q4]&amp;[2009-10]"/>
                <p n="[Monthly Calendar Outcome Date].[Financial].[Year].&amp;[2009-10]"/>
              </i>
              <i n="[Monthly Calendar Outcome Date].[Financial].[Month Name].&amp;[April]&amp;[2010-11]" c="April" nd="1">
                <p n="[Monthly Calendar Outcome Date].[Financial].[Quarter].&amp;[Q1]&amp;[2010-11]"/>
                <p n="[Monthly Calendar Outcome Date].[Financial].[Year].&amp;[2010-11]"/>
              </i>
              <i n="[Monthly Calendar Outcome Date].[Financial].[Month Name].&amp;[May]&amp;[2010-11]" c="May" nd="1">
                <p n="[Monthly Calendar Outcome Date].[Financial].[Quarter].&amp;[Q1]&amp;[2010-11]"/>
                <p n="[Monthly Calendar Outcome Date].[Financial].[Year].&amp;[2010-11]"/>
              </i>
              <i n="[Monthly Calendar Outcome Date].[Financial].[Month Name].&amp;[June]&amp;[2010-11]" c="June" nd="1">
                <p n="[Monthly Calendar Outcome Date].[Financial].[Quarter].&amp;[Q1]&amp;[2010-11]"/>
                <p n="[Monthly Calendar Outcome Date].[Financial].[Year].&amp;[2010-11]"/>
              </i>
              <i n="[Monthly Calendar Outcome Date].[Financial].[Month Name].&amp;[September]&amp;[2010-11]" c="September" nd="1">
                <p n="[Monthly Calendar Outcome Date].[Financial].[Quarter].&amp;[Q2]&amp;[2010-11]"/>
                <p n="[Monthly Calendar Outcome Date].[Financial].[Year].&amp;[2010-11]"/>
              </i>
              <i n="[Monthly Calendar Outcome Date].[Financial].[Month Name].&amp;[October]&amp;[2010-11]" c="October" nd="1">
                <p n="[Monthly Calendar Outcome Date].[Financial].[Quarter].&amp;[Q3]&amp;[2010-11]"/>
                <p n="[Monthly Calendar Outcome Date].[Financial].[Year].&amp;[2010-11]"/>
              </i>
              <i n="[Monthly Calendar Outcome Date].[Financial].[Month Name].&amp;[November]&amp;[2010-11]" c="November" nd="1">
                <p n="[Monthly Calendar Outcome Date].[Financial].[Quarter].&amp;[Q3]&amp;[2010-11]"/>
                <p n="[Monthly Calendar Outcome Date].[Financial].[Year].&amp;[2010-11]"/>
              </i>
              <i n="[Monthly Calendar Outcome Date].[Financial].[Month Name].&amp;[February]&amp;[2010-11]" c="February" nd="1">
                <p n="[Monthly Calendar Outcome Date].[Financial].[Quarter].&amp;[Q4]&amp;[2010-11]"/>
                <p n="[Monthly Calendar Outcome Date].[Financial].[Year].&amp;[2010-11]"/>
              </i>
              <i n="[Monthly Calendar Outcome Date].[Financial].[Month Name].&amp;[March]&amp;[2010-11]" c="March" nd="1">
                <p n="[Monthly Calendar Outcome Date].[Financial].[Quarter].&amp;[Q4]&amp;[2010-11]"/>
                <p n="[Monthly Calendar Outcome Date].[Financial].[Year].&amp;[2010-11]"/>
              </i>
              <i n="[Monthly Calendar Outcome Date].[Financial].[Month Name].&amp;[April]&amp;[2011-12]" c="April" nd="1">
                <p n="[Monthly Calendar Outcome Date].[Financial].[Quarter].&amp;[Q1]&amp;[2011-12]"/>
                <p n="[Monthly Calendar Outcome Date].[Financial].[Year].&amp;[2011-12]"/>
              </i>
              <i n="[Monthly Calendar Outcome Date].[Financial].[Month Name].&amp;[April]&amp;[2017-18]" c="April" nd="1">
                <p n="[Monthly Calendar Outcome Date].[Financial].[Quarter].&amp;[Q1]&amp;[2017-18]"/>
                <p n="[Monthly Calendar Outcome Date].[Financial].[Year].&amp;[2017-18]"/>
              </i>
              <i n="[Monthly Calendar Outcome Date].[Financial].[Month Name].&amp;[May]&amp;[2017-18]" c="May" nd="1">
                <p n="[Monthly Calendar Outcome Date].[Financial].[Quarter].&amp;[Q1]&amp;[2017-18]"/>
                <p n="[Monthly Calendar Outcome Date].[Financial].[Year].&amp;[2017-18]"/>
              </i>
              <i n="[Monthly Calendar Outcome Date].[Financial].[Month Name].&amp;[June]&amp;[2017-18]" c="June" nd="1">
                <p n="[Monthly Calendar Outcome Date].[Financial].[Quarter].&amp;[Q1]&amp;[2017-18]"/>
                <p n="[Monthly Calendar Outcome Date].[Financial].[Year].&amp;[2017-18]"/>
              </i>
              <i n="[Monthly Calendar Outcome Date].[Financial].[Month Name].&amp;[July]&amp;[2017-18]" c="July" nd="1">
                <p n="[Monthly Calendar Outcome Date].[Financial].[Quarter].&amp;[Q2]&amp;[2017-18]"/>
                <p n="[Monthly Calendar Outcome Date].[Financial].[Year].&amp;[2017-18]"/>
              </i>
              <i n="[Monthly Calendar Outcome Date].[Financial].[Month Name].&amp;[August]&amp;[2017-18]" c="August" nd="1">
                <p n="[Monthly Calendar Outcome Date].[Financial].[Quarter].&amp;[Q2]&amp;[2017-18]"/>
                <p n="[Monthly Calendar Outcome Date].[Financial].[Year].&amp;[2017-18]"/>
              </i>
              <i n="[Monthly Calendar Outcome Date].[Financial].[Month Name].&amp;[September]&amp;[2017-18]" c="September" nd="1">
                <p n="[Monthly Calendar Outcome Date].[Financial].[Quarter].&amp;[Q2]&amp;[2017-18]"/>
                <p n="[Monthly Calendar Outcome Date].[Financial].[Year].&amp;[2017-18]"/>
              </i>
              <i n="[Monthly Calendar Outcome Date].[Financial].[Month Name].&amp;[October]&amp;[2017-18]" c="October" nd="1">
                <p n="[Monthly Calendar Outcome Date].[Financial].[Quarter].&amp;[Q3]&amp;[2017-18]"/>
                <p n="[Monthly Calendar Outcome Date].[Financial].[Year].&amp;[2017-18]"/>
              </i>
              <i n="[Monthly Calendar Outcome Date].[Financial].[Month Name].&amp;[November]&amp;[2017-18]" c="November" nd="1">
                <p n="[Monthly Calendar Outcome Date].[Financial].[Quarter].&amp;[Q3]&amp;[2017-18]"/>
                <p n="[Monthly Calendar Outcome Date].[Financial].[Year].&amp;[2017-18]"/>
              </i>
              <i n="[Monthly Calendar Outcome Date].[Financial].[Month Name].&amp;[December]&amp;[2017-18]" c="December" nd="1">
                <p n="[Monthly Calendar Outcome Date].[Financial].[Quarter].&amp;[Q3]&amp;[2017-18]"/>
                <p n="[Monthly Calendar Outcome Date].[Financial].[Year].&amp;[2017-18]"/>
              </i>
              <i n="[Monthly Calendar Outcome Date].[Financial].[Month Name].&amp;[January]&amp;[2017-18]" c="January" nd="1">
                <p n="[Monthly Calendar Outcome Date].[Financial].[Quarter].&amp;[Q4]&amp;[2017-18]"/>
                <p n="[Monthly Calendar Outcome Date].[Financial].[Year].&amp;[2017-18]"/>
              </i>
              <i n="[Monthly Calendar Outcome Date].[Financial].[Month Name].&amp;[February]&amp;[2017-18]" c="February" nd="1">
                <p n="[Monthly Calendar Outcome Date].[Financial].[Quarter].&amp;[Q4]&amp;[2017-18]"/>
                <p n="[Monthly Calendar Outcome Date].[Financial].[Year].&amp;[2017-18]"/>
              </i>
              <i n="[Monthly Calendar Outcome Date].[Financial].[Month Name].&amp;[March]&amp;[2017-18]" c="March" nd="1">
                <p n="[Monthly Calendar Outcome Date].[Financial].[Quarter].&amp;[Q4]&amp;[2017-18]"/>
                <p n="[Monthly Calendar Outcome Date].[Financial].[Year].&amp;[2017-18]"/>
              </i>
              <i n="[Monthly Calendar Outcome Date].[Financial].[Month Name].&amp;[April]&amp;[2018-19]" c="April" nd="1">
                <p n="[Monthly Calendar Outcome Date].[Financial].[Quarter].&amp;[Q1]&amp;[2018-19]"/>
                <p n="[Monthly Calendar Outcome Date].[Financial].[Year].&amp;[2018-19]"/>
              </i>
              <i n="[Monthly Calendar Outcome Date].[Financial].[Month Name].&amp;[May]&amp;[2018-19]" c="May" nd="1">
                <p n="[Monthly Calendar Outcome Date].[Financial].[Quarter].&amp;[Q1]&amp;[2018-19]"/>
                <p n="[Monthly Calendar Outcome Date].[Financial].[Year].&amp;[2018-19]"/>
              </i>
              <i n="[Monthly Calendar Outcome Date].[Financial].[Month Name].&amp;[June]&amp;[2018-19]" c="June" nd="1">
                <p n="[Monthly Calendar Outcome Date].[Financial].[Quarter].&amp;[Q1]&amp;[2018-19]"/>
                <p n="[Monthly Calendar Outcome Date].[Financial].[Year].&amp;[2018-19]"/>
              </i>
              <i n="[Monthly Calendar Outcome Date].[Financial].[Month Name].&amp;[July]&amp;[2018-19]" c="July" nd="1">
                <p n="[Monthly Calendar Outcome Date].[Financial].[Quarter].&amp;[Q2]&amp;[2018-19]"/>
                <p n="[Monthly Calendar Outcome Date].[Financial].[Year].&amp;[2018-19]"/>
              </i>
              <i n="[Monthly Calendar Outcome Date].[Financial].[Month Name].&amp;[August]&amp;[2018-19]" c="August" nd="1">
                <p n="[Monthly Calendar Outcome Date].[Financial].[Quarter].&amp;[Q2]&amp;[2018-19]"/>
                <p n="[Monthly Calendar Outcome Date].[Financial].[Year].&amp;[2018-19]"/>
              </i>
              <i n="[Monthly Calendar Outcome Date].[Financial].[Month Name].&amp;[September]&amp;[2018-19]" c="September" nd="1">
                <p n="[Monthly Calendar Outcome Date].[Financial].[Quarter].&amp;[Q2]&amp;[2018-19]"/>
                <p n="[Monthly Calendar Outcome Date].[Financial].[Year].&amp;[2018-19]"/>
              </i>
              <i n="[Monthly Calendar Outcome Date].[Financial].[Month Name].&amp;[October]&amp;[2018-19]" c="October" nd="1">
                <p n="[Monthly Calendar Outcome Date].[Financial].[Quarter].&amp;[Q3]&amp;[2018-19]"/>
                <p n="[Monthly Calendar Outcome Date].[Financial].[Year].&amp;[2018-19]"/>
              </i>
              <i n="[Monthly Calendar Outcome Date].[Financial].[Month Name].&amp;[November]&amp;[2018-19]" c="November" nd="1">
                <p n="[Monthly Calendar Outcome Date].[Financial].[Quarter].&amp;[Q3]&amp;[2018-19]"/>
                <p n="[Monthly Calendar Outcome Date].[Financial].[Year].&amp;[2018-19]"/>
              </i>
              <i n="[Monthly Calendar Outcome Date].[Financial].[Month Name].&amp;[December]&amp;[2018-19]" c="December" nd="1">
                <p n="[Monthly Calendar Outcome Date].[Financial].[Quarter].&amp;[Q3]&amp;[2018-19]"/>
                <p n="[Monthly Calendar Outcome Date].[Financial].[Year].&amp;[2018-19]"/>
              </i>
              <i n="[Monthly Calendar Outcome Date].[Financial].[Month Name].&amp;[January]&amp;[2018-19]" c="January" nd="1">
                <p n="[Monthly Calendar Outcome Date].[Financial].[Quarter].&amp;[Q4]&amp;[2018-19]"/>
                <p n="[Monthly Calendar Outcome Date].[Financial].[Year].&amp;[2018-19]"/>
              </i>
              <i n="[Monthly Calendar Outcome Date].[Financial].[Month Name].&amp;[February]&amp;[2018-19]" c="February" nd="1">
                <p n="[Monthly Calendar Outcome Date].[Financial].[Quarter].&amp;[Q4]&amp;[2018-19]"/>
                <p n="[Monthly Calendar Outcome Date].[Financial].[Year].&amp;[2018-19]"/>
              </i>
              <i n="[Monthly Calendar Outcome Date].[Financial].[Month Name].&amp;[March]&amp;[2018-19]" c="March" nd="1">
                <p n="[Monthly Calendar Outcome Date].[Financial].[Quarter].&amp;[Q4]&amp;[2018-19]"/>
                <p n="[Monthly Calendar Outcome Date].[Financial].[Year].&amp;[2018-19]"/>
              </i>
              <i n="[Monthly Calendar Outcome Date].[Financial].[Month Name].&amp;[April]&amp;[2019-20]" c="April" nd="1">
                <p n="[Monthly Calendar Outcome Date].[Financial].[Quarter].&amp;[Q1]&amp;[2019-20]"/>
                <p n="[Monthly Calendar Outcome Date].[Financial].[Year].&amp;[2019-20]"/>
              </i>
              <i n="[Monthly Calendar Outcome Date].[Financial].[Month Name].&amp;[May]&amp;[2019-20]" c="May" nd="1">
                <p n="[Monthly Calendar Outcome Date].[Financial].[Quarter].&amp;[Q1]&amp;[2019-20]"/>
                <p n="[Monthly Calendar Outcome Date].[Financial].[Year].&amp;[2019-20]"/>
              </i>
              <i n="[Monthly Calendar Outcome Date].[Financial].[Month Name].&amp;[June]&amp;[2019-20]" c="June" nd="1">
                <p n="[Monthly Calendar Outcome Date].[Financial].[Quarter].&amp;[Q1]&amp;[2019-20]"/>
                <p n="[Monthly Calendar Outcome Date].[Financial].[Year].&amp;[2019-20]"/>
              </i>
              <i n="[Monthly Calendar Outcome Date].[Financial].[Month Name].&amp;[July]&amp;[2019-20]" c="July" nd="1">
                <p n="[Monthly Calendar Outcome Date].[Financial].[Quarter].&amp;[Q2]&amp;[2019-20]"/>
                <p n="[Monthly Calendar Outcome Date].[Financial].[Year].&amp;[2019-20]"/>
              </i>
              <i n="[Monthly Calendar Outcome Date].[Financial].[Month Name].&amp;[August]&amp;[2019-20]" c="August" nd="1">
                <p n="[Monthly Calendar Outcome Date].[Financial].[Quarter].&amp;[Q2]&amp;[2019-20]"/>
                <p n="[Monthly Calendar Outcome Date].[Financial].[Year].&amp;[2019-20]"/>
              </i>
              <i n="[Monthly Calendar Outcome Date].[Financial].[Month Name].&amp;[September]&amp;[2019-20]" c="September" nd="1">
                <p n="[Monthly Calendar Outcome Date].[Financial].[Quarter].&amp;[Q2]&amp;[2019-20]"/>
                <p n="[Monthly Calendar Outcome Date].[Financial].[Year].&amp;[2019-20]"/>
              </i>
              <i n="[Monthly Calendar Outcome Date].[Financial].[Month Name].&amp;[October]&amp;[2019-20]" c="October" nd="1">
                <p n="[Monthly Calendar Outcome Date].[Financial].[Quarter].&amp;[Q3]&amp;[2019-20]"/>
                <p n="[Monthly Calendar Outcome Date].[Financial].[Year].&amp;[2019-20]"/>
              </i>
              <i n="[Monthly Calendar Outcome Date].[Financial].[Month Name].&amp;[November]&amp;[2019-20]" c="November" nd="1">
                <p n="[Monthly Calendar Outcome Date].[Financial].[Quarter].&amp;[Q3]&amp;[2019-20]"/>
                <p n="[Monthly Calendar Outcome Date].[Financial].[Year].&amp;[2019-20]"/>
              </i>
              <i n="[Monthly Calendar Outcome Date].[Financial].[Month Name].&amp;[December]&amp;[2019-20]" c="December" nd="1">
                <p n="[Monthly Calendar Outcome Date].[Financial].[Quarter].&amp;[Q3]&amp;[2019-20]"/>
                <p n="[Monthly Calendar Outcome Date].[Financial].[Year].&amp;[2019-20]"/>
              </i>
              <i n="[Monthly Calendar Outcome Date].[Financial].[Month Name].&amp;[January]&amp;[2019-20]" c="January" nd="1">
                <p n="[Monthly Calendar Outcome Date].[Financial].[Quarter].&amp;[Q4]&amp;[2019-20]"/>
                <p n="[Monthly Calendar Outcome Date].[Financial].[Year].&amp;[2019-20]"/>
              </i>
              <i n="[Monthly Calendar Outcome Date].[Financial].[Month Name].&amp;[February]&amp;[2019-20]" c="February" nd="1">
                <p n="[Monthly Calendar Outcome Date].[Financial].[Quarter].&amp;[Q4]&amp;[2019-20]"/>
                <p n="[Monthly Calendar Outcome Date].[Financial].[Year].&amp;[2019-20]"/>
              </i>
              <i n="[Monthly Calendar Outcome Date].[Financial].[Month Name].&amp;[March]&amp;[2019-20]" c="March" nd="1">
                <p n="[Monthly Calendar Outcome Date].[Financial].[Quarter].&amp;[Q4]&amp;[2019-20]"/>
                <p n="[Monthly Calendar Outcome Date].[Financial].[Year].&amp;[2019-20]"/>
              </i>
              <i n="[Monthly Calendar Outcome Date].[Financial].[Month Name].&amp;[April]&amp;[2020-21]" c="April" nd="1">
                <p n="[Monthly Calendar Outcome Date].[Financial].[Quarter].&amp;[Q1]&amp;[2020-21]"/>
                <p n="[Monthly Calendar Outcome Date].[Financial].[Year].&amp;[2020-21]"/>
              </i>
              <i n="[Monthly Calendar Outcome Date].[Financial].[Month Name].&amp;[May]&amp;[2020-21]" c="May" nd="1">
                <p n="[Monthly Calendar Outcome Date].[Financial].[Quarter].&amp;[Q1]&amp;[2020-21]"/>
                <p n="[Monthly Calendar Outcome Date].[Financial].[Year].&amp;[2020-21]"/>
              </i>
              <i n="[Monthly Calendar Outcome Date].[Financial].[Month Name].&amp;[June]&amp;[2020-21]" c="June" nd="1">
                <p n="[Monthly Calendar Outcome Date].[Financial].[Quarter].&amp;[Q1]&amp;[2020-21]"/>
                <p n="[Monthly Calendar Outcome Date].[Financial].[Year].&amp;[2020-21]"/>
              </i>
              <i n="[Monthly Calendar Outcome Date].[Financial].[Month Name].&amp;[July]&amp;[2020-21]" c="July" nd="1">
                <p n="[Monthly Calendar Outcome Date].[Financial].[Quarter].&amp;[Q2]&amp;[2020-21]"/>
                <p n="[Monthly Calendar Outcome Date].[Financial].[Year].&amp;[2020-21]"/>
              </i>
              <i n="[Monthly Calendar Outcome Date].[Financial].[Month Name].&amp;[August]&amp;[2020-21]" c="August" nd="1">
                <p n="[Monthly Calendar Outcome Date].[Financial].[Quarter].&amp;[Q2]&amp;[2020-21]"/>
                <p n="[Monthly Calendar Outcome Date].[Financial].[Year].&amp;[2020-21]"/>
              </i>
              <i n="[Monthly Calendar Outcome Date].[Financial].[Month Name].&amp;[September]&amp;[2020-21]" c="September" nd="1">
                <p n="[Monthly Calendar Outcome Date].[Financial].[Quarter].&amp;[Q2]&amp;[2020-21]"/>
                <p n="[Monthly Calendar Outcome Date].[Financial].[Year].&amp;[2020-21]"/>
              </i>
              <i n="[Monthly Calendar Outcome Date].[Financial].[Month Name].&amp;[October]&amp;[2020-21]" c="October" nd="1">
                <p n="[Monthly Calendar Outcome Date].[Financial].[Quarter].&amp;[Q3]&amp;[2020-21]"/>
                <p n="[Monthly Calendar Outcome Date].[Financial].[Year].&amp;[2020-21]"/>
              </i>
              <i n="[Monthly Calendar Outcome Date].[Financial].[Month Name].&amp;[November]&amp;[2020-21]" c="November" nd="1">
                <p n="[Monthly Calendar Outcome Date].[Financial].[Quarter].&amp;[Q3]&amp;[2020-21]"/>
                <p n="[Monthly Calendar Outcome Date].[Financial].[Year].&amp;[2020-21]"/>
              </i>
              <i n="[Monthly Calendar Outcome Date].[Financial].[Month Name].&amp;[December]&amp;[2020-21]" c="December" nd="1">
                <p n="[Monthly Calendar Outcome Date].[Financial].[Quarter].&amp;[Q3]&amp;[2020-21]"/>
                <p n="[Monthly Calendar Outcome Date].[Financial].[Year].&amp;[2020-21]"/>
              </i>
              <i n="[Monthly Calendar Outcome Date].[Financial].[Month Name].&amp;[January]&amp;[2020-21]" c="January" nd="1">
                <p n="[Monthly Calendar Outcome Date].[Financial].[Quarter].&amp;[Q4]&amp;[2020-21]"/>
                <p n="[Monthly Calendar Outcome Date].[Financial].[Year].&amp;[2020-21]"/>
              </i>
              <i n="[Monthly Calendar Outcome Date].[Financial].[Month Name].&amp;[February]&amp;[2020-21]" c="February" nd="1">
                <p n="[Monthly Calendar Outcome Date].[Financial].[Quarter].&amp;[Q4]&amp;[2020-21]"/>
                <p n="[Monthly Calendar Outcome Date].[Financial].[Year].&amp;[2020-21]"/>
              </i>
              <i n="[Monthly Calendar Outcome Date].[Financial].[Month Name].&amp;[March]&amp;[2020-21]" c="March" nd="1">
                <p n="[Monthly Calendar Outcome Date].[Financial].[Quarter].&amp;[Q4]&amp;[2020-21]"/>
                <p n="[Monthly Calendar Outcome Date].[Financial].[Year].&amp;[2020-21]"/>
              </i>
            </range>
          </ranges>
        </level>
      </levels>
      <selections count="1">
        <selection n="[Monthly Calendar Outcome Date].[Financial].[Year].&amp;[2016-17]"/>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Financial" caption="Year" level="1" rowHeight="257175"/>
  <slicer name="Quarter" cache="Slicer_Financial" caption="Quarter" level="2" rowHeight="257175"/>
  <slicer name="Month Name" cache="Slicer_Financial" caption="Month Name" level="3" rowHeight="257175"/>
  <slicer name="Funder" cache="Slicer_Funder" caption="Funder" level="1" rowHeight="257175"/>
  <slicer name="Government Region" cache="Slicer_CAB" caption="Government Region" level="1" rowHeight="257175"/>
  <slicer name="Member" cache="Slicer_CAB" caption="Member" level="2" rowHeight="257175"/>
  <slicer name="Bureau" cache="Slicer_CAB" caption="Bureau" level="3" rowHeight="257175"/>
  <slicer name="Outreach" cache="Slicer_CAB" caption="Outreach" level="4" rowHeight="257175"/>
  <slicer name="Year 1" cache="Slicer_Monthly_Calendar_Enquiry_Created.Financial" caption="Year" level="1" rowHeight="257175"/>
  <slicer name="Quarter 1" cache="Slicer_Monthly_Calendar_Enquiry_Created.Financial" caption="Quarter" level="2" rowHeight="257175"/>
  <slicer name="Month Name 1" cache="Slicer_Monthly_Calendar_Enquiry_Created.Financial" caption="Month Name" level="3" rowHeight="257175"/>
  <slicer name="Year 2" cache="Slicer_Monthly_Calendar_Outcome_Date.Financial" caption="Year" level="1" rowHeight="257175"/>
  <slicer name="Quarter 2" cache="Slicer_Monthly_Calendar_Outcome_Date.Financial" caption="Quarter" level="2" rowHeight="257175"/>
  <slicer name="Month Name 2" cache="Slicer_Monthly_Calendar_Outcome_Date.Financial" caption="Month Name" level="3" rowHeight="2571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pivotTable" Target="../pivotTables/pivotTable16.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18.xml"/><Relationship Id="rId1" Type="http://schemas.openxmlformats.org/officeDocument/2006/relationships/pivotTable" Target="../pivotTables/pivotTable17.x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pivotTable" Target="../pivotTables/pivotTable19.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1.xml"/><Relationship Id="rId1" Type="http://schemas.openxmlformats.org/officeDocument/2006/relationships/pivotTable" Target="../pivotTables/pivotTable20.x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23.xml"/><Relationship Id="rId1" Type="http://schemas.openxmlformats.org/officeDocument/2006/relationships/pivotTable" Target="../pivotTables/pivotTable22.x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5.xml"/><Relationship Id="rId7"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rinterSettings" Target="../printerSettings/printerSettings5.bin"/><Relationship Id="rId5" Type="http://schemas.openxmlformats.org/officeDocument/2006/relationships/pivotTable" Target="../pivotTables/pivotTable7.xml"/><Relationship Id="rId4"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pivotTable" Target="../pivotTables/pivot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topLeftCell="A3" workbookViewId="0">
      <selection activeCell="K31" sqref="K31"/>
    </sheetView>
  </sheetViews>
  <sheetFormatPr defaultRowHeight="15"/>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39997558519241921"/>
    <pageSetUpPr fitToPage="1"/>
  </sheetPr>
  <dimension ref="A1:T88"/>
  <sheetViews>
    <sheetView showGridLines="0" showRowColHeaders="0" topLeftCell="A4" zoomScale="80" zoomScaleNormal="80" workbookViewId="0">
      <pane ySplit="8" topLeftCell="A12" activePane="bottomLeft" state="frozen"/>
      <selection activeCell="A4" sqref="A4"/>
      <selection pane="bottomLeft" activeCell="A12" sqref="A12"/>
    </sheetView>
  </sheetViews>
  <sheetFormatPr defaultColWidth="0" defaultRowHeight="15" zeroHeight="1"/>
  <cols>
    <col min="1" max="1" width="1.6328125" style="23" customWidth="1"/>
    <col min="2" max="2" width="23.90625" style="23" customWidth="1"/>
    <col min="3" max="4" width="16.81640625" style="23" bestFit="1" customWidth="1"/>
    <col min="5" max="5" width="13.36328125" style="23" customWidth="1"/>
    <col min="6" max="6" width="8.90625" style="23" customWidth="1"/>
    <col min="7" max="9" width="16.08984375" style="23" customWidth="1"/>
    <col min="10" max="10" width="23.36328125" style="23" customWidth="1"/>
    <col min="11" max="11" width="20.453125" style="23" customWidth="1"/>
    <col min="12" max="12" width="20.36328125" style="23" customWidth="1"/>
    <col min="13" max="15" width="8.90625" style="23" hidden="1" customWidth="1"/>
    <col min="16" max="16" width="23.36328125" style="23" hidden="1" customWidth="1"/>
    <col min="17" max="17" width="18.453125" style="23" hidden="1" customWidth="1"/>
    <col min="18" max="18" width="11" style="23" hidden="1" customWidth="1"/>
    <col min="19" max="19" width="15.6328125" style="23" hidden="1" customWidth="1"/>
    <col min="20" max="20" width="20" style="23" hidden="1" customWidth="1"/>
    <col min="21" max="16384" width="8.90625" style="23" hidden="1"/>
  </cols>
  <sheetData>
    <row r="1" spans="2:19" hidden="1">
      <c r="D1" s="145"/>
      <c r="E1" s="145"/>
    </row>
    <row r="2" spans="2:19" hidden="1">
      <c r="D2" s="145"/>
      <c r="E2" s="145"/>
    </row>
    <row r="3" spans="2:19" hidden="1">
      <c r="D3" s="145"/>
      <c r="E3" s="145"/>
      <c r="L3" s="71"/>
      <c r="M3" s="71"/>
      <c r="N3" s="71"/>
      <c r="O3" s="71"/>
    </row>
    <row r="4" spans="2:19" ht="9" customHeight="1">
      <c r="B4" s="133"/>
      <c r="C4" s="133"/>
      <c r="D4" s="167"/>
      <c r="E4" s="167"/>
      <c r="F4" s="133"/>
      <c r="G4" s="133"/>
      <c r="H4" s="133"/>
      <c r="I4" s="133"/>
      <c r="J4" s="133"/>
      <c r="K4" s="133"/>
      <c r="L4" s="133"/>
      <c r="M4" s="71"/>
      <c r="N4" s="71"/>
      <c r="O4" s="71"/>
    </row>
    <row r="5" spans="2:19">
      <c r="B5" s="133"/>
      <c r="C5" s="133"/>
      <c r="D5" s="167"/>
      <c r="E5" s="167"/>
      <c r="F5" s="133"/>
      <c r="G5" s="133"/>
      <c r="H5" s="133"/>
      <c r="I5" s="133"/>
      <c r="J5" s="133"/>
      <c r="K5" s="133"/>
      <c r="L5" s="133"/>
      <c r="M5" s="71"/>
      <c r="N5" s="71"/>
      <c r="O5" s="71"/>
    </row>
    <row r="6" spans="2:19">
      <c r="B6" s="133"/>
      <c r="C6" s="133"/>
      <c r="D6" s="167"/>
      <c r="E6" s="167"/>
      <c r="F6" s="133"/>
      <c r="G6" s="133"/>
      <c r="H6" s="133"/>
      <c r="I6" s="133"/>
      <c r="J6" s="133"/>
      <c r="K6" s="133"/>
      <c r="L6" s="133"/>
      <c r="M6" s="71"/>
      <c r="N6" s="71"/>
      <c r="O6" s="71"/>
    </row>
    <row r="7" spans="2:19">
      <c r="B7" s="133"/>
      <c r="C7" s="133"/>
      <c r="D7" s="167"/>
      <c r="E7" s="167"/>
      <c r="F7" s="133"/>
      <c r="G7" s="133"/>
      <c r="H7" s="133"/>
      <c r="I7" s="133"/>
      <c r="J7" s="133"/>
      <c r="K7" s="133"/>
      <c r="L7" s="133"/>
      <c r="M7" s="71"/>
      <c r="N7" s="71"/>
      <c r="O7" s="71"/>
    </row>
    <row r="8" spans="2:19">
      <c r="B8" s="133"/>
      <c r="C8" s="133"/>
      <c r="D8" s="167"/>
      <c r="E8" s="167"/>
      <c r="F8" s="133"/>
      <c r="G8" s="133"/>
      <c r="H8" s="133"/>
      <c r="I8" s="133"/>
      <c r="J8" s="133"/>
      <c r="K8" s="133"/>
      <c r="L8" s="133"/>
      <c r="M8" s="71"/>
      <c r="N8" s="71"/>
      <c r="O8" s="71"/>
    </row>
    <row r="9" spans="2:19">
      <c r="B9" s="133" t="s">
        <v>225</v>
      </c>
      <c r="C9" s="133"/>
      <c r="D9" s="167"/>
      <c r="E9" s="167"/>
      <c r="F9" s="133"/>
      <c r="G9" s="133"/>
      <c r="H9" s="133"/>
      <c r="I9" s="133"/>
      <c r="J9" s="133"/>
      <c r="K9" s="133"/>
      <c r="L9" s="133"/>
      <c r="M9" s="71"/>
      <c r="N9" s="71"/>
      <c r="O9" s="71"/>
    </row>
    <row r="10" spans="2:19" ht="15.6">
      <c r="B10" s="133" t="s">
        <v>226</v>
      </c>
      <c r="C10" s="133"/>
      <c r="D10" s="167"/>
      <c r="E10" s="167"/>
      <c r="F10" s="133"/>
      <c r="G10" s="133"/>
      <c r="H10" s="133"/>
      <c r="I10" s="133"/>
      <c r="J10" s="133"/>
      <c r="K10" s="133"/>
      <c r="L10" s="133"/>
      <c r="M10" s="71"/>
      <c r="N10" s="71"/>
      <c r="O10" s="71"/>
      <c r="P10" s="173" t="s">
        <v>4</v>
      </c>
      <c r="Q10" s="173" t="str" vm="959">
        <f>'Enter Parameters'!D17</f>
        <v>York (member)</v>
      </c>
    </row>
    <row r="11" spans="2:19" ht="15.6">
      <c r="B11" s="133" t="s">
        <v>229</v>
      </c>
      <c r="C11" s="133"/>
      <c r="D11" s="167"/>
      <c r="E11" s="167"/>
      <c r="F11" s="133"/>
      <c r="G11" s="133"/>
      <c r="H11" s="133"/>
      <c r="I11" s="133"/>
      <c r="J11" s="133"/>
      <c r="K11" s="133"/>
      <c r="L11" s="133"/>
      <c r="M11" s="71"/>
      <c r="N11" s="71"/>
      <c r="O11" s="71"/>
      <c r="P11" s="173" t="s">
        <v>3</v>
      </c>
      <c r="Q11" s="173" t="str" vm="949">
        <f>'Enter Parameters'!D18</f>
        <v>2016-17</v>
      </c>
      <c r="S11" s="141">
        <f>Client_Profile!C23</f>
        <v>5658</v>
      </c>
    </row>
    <row r="12" spans="2:19" ht="10.5" customHeight="1">
      <c r="B12" s="133"/>
      <c r="C12" s="133"/>
      <c r="D12" s="167"/>
      <c r="E12" s="167"/>
      <c r="F12" s="133"/>
      <c r="G12" s="133"/>
      <c r="H12" s="133"/>
      <c r="I12" s="133"/>
      <c r="J12" s="133"/>
      <c r="K12" s="133"/>
      <c r="L12" s="133"/>
      <c r="M12" s="71"/>
      <c r="N12" s="71"/>
      <c r="O12" s="71"/>
      <c r="P12" s="173" t="s">
        <v>21</v>
      </c>
      <c r="Q12" s="173" t="str" vm="941">
        <f>'Enter Parameters'!D19</f>
        <v>All</v>
      </c>
    </row>
    <row r="13" spans="2:19" ht="22.8">
      <c r="B13" s="231" t="s">
        <v>417</v>
      </c>
      <c r="C13" s="232"/>
      <c r="D13" s="232"/>
      <c r="E13" s="232"/>
      <c r="F13" s="71"/>
      <c r="G13" s="71"/>
      <c r="H13" s="233" t="s">
        <v>418</v>
      </c>
      <c r="I13" s="71"/>
      <c r="J13" s="71"/>
      <c r="K13" s="71"/>
      <c r="L13" s="71"/>
    </row>
    <row r="14" spans="2:19" ht="6" customHeight="1">
      <c r="B14" s="71"/>
      <c r="C14" s="71"/>
      <c r="D14" s="71"/>
      <c r="E14" s="71"/>
      <c r="F14" s="71"/>
      <c r="G14" s="71"/>
      <c r="H14" s="71"/>
      <c r="I14" s="71"/>
      <c r="J14" s="71"/>
      <c r="K14" s="71"/>
      <c r="L14" s="174"/>
    </row>
    <row r="15" spans="2:19" ht="35.4">
      <c r="B15" s="185" t="s">
        <v>256</v>
      </c>
      <c r="C15" s="71"/>
      <c r="D15" s="71"/>
      <c r="E15" s="71"/>
      <c r="F15" s="71"/>
      <c r="G15" s="71"/>
      <c r="H15" s="71"/>
      <c r="I15" s="71"/>
      <c r="J15" s="71"/>
      <c r="K15" s="71"/>
      <c r="L15" s="174"/>
    </row>
    <row r="16" spans="2:19" ht="9" customHeight="1">
      <c r="B16" s="71"/>
      <c r="C16" s="71"/>
      <c r="D16" s="71"/>
      <c r="E16" s="71"/>
      <c r="F16" s="71"/>
      <c r="G16" s="71"/>
      <c r="H16" s="71"/>
      <c r="I16" s="71"/>
      <c r="J16" s="71"/>
      <c r="K16" s="71"/>
      <c r="L16" s="174"/>
      <c r="P16" s="109" t="str" vm="26">
        <f>CUBEMEMBER("cabcrmsqlrs1 CABReportingCubes Local Client Event","[Measures].[Number Of Activities]")</f>
        <v>Number Of Activities</v>
      </c>
    </row>
    <row r="17" spans="2:20" ht="15.6">
      <c r="B17" s="234" t="s">
        <v>31</v>
      </c>
      <c r="C17" s="182" t="s">
        <v>32</v>
      </c>
      <c r="D17" s="182" t="s">
        <v>45</v>
      </c>
      <c r="E17" s="71"/>
      <c r="F17" s="71"/>
      <c r="G17" s="71"/>
      <c r="H17" s="71"/>
      <c r="I17" s="71"/>
      <c r="J17" s="71"/>
      <c r="K17" s="71"/>
      <c r="L17" s="174"/>
      <c r="P17" s="152"/>
      <c r="Q17" s="175" t="str" vm="25">
        <f>CUBEMEMBER("cabcrmsqlrs1 CABReportingCubes Local Client Event","[Event Profile].[Parent Gateway].&amp;[No]")</f>
        <v>No</v>
      </c>
      <c r="R17" s="175" t="str" vm="22">
        <f>CUBEMEMBER("cabcrmsqlrs1 CABReportingCubes Local Client Event","[Event Profile].[Parent Gateway].&amp;[Not recorded/not applicable]")</f>
        <v>Not recorded/not applicable</v>
      </c>
      <c r="S17" s="175" t="str" vm="28">
        <f>CUBEMEMBER("cabcrmsqlrs1 CABReportingCubes Local Client Event","[Event Profile].[Parent Gateway].&amp;[Yes]")</f>
        <v>Yes</v>
      </c>
      <c r="T17" s="175" t="str" vm="23">
        <f>CUBEMEMBER("cabcrmsqlrs1 CABReportingCubes Local Client Event","[Event Profile].[Parent Gateway].[All]","Grand Total")</f>
        <v>Grand Total</v>
      </c>
    </row>
    <row r="18" spans="2:20" ht="15.6">
      <c r="B18" s="146" t="s" vm="31">
        <v>24</v>
      </c>
      <c r="C18" s="147" vm="1306">
        <f>Q42</f>
        <v>813</v>
      </c>
      <c r="D18" s="148">
        <f t="shared" ref="D18:D26" si="0">IF(ISERROR(C18/$C$26),0,C18/$C$26)</f>
        <v>0.12486561204116112</v>
      </c>
      <c r="E18" s="71"/>
      <c r="F18" s="71"/>
      <c r="G18" s="71"/>
      <c r="H18" s="71"/>
      <c r="I18" s="71"/>
      <c r="J18" s="71"/>
      <c r="K18" s="71"/>
      <c r="L18" s="174"/>
      <c r="P18" s="153" t="str" vm="27">
        <f>CUBEMEMBER("cabcrmsqlrs1 CABReportingCubes Local Client Event","[Client Event Type].[Client Event Type].&amp;[Day sheet]")</f>
        <v>Day sheet</v>
      </c>
      <c r="Q18" s="176" vm="1290">
        <f t="shared" ref="Q18:T21" si="1">IF(CUBEVALUE("cabcrmsqlrs1 CABReportingCubes Local Client Event",$Q$10,$Q$11,$Q$12,$P$16,$P18,Q$17)="",0,CUBEVALUE("cabcrmsqlrs1 CABReportingCubes Local Client Event",$Q$10,$Q$11,$Q$12,$P$16,$P18,Q$17))</f>
        <v>1550</v>
      </c>
      <c r="R18" s="176">
        <f t="shared" si="1"/>
        <v>0</v>
      </c>
      <c r="S18" s="176">
        <f t="shared" si="1"/>
        <v>0</v>
      </c>
      <c r="T18" s="176" vm="1127">
        <f t="shared" si="1"/>
        <v>1550</v>
      </c>
    </row>
    <row r="19" spans="2:20" ht="15.6">
      <c r="B19" s="146" t="s" vm="32">
        <v>25</v>
      </c>
      <c r="C19" s="147" vm="1283">
        <f>Q43</f>
        <v>1037</v>
      </c>
      <c r="D19" s="148">
        <f t="shared" si="0"/>
        <v>0.15926892950391644</v>
      </c>
      <c r="E19" s="71"/>
      <c r="F19" s="71"/>
      <c r="G19" s="71"/>
      <c r="H19" s="71"/>
      <c r="I19" s="71"/>
      <c r="J19" s="71"/>
      <c r="K19" s="71"/>
      <c r="L19" s="174"/>
      <c r="P19" s="153" t="str" vm="24">
        <f>CUBEMEMBER("cabcrmsqlrs1 CABReportingCubes Local Client Event","[Client Event Type].[Client Event Type].&amp;[Enquiry]")</f>
        <v>Enquiry</v>
      </c>
      <c r="Q19" s="176">
        <f t="shared" si="1"/>
        <v>0</v>
      </c>
      <c r="R19" s="176" vm="1291">
        <f t="shared" si="1"/>
        <v>3590</v>
      </c>
      <c r="S19" s="176" vm="1082">
        <f t="shared" si="1"/>
        <v>530</v>
      </c>
      <c r="T19" s="176" vm="1292">
        <f t="shared" si="1"/>
        <v>4120</v>
      </c>
    </row>
    <row r="20" spans="2:20" ht="15.6">
      <c r="B20" s="146" t="s" vm="35">
        <v>26</v>
      </c>
      <c r="C20" s="147" vm="1307">
        <f>Q44</f>
        <v>322</v>
      </c>
      <c r="D20" s="148">
        <f t="shared" si="0"/>
        <v>4.9454768852710794E-2</v>
      </c>
      <c r="E20" s="71"/>
      <c r="F20" s="71"/>
      <c r="G20" s="71"/>
      <c r="H20" s="71"/>
      <c r="I20" s="71"/>
      <c r="J20" s="71"/>
      <c r="K20" s="71"/>
      <c r="L20" s="174"/>
      <c r="P20" s="153" t="str" vm="21">
        <f>CUBEMEMBER("cabcrmsqlrs1 CABReportingCubes Local Client Event","[Client Event Type].[Client Event Type].&amp;[Gateway]")</f>
        <v>Gateway</v>
      </c>
      <c r="Q20" s="176" vm="1289">
        <f t="shared" si="1"/>
        <v>1372</v>
      </c>
      <c r="R20" s="176">
        <f t="shared" si="1"/>
        <v>0</v>
      </c>
      <c r="S20" s="176">
        <f t="shared" si="1"/>
        <v>0</v>
      </c>
      <c r="T20" s="176" vm="1293">
        <f t="shared" si="1"/>
        <v>1372</v>
      </c>
    </row>
    <row r="21" spans="2:20" ht="15.6">
      <c r="B21" s="146" t="s" vm="33">
        <v>27</v>
      </c>
      <c r="C21" s="147" vm="1305">
        <f>Q45</f>
        <v>295</v>
      </c>
      <c r="D21" s="148">
        <f t="shared" si="0"/>
        <v>4.5307940408539395E-2</v>
      </c>
      <c r="E21" s="71"/>
      <c r="F21" s="71"/>
      <c r="G21" s="71"/>
      <c r="H21" s="71"/>
      <c r="I21" s="71"/>
      <c r="J21" s="71"/>
      <c r="K21" s="71"/>
      <c r="L21" s="174"/>
      <c r="P21" s="177" t="str" vm="29">
        <f>CUBESET("cabcrmsqlrs1 CABReportingCubes Local Client Event",($P$20,$P$19,$P$18),"Grand Total")</f>
        <v>Grand Total</v>
      </c>
      <c r="Q21" s="178" vm="1120">
        <f t="shared" si="1"/>
        <v>2922</v>
      </c>
      <c r="R21" s="178" vm="1270">
        <f t="shared" si="1"/>
        <v>3590</v>
      </c>
      <c r="S21" s="178" vm="1162">
        <f t="shared" si="1"/>
        <v>530</v>
      </c>
      <c r="T21" s="178" vm="1110">
        <f t="shared" si="1"/>
        <v>7042</v>
      </c>
    </row>
    <row r="22" spans="2:20" ht="15.6">
      <c r="B22" s="146" t="s" vm="30">
        <v>28</v>
      </c>
      <c r="C22" s="147">
        <f>Q46+T34</f>
        <v>1500</v>
      </c>
      <c r="D22" s="148">
        <f t="shared" si="0"/>
        <v>0.23037935800952233</v>
      </c>
      <c r="E22" s="71"/>
      <c r="F22" s="71"/>
      <c r="G22" s="71"/>
      <c r="H22" s="71"/>
      <c r="I22" s="71"/>
      <c r="J22" s="71"/>
      <c r="K22" s="71"/>
      <c r="L22" s="174"/>
    </row>
    <row r="23" spans="2:20" ht="15.6">
      <c r="B23" s="146" t="s" vm="34">
        <v>29</v>
      </c>
      <c r="C23" s="147" vm="1276">
        <f>Q47</f>
        <v>801</v>
      </c>
      <c r="D23" s="148">
        <f t="shared" si="0"/>
        <v>0.12302257717708494</v>
      </c>
      <c r="E23" s="71"/>
      <c r="F23" s="71"/>
      <c r="G23" s="71"/>
      <c r="H23" s="71"/>
      <c r="I23" s="71"/>
      <c r="J23" s="71"/>
      <c r="K23" s="71"/>
      <c r="L23" s="174"/>
    </row>
    <row r="24" spans="2:20" ht="15.6">
      <c r="B24" s="146" t="s">
        <v>227</v>
      </c>
      <c r="C24" s="147">
        <f>Q48</f>
        <v>842</v>
      </c>
      <c r="D24" s="148">
        <f t="shared" si="0"/>
        <v>0.12931961296267855</v>
      </c>
      <c r="E24" s="71"/>
      <c r="F24" s="71"/>
      <c r="G24" s="71"/>
      <c r="H24" s="71"/>
      <c r="I24" s="71"/>
      <c r="J24" s="71"/>
      <c r="K24" s="71"/>
      <c r="L24" s="174"/>
    </row>
    <row r="25" spans="2:20" ht="15.6">
      <c r="B25" s="146" t="s">
        <v>255</v>
      </c>
      <c r="C25" s="147" vm="998">
        <f>T35</f>
        <v>901</v>
      </c>
      <c r="D25" s="148">
        <f t="shared" si="0"/>
        <v>0.13838120104438642</v>
      </c>
      <c r="E25" s="71"/>
      <c r="F25" s="71"/>
      <c r="G25" s="71"/>
      <c r="H25" s="71"/>
      <c r="I25" s="71"/>
      <c r="J25" s="71"/>
      <c r="K25" s="71"/>
      <c r="L25" s="174"/>
      <c r="Q25" s="141"/>
    </row>
    <row r="26" spans="2:20" ht="15.6">
      <c r="B26" s="183" t="s">
        <v>30</v>
      </c>
      <c r="C26" s="184">
        <f>Q49+Q18</f>
        <v>6511</v>
      </c>
      <c r="D26" s="164">
        <f t="shared" si="0"/>
        <v>1</v>
      </c>
      <c r="E26" s="71"/>
      <c r="F26" s="71"/>
      <c r="G26" s="71"/>
      <c r="H26" s="71"/>
      <c r="I26" s="71"/>
      <c r="J26" s="71"/>
      <c r="K26" s="71"/>
      <c r="L26" s="174"/>
    </row>
    <row r="27" spans="2:20">
      <c r="B27" s="71"/>
      <c r="C27" s="71"/>
      <c r="D27" s="71"/>
      <c r="E27" s="71"/>
      <c r="F27" s="71"/>
      <c r="G27" s="71"/>
      <c r="H27" s="71"/>
      <c r="I27" s="71"/>
      <c r="J27" s="71"/>
      <c r="K27" s="71"/>
      <c r="L27" s="174"/>
    </row>
    <row r="28" spans="2:20">
      <c r="B28" s="71"/>
      <c r="C28" s="71"/>
      <c r="D28" s="71"/>
      <c r="E28" s="71"/>
      <c r="F28" s="71"/>
      <c r="G28" s="71"/>
      <c r="H28" s="71"/>
      <c r="I28" s="71"/>
      <c r="J28" s="71"/>
      <c r="K28" s="71"/>
      <c r="L28" s="174"/>
      <c r="S28" s="23" t="s">
        <v>143</v>
      </c>
      <c r="T28" s="23" t="str" vm="959">
        <f>'Enter Parameters'!D17</f>
        <v>York (member)</v>
      </c>
    </row>
    <row r="29" spans="2:20" ht="32.25" customHeight="1">
      <c r="B29" s="200" t="s">
        <v>220</v>
      </c>
      <c r="C29" s="71"/>
      <c r="D29" s="71"/>
      <c r="E29" s="71"/>
      <c r="F29" s="71"/>
      <c r="G29" s="71"/>
      <c r="H29" s="71"/>
      <c r="I29" s="71"/>
      <c r="J29" s="71"/>
      <c r="K29" s="71"/>
      <c r="L29" s="174"/>
      <c r="S29" s="23" t="s">
        <v>3</v>
      </c>
      <c r="T29" s="23" t="str" vm="949">
        <f>'Enter Parameters'!D18</f>
        <v>2016-17</v>
      </c>
    </row>
    <row r="30" spans="2:20" ht="6" customHeight="1">
      <c r="B30" s="71"/>
      <c r="C30" s="71"/>
      <c r="D30" s="71"/>
      <c r="E30" s="71"/>
      <c r="F30" s="71"/>
      <c r="G30" s="71"/>
      <c r="H30" s="71"/>
      <c r="I30" s="71"/>
      <c r="J30" s="71"/>
      <c r="K30" s="71"/>
      <c r="L30" s="174"/>
      <c r="S30" s="23" t="s">
        <v>21</v>
      </c>
      <c r="T30" s="23" t="str" vm="941">
        <f>'Enter Parameters'!D19</f>
        <v>All</v>
      </c>
    </row>
    <row r="31" spans="2:20" ht="15.6">
      <c r="B31" s="234" t="s">
        <v>33</v>
      </c>
      <c r="C31" s="182" t="s" vm="23">
        <v>34</v>
      </c>
      <c r="D31" s="182" t="s">
        <v>45</v>
      </c>
      <c r="E31" s="71"/>
      <c r="F31" s="71"/>
      <c r="G31" s="71"/>
      <c r="H31" s="71"/>
      <c r="I31" s="71"/>
      <c r="J31" s="71"/>
      <c r="K31" s="71"/>
      <c r="L31" s="174"/>
      <c r="S31" s="23" t="s">
        <v>23</v>
      </c>
      <c r="T31" s="23" t="str" vm="27">
        <f>CUBEMEMBER("cabcrmsqlrs1 CABReportingCubes Local Client Event","[Client Event Type].[Client Event Type].&amp;[Day sheet]")</f>
        <v>Day sheet</v>
      </c>
    </row>
    <row r="32" spans="2:20" ht="15.6">
      <c r="B32" s="146" t="s" vm="42">
        <v>35</v>
      </c>
      <c r="C32" s="147" vm="1186">
        <f t="shared" ref="C32:C37" si="2">S62</f>
        <v>19</v>
      </c>
      <c r="D32" s="148">
        <f t="shared" ref="D32:D37" si="3">IF(ISERROR(C32/$C$41),0,C32/$C$41)</f>
        <v>4.6116504854368931E-3</v>
      </c>
      <c r="E32" s="71"/>
      <c r="F32" s="71"/>
      <c r="G32" s="71"/>
      <c r="H32" s="71"/>
      <c r="I32" s="71"/>
      <c r="J32" s="71"/>
      <c r="K32" s="71"/>
      <c r="L32" s="174"/>
    </row>
    <row r="33" spans="2:20" ht="15.6">
      <c r="B33" s="146" t="s" vm="39">
        <v>36</v>
      </c>
      <c r="C33" s="147" vm="1310">
        <f t="shared" si="2"/>
        <v>3774</v>
      </c>
      <c r="D33" s="148">
        <f t="shared" si="3"/>
        <v>0.91601941747572813</v>
      </c>
      <c r="E33" s="71"/>
      <c r="F33" s="71"/>
      <c r="G33" s="71"/>
      <c r="H33" s="71"/>
      <c r="I33" s="71"/>
      <c r="J33" s="71"/>
      <c r="K33" s="71"/>
      <c r="L33" s="174"/>
      <c r="P33" s="173" t="s">
        <v>4</v>
      </c>
      <c r="Q33" s="173" t="str" vm="959">
        <f>'Enter Parameters'!D17</f>
        <v>York (member)</v>
      </c>
      <c r="S33" s="23" t="s">
        <v>46</v>
      </c>
      <c r="T33" s="23" t="str" vm="26">
        <f>CUBEMEMBER("cabcrmsqlrs1 CABReportingCubes Local Client Event","[Measures].[Number Of Activities]")</f>
        <v>Number Of Activities</v>
      </c>
    </row>
    <row r="34" spans="2:20" ht="15.6">
      <c r="B34" s="146" t="s" vm="37">
        <v>37</v>
      </c>
      <c r="C34" s="147" vm="1153">
        <f t="shared" si="2"/>
        <v>5</v>
      </c>
      <c r="D34" s="148">
        <f t="shared" si="3"/>
        <v>1.2135922330097086E-3</v>
      </c>
      <c r="E34" s="71"/>
      <c r="F34" s="71"/>
      <c r="G34" s="71"/>
      <c r="H34" s="71"/>
      <c r="I34" s="71"/>
      <c r="J34" s="71"/>
      <c r="K34" s="71"/>
      <c r="L34" s="174"/>
      <c r="P34" s="173" t="s">
        <v>3</v>
      </c>
      <c r="Q34" s="173" t="str" vm="949">
        <f>'Enter Parameters'!D18</f>
        <v>2016-17</v>
      </c>
      <c r="S34" s="29" t="str" vm="30">
        <f>CUBEMEMBER("cabcrmsqlrs1 CABReportingCubes Local Client Event","[Work Level].[Work Level].&amp;[Information]")</f>
        <v>Information</v>
      </c>
      <c r="T34" s="23" vm="1346">
        <f>IF(CUBEVALUE("cabcrmsqlrs1 CABReportingCubes Local Client Event",$T$28,$T$29,$T$30,$T$31,$S34,T$33)="",0,CUBEVALUE("cabcrmsqlrs1 CABReportingCubes Local Client Event",$T$28,$T$29,$T$30,$T$31,$S34,T$33))</f>
        <v>649</v>
      </c>
    </row>
    <row r="35" spans="2:20" ht="15.6">
      <c r="B35" s="146" t="s" vm="40">
        <v>38</v>
      </c>
      <c r="C35" s="147">
        <f t="shared" si="2"/>
        <v>0</v>
      </c>
      <c r="D35" s="148">
        <f t="shared" si="3"/>
        <v>0</v>
      </c>
      <c r="E35" s="71"/>
      <c r="F35" s="71"/>
      <c r="G35" s="71"/>
      <c r="H35" s="71"/>
      <c r="I35" s="71"/>
      <c r="J35" s="71"/>
      <c r="K35" s="71"/>
      <c r="L35" s="174"/>
      <c r="P35" s="173" t="s">
        <v>21</v>
      </c>
      <c r="Q35" s="173" t="str" vm="941">
        <f>'Enter Parameters'!D19</f>
        <v>All</v>
      </c>
      <c r="S35" s="29" t="str" vm="880">
        <f>CUBEMEMBER("cabcrmsqlrs1 CABReportingCubes Local Client Event","[Work Level].[Work Level].&amp;[Signposting]")</f>
        <v>Signposting</v>
      </c>
      <c r="T35" s="23" vm="998">
        <f>IF(CUBEVALUE("cabcrmsqlrs1 CABReportingCubes Local Client Event",$T$28,$T$29,$T$30,$T$31,$S35,T$33)="",0,CUBEVALUE("cabcrmsqlrs1 CABReportingCubes Local Client Event",$T$28,$T$29,$T$30,$T$31,$S35,T$33))</f>
        <v>901</v>
      </c>
    </row>
    <row r="36" spans="2:20" ht="15.6">
      <c r="B36" s="146" t="s" vm="41">
        <v>39</v>
      </c>
      <c r="C36" s="147" vm="1062">
        <f t="shared" si="2"/>
        <v>261</v>
      </c>
      <c r="D36" s="148">
        <f t="shared" si="3"/>
        <v>6.3349514563106793E-2</v>
      </c>
      <c r="E36" s="71"/>
      <c r="F36" s="71"/>
      <c r="G36" s="71"/>
      <c r="H36" s="71"/>
      <c r="I36" s="71"/>
      <c r="J36" s="71"/>
      <c r="K36" s="71"/>
      <c r="L36" s="174"/>
      <c r="P36" s="173" t="s">
        <v>23</v>
      </c>
      <c r="Q36" s="173" t="str" vm="24">
        <f>CUBEMEMBER("cabcrmsqlrs1 CABReportingCubes Local Client Event","[Client Event Type].[Client Event Type].&amp;[Enquiry]")</f>
        <v>Enquiry</v>
      </c>
      <c r="S36" s="29" t="str" vm="879">
        <f>CUBEMEMBER("cabcrmsqlrs1 CABReportingCubes Local Client Event","[Work Level].[Work Level].[All]","Grand Total")</f>
        <v>Grand Total</v>
      </c>
      <c r="T36" s="23" vm="1118">
        <f>IF(CUBEVALUE("cabcrmsqlrs1 CABReportingCubes Local Client Event",$T$28,$T$29,$T$30,$T$31,$S36,T$33)="",0,CUBEVALUE("cabcrmsqlrs1 CABReportingCubes Local Client Event",$T$28,$T$29,$T$30,$T$31,$S36,T$33))</f>
        <v>1550</v>
      </c>
    </row>
    <row r="37" spans="2:20" ht="15.6">
      <c r="B37" s="146" t="s" vm="38">
        <v>40</v>
      </c>
      <c r="C37" s="147">
        <f t="shared" si="2"/>
        <v>0</v>
      </c>
      <c r="D37" s="148">
        <f t="shared" si="3"/>
        <v>0</v>
      </c>
      <c r="E37" s="71"/>
      <c r="F37" s="71"/>
      <c r="G37" s="71"/>
      <c r="H37" s="71"/>
      <c r="I37" s="71"/>
      <c r="J37" s="71"/>
      <c r="K37" s="71"/>
      <c r="L37" s="174"/>
    </row>
    <row r="38" spans="2:20" ht="15.6">
      <c r="B38" s="146" t="s">
        <v>42</v>
      </c>
      <c r="C38" s="147" vm="1044">
        <f>S71</f>
        <v>14</v>
      </c>
      <c r="D38" s="148">
        <f t="shared" ref="D38:D40" si="4">IF(ISERROR(C38/$C$41),0,C38/$C$41)</f>
        <v>3.3980582524271844E-3</v>
      </c>
      <c r="E38" s="71"/>
      <c r="F38" s="71"/>
      <c r="G38" s="71"/>
      <c r="H38" s="71"/>
      <c r="I38" s="71"/>
      <c r="J38" s="71"/>
      <c r="K38" s="71"/>
      <c r="L38" s="174"/>
    </row>
    <row r="39" spans="2:20" ht="15.6">
      <c r="B39" s="146" t="s">
        <v>44</v>
      </c>
      <c r="C39" s="147" vm="1279">
        <f>S70</f>
        <v>46</v>
      </c>
      <c r="D39" s="148">
        <f t="shared" si="4"/>
        <v>1.116504854368932E-2</v>
      </c>
      <c r="E39" s="71"/>
      <c r="F39" s="71"/>
      <c r="G39" s="71"/>
      <c r="H39" s="71"/>
      <c r="I39" s="71"/>
      <c r="J39" s="71"/>
      <c r="K39" s="71"/>
      <c r="L39" s="174"/>
    </row>
    <row r="40" spans="2:20" ht="15.6">
      <c r="B40" s="146" t="s">
        <v>14</v>
      </c>
      <c r="C40" s="147" vm="1160">
        <f>S69</f>
        <v>1</v>
      </c>
      <c r="D40" s="148">
        <f t="shared" si="4"/>
        <v>2.4271844660194174E-4</v>
      </c>
      <c r="E40" s="71"/>
      <c r="F40" s="71"/>
      <c r="G40" s="71"/>
      <c r="H40" s="71"/>
      <c r="I40" s="71"/>
      <c r="J40" s="71"/>
      <c r="K40" s="71"/>
      <c r="L40" s="174"/>
    </row>
    <row r="41" spans="2:20" ht="15.6">
      <c r="B41" s="183" t="s">
        <v>30</v>
      </c>
      <c r="C41" s="184" vm="1138">
        <f t="shared" ref="C41" si="5">S68</f>
        <v>4120</v>
      </c>
      <c r="D41" s="164">
        <f>IF(ISERROR(C41/$C$41),0,(C41/$C$41))</f>
        <v>1</v>
      </c>
      <c r="E41" s="71"/>
      <c r="F41" s="71"/>
      <c r="G41" s="71"/>
      <c r="H41" s="71"/>
      <c r="I41" s="71"/>
      <c r="J41" s="71"/>
      <c r="K41" s="71"/>
      <c r="L41" s="174"/>
      <c r="P41" s="173" t="s">
        <v>31</v>
      </c>
      <c r="Q41" s="175" t="str" vm="26">
        <f>CUBEMEMBER("cabcrmsqlrs1 CABReportingCubes Local Client Event","[Measures].[Number Of Activities]")</f>
        <v>Number Of Activities</v>
      </c>
    </row>
    <row r="42" spans="2:20">
      <c r="B42" s="71"/>
      <c r="C42" s="71"/>
      <c r="D42" s="180"/>
      <c r="E42" s="71"/>
      <c r="F42" s="71"/>
      <c r="G42" s="71"/>
      <c r="H42" s="71"/>
      <c r="I42" s="71"/>
      <c r="J42" s="71"/>
      <c r="K42" s="71"/>
      <c r="L42" s="174"/>
      <c r="P42" s="153" t="str" vm="31">
        <f>CUBEMEMBER("cabcrmsqlrs1 CABReportingCubes Local Client Event","[Work Level].[Work Level].&amp;[Advice]")</f>
        <v>Advice</v>
      </c>
      <c r="Q42" s="176" vm="1306">
        <f t="shared" ref="Q42:Q47" si="6">IF(CUBEVALUE("cabcrmsqlrs1 CABReportingCubes Local Client Event",$Q$33,$Q$34,$Q$35,$Q$36,$P42,Q$41)="",0,CUBEVALUE("cabcrmsqlrs1 CABReportingCubes Local Client Event",$Q$33,$Q$34,$Q$35,$Q$36,$P42,Q$41))</f>
        <v>813</v>
      </c>
    </row>
    <row r="43" spans="2:20" ht="35.4">
      <c r="B43" s="185" t="s">
        <v>228</v>
      </c>
      <c r="C43" s="71"/>
      <c r="D43" s="180"/>
      <c r="E43" s="71"/>
      <c r="F43" s="71"/>
      <c r="G43" s="71"/>
      <c r="H43" s="71"/>
      <c r="I43" s="71"/>
      <c r="J43" s="71"/>
      <c r="K43" s="71"/>
      <c r="L43" s="174"/>
      <c r="P43" s="153" t="str" vm="32">
        <f>CUBEMEMBER("cabcrmsqlrs1 CABReportingCubes Local Client Event","[Work Level].[Work Level].&amp;[Advice and limited action]")</f>
        <v>Advice and limited action</v>
      </c>
      <c r="Q43" s="176" vm="1283">
        <f t="shared" si="6"/>
        <v>1037</v>
      </c>
    </row>
    <row r="44" spans="2:20" ht="12" customHeight="1">
      <c r="B44" s="71"/>
      <c r="C44" s="71"/>
      <c r="D44" s="71"/>
      <c r="E44" s="71"/>
      <c r="F44" s="71"/>
      <c r="G44" s="71"/>
      <c r="H44" s="71"/>
      <c r="I44" s="71"/>
      <c r="J44" s="71"/>
      <c r="K44" s="71"/>
      <c r="L44" s="174"/>
      <c r="P44" s="153" t="str" vm="35">
        <f>CUBEMEMBER("cabcrmsqlrs1 CABReportingCubes Local Client Event","[Work Level].[Work Level].&amp;[Advice and referral]")</f>
        <v>Advice and referral</v>
      </c>
      <c r="Q44" s="176" vm="1307">
        <f t="shared" si="6"/>
        <v>322</v>
      </c>
    </row>
    <row r="45" spans="2:20" ht="15.6">
      <c r="B45" s="234" t="s">
        <v>33</v>
      </c>
      <c r="C45" s="182" t="s" vm="26">
        <v>41</v>
      </c>
      <c r="D45" s="182" t="s">
        <v>45</v>
      </c>
      <c r="E45" s="71"/>
      <c r="F45" s="71"/>
      <c r="G45" s="71"/>
      <c r="H45" s="71"/>
      <c r="I45" s="71"/>
      <c r="J45" s="71"/>
      <c r="K45" s="71"/>
      <c r="L45" s="174"/>
      <c r="P45" s="153" t="str" vm="33">
        <f>CUBEMEMBER("cabcrmsqlrs1 CABReportingCubes Local Client Event","[Work Level].[Work Level].&amp;[Generalist casework]")</f>
        <v>Generalist casework</v>
      </c>
      <c r="Q45" s="176" vm="1305">
        <f t="shared" si="6"/>
        <v>295</v>
      </c>
    </row>
    <row r="46" spans="2:20" ht="15.6">
      <c r="B46" s="146" t="s" vm="45">
        <v>42</v>
      </c>
      <c r="C46" s="147" vm="1314">
        <f t="shared" ref="C46:C53" si="7">Q79</f>
        <v>816</v>
      </c>
      <c r="D46" s="148">
        <f>IF(ISERROR(C46/$C$53),0,C46/$C$53)</f>
        <v>0.59475218658892126</v>
      </c>
      <c r="E46" s="71"/>
      <c r="F46" s="71"/>
      <c r="G46" s="71"/>
      <c r="H46" s="71"/>
      <c r="I46" s="71"/>
      <c r="J46" s="71"/>
      <c r="K46" s="71"/>
      <c r="L46" s="174"/>
      <c r="P46" s="153" t="str" vm="30">
        <f>CUBEMEMBER("cabcrmsqlrs1 CABReportingCubes Local Client Event","[Work Level].[Work Level].&amp;[Information]")</f>
        <v>Information</v>
      </c>
      <c r="Q46" s="176" vm="1304">
        <f t="shared" si="6"/>
        <v>851</v>
      </c>
    </row>
    <row r="47" spans="2:20" ht="15.6">
      <c r="B47" s="146" t="s" vm="44">
        <v>43</v>
      </c>
      <c r="C47" s="147" vm="1299">
        <f t="shared" si="7"/>
        <v>5</v>
      </c>
      <c r="D47" s="148">
        <f t="shared" ref="D47:D52" si="8">IF(ISERROR(C47/$C$53),0,C47/$C$53)</f>
        <v>3.6443148688046646E-3</v>
      </c>
      <c r="E47" s="71"/>
      <c r="F47" s="71"/>
      <c r="G47" s="71"/>
      <c r="H47" s="71"/>
      <c r="I47" s="71"/>
      <c r="J47" s="71"/>
      <c r="K47" s="71"/>
      <c r="L47" s="174"/>
      <c r="P47" s="153" t="str" vm="34">
        <f>CUBEMEMBER("cabcrmsqlrs1 CABReportingCubes Local Client Event","[Work Level].[Work Level].&amp;[Specialist casework]")</f>
        <v>Specialist casework</v>
      </c>
      <c r="Q47" s="176" vm="1276">
        <f t="shared" si="6"/>
        <v>801</v>
      </c>
    </row>
    <row r="48" spans="2:20" ht="15.6">
      <c r="B48" s="146" t="s" vm="39">
        <v>36</v>
      </c>
      <c r="C48" s="147" vm="1302">
        <f t="shared" si="7"/>
        <v>324</v>
      </c>
      <c r="D48" s="148">
        <f t="shared" si="8"/>
        <v>0.23615160349854228</v>
      </c>
      <c r="E48" s="71"/>
      <c r="F48" s="71"/>
      <c r="G48" s="71"/>
      <c r="H48" s="71"/>
      <c r="I48" s="71"/>
      <c r="J48" s="71"/>
      <c r="K48" s="71"/>
      <c r="L48" s="174"/>
      <c r="P48" s="153" t="s">
        <v>22</v>
      </c>
      <c r="Q48" s="176">
        <f>IF(ISERROR(Q20-S19),0,Q20-S19)</f>
        <v>842</v>
      </c>
    </row>
    <row r="49" spans="2:19" ht="15.6">
      <c r="B49" s="146" t="s" vm="43">
        <v>44</v>
      </c>
      <c r="C49" s="147" vm="1301">
        <f t="shared" si="7"/>
        <v>4</v>
      </c>
      <c r="D49" s="148">
        <f t="shared" si="8"/>
        <v>2.9154518950437317E-3</v>
      </c>
      <c r="E49" s="71"/>
      <c r="F49" s="71"/>
      <c r="G49" s="71"/>
      <c r="H49" s="71"/>
      <c r="I49" s="71"/>
      <c r="J49" s="71"/>
      <c r="K49" s="71"/>
      <c r="L49" s="174"/>
      <c r="P49" s="173" t="s">
        <v>30</v>
      </c>
      <c r="Q49" s="178">
        <f>IF(ISERROR(SUM(Q42:Q48)),0,SUM(Q42:Q48))</f>
        <v>4961</v>
      </c>
    </row>
    <row r="50" spans="2:19" ht="15.6">
      <c r="B50" s="146" t="s" vm="40">
        <v>38</v>
      </c>
      <c r="C50" s="147">
        <f t="shared" si="7"/>
        <v>0</v>
      </c>
      <c r="D50" s="148">
        <f t="shared" si="8"/>
        <v>0</v>
      </c>
      <c r="E50" s="71"/>
      <c r="F50" s="71"/>
      <c r="G50" s="71"/>
      <c r="H50" s="71"/>
      <c r="I50" s="71"/>
      <c r="J50" s="71"/>
      <c r="K50" s="71"/>
      <c r="L50" s="174"/>
    </row>
    <row r="51" spans="2:19" ht="15.6">
      <c r="B51" s="146" t="s" vm="41">
        <v>39</v>
      </c>
      <c r="C51" s="147" vm="1303">
        <f t="shared" si="7"/>
        <v>223</v>
      </c>
      <c r="D51" s="148">
        <f t="shared" si="8"/>
        <v>0.16253644314868804</v>
      </c>
      <c r="E51" s="71"/>
      <c r="F51" s="71"/>
      <c r="G51" s="71"/>
      <c r="H51" s="71"/>
      <c r="I51" s="71"/>
      <c r="J51" s="71"/>
      <c r="K51" s="71"/>
      <c r="L51" s="174"/>
    </row>
    <row r="52" spans="2:19" ht="15.6">
      <c r="B52" s="146" t="s" vm="38">
        <v>40</v>
      </c>
      <c r="C52" s="147">
        <f t="shared" si="7"/>
        <v>0</v>
      </c>
      <c r="D52" s="148">
        <f t="shared" si="8"/>
        <v>0</v>
      </c>
      <c r="E52" s="71"/>
      <c r="F52" s="71"/>
      <c r="G52" s="71"/>
      <c r="H52" s="71"/>
      <c r="I52" s="71"/>
      <c r="J52" s="71"/>
      <c r="K52" s="71"/>
      <c r="L52" s="174"/>
    </row>
    <row r="53" spans="2:19" ht="15.6">
      <c r="B53" s="183" t="s">
        <v>30</v>
      </c>
      <c r="C53" s="184" vm="1300">
        <f t="shared" si="7"/>
        <v>1372</v>
      </c>
      <c r="D53" s="164">
        <f>IF(ISERROR(C53/$C$53),0,C53/$C$53)</f>
        <v>1</v>
      </c>
      <c r="E53" s="71"/>
      <c r="F53" s="71"/>
      <c r="G53" s="71"/>
      <c r="H53" s="71"/>
      <c r="I53" s="71"/>
      <c r="J53" s="71"/>
      <c r="K53" s="71"/>
      <c r="L53" s="174"/>
    </row>
    <row r="54" spans="2:19">
      <c r="B54" s="71"/>
      <c r="C54" s="71"/>
      <c r="D54" s="71"/>
      <c r="E54" s="71"/>
      <c r="F54" s="71"/>
      <c r="G54" s="71"/>
      <c r="H54" s="71"/>
      <c r="I54" s="71"/>
      <c r="J54" s="71"/>
      <c r="K54" s="71"/>
      <c r="L54" s="71"/>
    </row>
    <row r="55" spans="2:19" ht="15.6">
      <c r="P55" s="173" t="s">
        <v>4</v>
      </c>
      <c r="Q55" s="173" t="str" vm="959">
        <f>'Enter Parameters'!D17</f>
        <v>York (member)</v>
      </c>
    </row>
    <row r="56" spans="2:19" ht="15.6" hidden="1">
      <c r="P56" s="173" t="s">
        <v>3</v>
      </c>
      <c r="Q56" s="173" t="str" vm="949">
        <f>'Enter Parameters'!D18</f>
        <v>2016-17</v>
      </c>
    </row>
    <row r="57" spans="2:19" ht="15.6" hidden="1">
      <c r="P57" s="173" t="s">
        <v>21</v>
      </c>
      <c r="Q57" s="173" t="str" vm="941">
        <f>'Enter Parameters'!D19</f>
        <v>All</v>
      </c>
    </row>
    <row r="58" spans="2:19" ht="15.6" hidden="1">
      <c r="P58" s="173" t="s">
        <v>23</v>
      </c>
      <c r="Q58" s="173" t="str" vm="24">
        <f>CUBEMEMBER("cabcrmsqlrs1 CABReportingCubes Local Client Event","[Client Event Type].[Client Event Type].&amp;[Enquiry]")</f>
        <v>Enquiry</v>
      </c>
    </row>
    <row r="59" spans="2:19" hidden="1"/>
    <row r="60" spans="2:19" ht="15.6" hidden="1">
      <c r="P60" s="177" t="str" vm="26">
        <f>CUBEMEMBER("cabcrmsqlrs1 CABReportingCubes Local Client Event","[Measures].[Number Of Activities]")</f>
        <v>Number Of Activities</v>
      </c>
      <c r="Q60" s="153"/>
      <c r="R60" s="153"/>
      <c r="S60" s="153"/>
    </row>
    <row r="61" spans="2:19" ht="15.6" hidden="1">
      <c r="P61" s="177" t="s">
        <v>33</v>
      </c>
      <c r="Q61" s="177" t="str" vm="22">
        <f>CUBEMEMBER("cabcrmsqlrs1 CABReportingCubes Local Client Event","[Event Profile].[Parent Gateway].&amp;[Not recorded/not applicable]")</f>
        <v>Not recorded/not applicable</v>
      </c>
      <c r="R61" s="177" t="str" vm="28">
        <f>CUBEMEMBER("cabcrmsqlrs1 CABReportingCubes Local Client Event","[Event Profile].[Parent Gateway].&amp;[Yes]")</f>
        <v>Yes</v>
      </c>
      <c r="S61" s="177" t="str" vm="23">
        <f>CUBEMEMBER("cabcrmsqlrs1 CABReportingCubes Local Client Event","[Event Profile].[Parent Gateway].[All]","Grand Total")</f>
        <v>Grand Total</v>
      </c>
    </row>
    <row r="62" spans="2:19" hidden="1">
      <c r="P62" s="153" t="str" vm="42">
        <f>CUBEMEMBER("cabcrmsqlrs1 CABReportingCubes Local Client Event","[Event Profile].[Channel].&amp;[E-mail]")</f>
        <v>E-mail</v>
      </c>
      <c r="Q62" s="176" vm="1288">
        <f t="shared" ref="Q62:S71" si="9">IF(CUBEVALUE("cabcrmsqlrs1 CABReportingCubes Local Client Event",$Q$55,$Q$56,$Q$57,$Q$58,$P$60,$P62,Q$61)="",0,CUBEVALUE("cabcrmsqlrs1 CABReportingCubes Local Client Event",$Q$55,$Q$56,$Q$57,$Q$58,$P$60,$P62,Q$61))</f>
        <v>18</v>
      </c>
      <c r="R62" s="176" vm="1287">
        <f t="shared" si="9"/>
        <v>1</v>
      </c>
      <c r="S62" s="176" vm="1186">
        <f t="shared" si="9"/>
        <v>19</v>
      </c>
    </row>
    <row r="63" spans="2:19" hidden="1">
      <c r="P63" s="153" t="str" vm="39">
        <f>CUBEMEMBER("cabcrmsqlrs1 CABReportingCubes Local Client Event","[Event Profile].[Channel].&amp;[Face to Face]")</f>
        <v>Face to Face</v>
      </c>
      <c r="Q63" s="176" vm="1308">
        <f t="shared" si="9"/>
        <v>3305</v>
      </c>
      <c r="R63" s="176" vm="1309">
        <f t="shared" si="9"/>
        <v>469</v>
      </c>
      <c r="S63" s="176" vm="1310">
        <f t="shared" si="9"/>
        <v>3774</v>
      </c>
    </row>
    <row r="64" spans="2:19" hidden="1">
      <c r="P64" s="153" t="str" vm="37">
        <f>CUBEMEMBER("cabcrmsqlrs1 CABReportingCubes Local Client Event","[Event Profile].[Channel].&amp;[Home Visit]")</f>
        <v>Home Visit</v>
      </c>
      <c r="Q64" s="176" vm="1185">
        <f t="shared" si="9"/>
        <v>5</v>
      </c>
      <c r="R64" s="176">
        <f t="shared" si="9"/>
        <v>0</v>
      </c>
      <c r="S64" s="176" vm="1153">
        <f t="shared" si="9"/>
        <v>5</v>
      </c>
    </row>
    <row r="65" spans="16:19" hidden="1">
      <c r="P65" s="153" t="str" vm="40">
        <f>CUBEMEMBER("cabcrmsqlrs1 CABReportingCubes Local Client Event","[Event Profile].[Channel].&amp;[Social Media]")</f>
        <v>Social Media</v>
      </c>
      <c r="Q65" s="176">
        <f t="shared" si="9"/>
        <v>0</v>
      </c>
      <c r="R65" s="176">
        <f t="shared" si="9"/>
        <v>0</v>
      </c>
      <c r="S65" s="176">
        <f t="shared" si="9"/>
        <v>0</v>
      </c>
    </row>
    <row r="66" spans="16:19" hidden="1">
      <c r="P66" s="153" t="str" vm="41">
        <f>CUBEMEMBER("cabcrmsqlrs1 CABReportingCubes Local Client Event","[Event Profile].[Channel].&amp;[Telephone]")</f>
        <v>Telephone</v>
      </c>
      <c r="Q66" s="176" vm="1027">
        <f t="shared" si="9"/>
        <v>205</v>
      </c>
      <c r="R66" s="176" vm="1232">
        <f t="shared" si="9"/>
        <v>56</v>
      </c>
      <c r="S66" s="176" vm="1062">
        <f t="shared" si="9"/>
        <v>261</v>
      </c>
    </row>
    <row r="67" spans="16:19" hidden="1">
      <c r="P67" s="153" t="str" vm="38">
        <f>CUBEMEMBER("cabcrmsqlrs1 CABReportingCubes Local Client Event","[Event Profile].[Channel].&amp;[Webchat]")</f>
        <v>Webchat</v>
      </c>
      <c r="Q67" s="176">
        <f t="shared" si="9"/>
        <v>0</v>
      </c>
      <c r="R67" s="176">
        <f t="shared" si="9"/>
        <v>0</v>
      </c>
      <c r="S67" s="176">
        <f t="shared" si="9"/>
        <v>0</v>
      </c>
    </row>
    <row r="68" spans="16:19" ht="15.6" hidden="1">
      <c r="P68" s="177" t="str" vm="36">
        <f>CUBEMEMBER("cabcrmsqlrs1 CABReportingCubes Local Client Event","[Event Profile].[Channel].[All]","Grand Total")</f>
        <v>Grand Total</v>
      </c>
      <c r="Q68" s="178" vm="1209">
        <f t="shared" si="9"/>
        <v>3590</v>
      </c>
      <c r="R68" s="178" vm="1228">
        <f t="shared" si="9"/>
        <v>530</v>
      </c>
      <c r="S68" s="178" vm="1138">
        <f t="shared" si="9"/>
        <v>4120</v>
      </c>
    </row>
    <row r="69" spans="16:19" hidden="1">
      <c r="P69" s="29" t="str" vm="947">
        <f>CUBEMEMBER("cabcrmsqlrs1 CABReportingCubes Local Client Event","[Event Profile].[Channel].&amp;[Not recorded/not applicable]")</f>
        <v>Not recorded/not applicable</v>
      </c>
      <c r="Q69" s="176" vm="1253">
        <f t="shared" si="9"/>
        <v>1</v>
      </c>
      <c r="R69" s="176">
        <f t="shared" si="9"/>
        <v>0</v>
      </c>
      <c r="S69" s="176" vm="1160">
        <f t="shared" si="9"/>
        <v>1</v>
      </c>
    </row>
    <row r="70" spans="16:19" hidden="1">
      <c r="P70" s="29" t="str" vm="43">
        <f>CUBEMEMBER("cabcrmsqlrs1 CABReportingCubes Local Client Event","[Event Profile].[Channel].&amp;[Letter/Mail]")</f>
        <v>Letter/Mail</v>
      </c>
      <c r="Q70" s="176" vm="1007">
        <f t="shared" si="9"/>
        <v>45</v>
      </c>
      <c r="R70" s="176" vm="1064">
        <f t="shared" si="9"/>
        <v>1</v>
      </c>
      <c r="S70" s="176" vm="1279">
        <f t="shared" si="9"/>
        <v>46</v>
      </c>
    </row>
    <row r="71" spans="16:19" hidden="1">
      <c r="P71" s="29" t="str" vm="45">
        <f>CUBEMEMBER("cabcrmsqlrs1 CABReportingCubes Local Client Event","[Event Profile].[Channel].&amp;[Adviceline Phone]")</f>
        <v>Adviceline Phone</v>
      </c>
      <c r="Q71" s="176" vm="1123">
        <f t="shared" si="9"/>
        <v>11</v>
      </c>
      <c r="R71" s="176" vm="995">
        <f t="shared" si="9"/>
        <v>3</v>
      </c>
      <c r="S71" s="176" vm="1044">
        <f t="shared" si="9"/>
        <v>14</v>
      </c>
    </row>
    <row r="72" spans="16:19" hidden="1"/>
    <row r="73" spans="16:19" ht="15.6" hidden="1">
      <c r="P73" s="173" t="s">
        <v>23</v>
      </c>
      <c r="Q73" s="173" t="str" vm="21">
        <f>CUBEMEMBER("cabcrmsqlrs1 CABReportingCubes Local Client Event","[Client Event Type].[Client Event Type].&amp;[Gateway]")</f>
        <v>Gateway</v>
      </c>
    </row>
    <row r="74" spans="16:19" ht="15.6" hidden="1">
      <c r="P74" s="173" t="s">
        <v>4</v>
      </c>
      <c r="Q74" s="173" t="str" vm="959">
        <f>'Enter Parameters'!D17</f>
        <v>York (member)</v>
      </c>
    </row>
    <row r="75" spans="16:19" ht="15.6" hidden="1">
      <c r="P75" s="173" t="s">
        <v>3</v>
      </c>
      <c r="Q75" s="173" t="str" vm="949">
        <f>'Enter Parameters'!D18</f>
        <v>2016-17</v>
      </c>
    </row>
    <row r="76" spans="16:19" ht="15.6" hidden="1">
      <c r="P76" s="173" t="s">
        <v>21</v>
      </c>
      <c r="Q76" s="173" t="str" vm="941">
        <f>'Enter Parameters'!D19</f>
        <v>All</v>
      </c>
    </row>
    <row r="77" spans="16:19" hidden="1"/>
    <row r="78" spans="16:19" ht="15.6" hidden="1">
      <c r="P78" s="177" t="s">
        <v>33</v>
      </c>
      <c r="Q78" s="178" t="str" vm="26">
        <f>CUBEMEMBER("cabcrmsqlrs1 CABReportingCubes Local Client Event","[Measures].[Number Of Activities]")</f>
        <v>Number Of Activities</v>
      </c>
    </row>
    <row r="79" spans="16:19" hidden="1">
      <c r="P79" s="153" t="str" vm="45">
        <f>CUBEMEMBER("cabcrmsqlrs1 CABReportingCubes Local Client Event","[Event Profile].[Channel].&amp;[Adviceline Phone]")</f>
        <v>Adviceline Phone</v>
      </c>
      <c r="Q79" s="176" vm="1314">
        <f>IF(CUBEVALUE("cabcrmsqlrs1 CABReportingCubes Local Client Event",$Q$73,$Q$74,$Q$75,$Q$76,$P79,Q$78)="",0,CUBEVALUE("cabcrmsqlrs1 CABReportingCubes Local Client Event",$Q$73,$Q$74,$Q$75,$Q$76,$P79,Q$78))</f>
        <v>816</v>
      </c>
      <c r="R79" s="181">
        <v>0</v>
      </c>
      <c r="S79" s="141">
        <f>Q79-R79</f>
        <v>816</v>
      </c>
    </row>
    <row r="80" spans="16:19" hidden="1">
      <c r="P80" s="153" t="str" vm="44">
        <f>CUBEMEMBER("cabcrmsqlrs1 CABReportingCubes Local Client Event","[Event Profile].[Channel].&amp;[Email]")</f>
        <v>Email</v>
      </c>
      <c r="Q80" s="176" vm="1299">
        <f>IF(CUBEVALUE("cabcrmsqlrs1 CABReportingCubes Local Client Event",$Q$73,$Q$74,$Q$75,$Q$76,$P80,Q$78)="",0,CUBEVALUE("cabcrmsqlrs1 CABReportingCubes Local Client Event",$Q$73,$Q$74,$Q$75,$Q$76,$P80,Q$78))</f>
        <v>5</v>
      </c>
      <c r="R80" s="141" vm="1287">
        <f>R62</f>
        <v>1</v>
      </c>
      <c r="S80" s="141">
        <f t="shared" ref="S80:S86" si="10">Q80-R80</f>
        <v>4</v>
      </c>
    </row>
    <row r="81" spans="16:19" hidden="1">
      <c r="P81" s="153" t="str" vm="39">
        <f>CUBEMEMBER("cabcrmsqlrs1 CABReportingCubes Local Client Event","[Event Profile].[Channel].&amp;[Face to Face]")</f>
        <v>Face to Face</v>
      </c>
      <c r="Q81" s="176" vm="1302">
        <f t="shared" ref="Q81" si="11">CUBEVALUE("cabcrmsqlrs1 CABReportingCubes Local Client Event",$Q$73,$Q$74,$Q$75,$Q$76,$P81,Q$78)</f>
        <v>324</v>
      </c>
      <c r="R81" s="141">
        <f>R63+R64</f>
        <v>469</v>
      </c>
      <c r="S81" s="141">
        <f t="shared" si="10"/>
        <v>-145</v>
      </c>
    </row>
    <row r="82" spans="16:19" hidden="1">
      <c r="P82" s="153" t="str" vm="43">
        <f>CUBEMEMBER("cabcrmsqlrs1 CABReportingCubes Local Client Event","[Event Profile].[Channel].&amp;[Letter/Mail]")</f>
        <v>Letter/Mail</v>
      </c>
      <c r="Q82" s="176" vm="1301">
        <f>IF(CUBEVALUE("cabcrmsqlrs1 CABReportingCubes Local Client Event",$Q$73,$Q$74,$Q$75,$Q$76,$P82,Q$78)="",0,CUBEVALUE("cabcrmsqlrs1 CABReportingCubes Local Client Event",$Q$73,$Q$74,$Q$75,$Q$76,$P82,Q$78))</f>
        <v>4</v>
      </c>
      <c r="S82" s="141">
        <f t="shared" si="10"/>
        <v>4</v>
      </c>
    </row>
    <row r="83" spans="16:19" hidden="1">
      <c r="P83" s="153" t="str" vm="40">
        <f>CUBEMEMBER("cabcrmsqlrs1 CABReportingCubes Local Client Event","[Event Profile].[Channel].&amp;[Social Media]")</f>
        <v>Social Media</v>
      </c>
      <c r="Q83" s="176">
        <f>IF(CUBEVALUE("cabcrmsqlrs1 CABReportingCubes Local Client Event",$Q$73,$Q$74,$Q$75,$Q$76,$P83,Q$78)="",0,CUBEVALUE("cabcrmsqlrs1 CABReportingCubes Local Client Event",$Q$73,$Q$74,$Q$75,$Q$76,$P83,Q$78))</f>
        <v>0</v>
      </c>
      <c r="R83" s="141">
        <f>R65</f>
        <v>0</v>
      </c>
      <c r="S83" s="141">
        <f t="shared" si="10"/>
        <v>0</v>
      </c>
    </row>
    <row r="84" spans="16:19" hidden="1">
      <c r="P84" s="153" t="str" vm="41">
        <f>CUBEMEMBER("cabcrmsqlrs1 CABReportingCubes Local Client Event","[Event Profile].[Channel].&amp;[Telephone]")</f>
        <v>Telephone</v>
      </c>
      <c r="Q84" s="176" vm="1303">
        <f>IF(CUBEVALUE("cabcrmsqlrs1 CABReportingCubes Local Client Event",$Q$73,$Q$74,$Q$75,$Q$76,$P84,Q$78)="",0,CUBEVALUE("cabcrmsqlrs1 CABReportingCubes Local Client Event",$Q$73,$Q$74,$Q$75,$Q$76,$P84,Q$78))</f>
        <v>223</v>
      </c>
      <c r="R84" s="141" vm="1232">
        <f>R66</f>
        <v>56</v>
      </c>
      <c r="S84" s="141">
        <f t="shared" si="10"/>
        <v>167</v>
      </c>
    </row>
    <row r="85" spans="16:19" hidden="1">
      <c r="P85" s="153" t="str" vm="38">
        <f>CUBEMEMBER("cabcrmsqlrs1 CABReportingCubes Local Client Event","[Event Profile].[Channel].&amp;[Webchat]")</f>
        <v>Webchat</v>
      </c>
      <c r="Q85" s="176">
        <f>IF(CUBEVALUE("cabcrmsqlrs1 CABReportingCubes Local Client Event",$Q$73,$Q$74,$Q$75,$Q$76,$P85,Q$78)="",0,CUBEVALUE("cabcrmsqlrs1 CABReportingCubes Local Client Event",$Q$73,$Q$74,$Q$75,$Q$76,$P85,Q$78))</f>
        <v>0</v>
      </c>
      <c r="R85" s="141">
        <f>R67</f>
        <v>0</v>
      </c>
      <c r="S85" s="141">
        <f t="shared" si="10"/>
        <v>0</v>
      </c>
    </row>
    <row r="86" spans="16:19" ht="15.6" hidden="1">
      <c r="P86" s="177" t="str" vm="36">
        <f>CUBEMEMBER("cabcrmsqlrs1 CABReportingCubes Local Client Event","[Event Profile].[Channel].[All]","Grand Total")</f>
        <v>Grand Total</v>
      </c>
      <c r="Q86" s="178" vm="1300">
        <f>IF(CUBEVALUE("cabcrmsqlrs1 CABReportingCubes Local Client Event",$Q$73,$Q$74,$Q$75,$Q$76,$P86,Q$78)="",0,CUBEVALUE("cabcrmsqlrs1 CABReportingCubes Local Client Event",$Q$73,$Q$74,$Q$75,$Q$76,$P86,Q$78))</f>
        <v>1372</v>
      </c>
      <c r="R86" s="141">
        <f>SUM(R79:R85)</f>
        <v>526</v>
      </c>
      <c r="S86" s="141">
        <f t="shared" si="10"/>
        <v>846</v>
      </c>
    </row>
    <row r="87" spans="16:19" hidden="1"/>
    <row r="88" spans="16:19" hidden="1">
      <c r="Q88" s="141"/>
    </row>
  </sheetData>
  <hyperlinks>
    <hyperlink ref="H13" location="'Understanding the data'!B70" display="Click"/>
  </hyperlinks>
  <pageMargins left="0.70866141732283472" right="0.70866141732283472" top="0.74803149606299213" bottom="0.74803149606299213" header="0.31496062992125984" footer="0.31496062992125984"/>
  <pageSetup paperSize="9" scale="57" orientation="landscape" r:id="rId1"/>
  <headerFooter>
    <oddHeader>&amp;RPage &amp;P&amp;C&amp;A</oddHeader>
    <oddFooter>&amp;CPage &amp;P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F2492D83-1C54-4F17-A409-AFF4BA8D5DFB}">
            <xm:f>'Enter Parameters'!$D$19&lt;&gt;"All"</xm:f>
            <x14:dxf>
              <font>
                <color rgb="FFFF0000"/>
              </font>
            </x14:dxf>
          </x14:cfRule>
          <xm:sqref>B13</xm:sqref>
        </x14:conditionalFormatting>
        <x14:conditionalFormatting xmlns:xm="http://schemas.microsoft.com/office/excel/2006/main">
          <x14:cfRule type="expression" priority="1" id="{DC4EFD9E-1C04-4D3D-B1E7-EB5D87B45361}">
            <xm:f>'Enter Parameters'!$D$19&lt;&gt;"All"</xm:f>
            <x14:dxf>
              <font>
                <b/>
                <i val="0"/>
                <color rgb="FFFF0000"/>
              </font>
            </x14:dxf>
          </x14:cfRule>
          <xm:sqref>H13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39997558519241921"/>
    <pageSetUpPr fitToPage="1"/>
  </sheetPr>
  <dimension ref="A1:X65"/>
  <sheetViews>
    <sheetView showGridLines="0" showRowColHeaders="0" topLeftCell="A3" zoomScale="90" zoomScaleNormal="90" workbookViewId="0">
      <pane ySplit="10" topLeftCell="A13" activePane="bottomLeft" state="frozen"/>
      <selection activeCell="B3" sqref="B3"/>
      <selection pane="bottomLeft" activeCell="A5" sqref="A5"/>
    </sheetView>
  </sheetViews>
  <sheetFormatPr defaultColWidth="0" defaultRowHeight="15" zeroHeight="1"/>
  <cols>
    <col min="1" max="1" width="1.6328125" style="23" customWidth="1"/>
    <col min="2" max="2" width="23.90625" style="23" customWidth="1"/>
    <col min="3" max="6" width="18.90625" style="23" customWidth="1"/>
    <col min="7" max="9" width="19.1796875" style="23" customWidth="1"/>
    <col min="10" max="10" width="3.90625" style="23" customWidth="1"/>
    <col min="11" max="12" width="3.90625" style="23" hidden="1" customWidth="1"/>
    <col min="13" max="18" width="8.90625" style="23" hidden="1" customWidth="1"/>
    <col min="19" max="19" width="27.1796875" style="23" hidden="1" customWidth="1"/>
    <col min="20" max="20" width="18.453125" style="23" hidden="1" customWidth="1"/>
    <col min="21" max="21" width="8.90625" style="23" hidden="1" customWidth="1"/>
    <col min="22" max="22" width="15.08984375" style="23" hidden="1" customWidth="1"/>
    <col min="23" max="23" width="18.453125" style="23" hidden="1" customWidth="1"/>
    <col min="24" max="16384" width="8.90625" style="23" hidden="1"/>
  </cols>
  <sheetData>
    <row r="1" spans="2:23" hidden="1">
      <c r="D1" s="145"/>
      <c r="E1" s="145"/>
    </row>
    <row r="2" spans="2:23" hidden="1">
      <c r="D2" s="145"/>
      <c r="E2" s="145"/>
    </row>
    <row r="3" spans="2:23" hidden="1">
      <c r="D3" s="145"/>
      <c r="E3" s="145"/>
      <c r="L3" s="71"/>
      <c r="M3" s="71"/>
      <c r="N3" s="71"/>
      <c r="O3" s="71"/>
    </row>
    <row r="4" spans="2:23" ht="9" hidden="1" customHeight="1">
      <c r="B4" s="133"/>
      <c r="C4" s="133"/>
      <c r="D4" s="167"/>
      <c r="E4" s="167"/>
      <c r="F4" s="133"/>
      <c r="G4" s="133"/>
      <c r="H4" s="133"/>
      <c r="I4" s="133"/>
      <c r="M4" s="71"/>
      <c r="N4" s="71"/>
      <c r="O4" s="71"/>
    </row>
    <row r="5" spans="2:23" ht="12.75" customHeight="1">
      <c r="B5" s="133"/>
      <c r="C5" s="133"/>
      <c r="D5" s="167"/>
      <c r="E5" s="167"/>
      <c r="F5" s="133"/>
      <c r="G5" s="133"/>
      <c r="H5" s="133"/>
      <c r="I5" s="133"/>
      <c r="M5" s="71"/>
      <c r="N5" s="71"/>
      <c r="O5" s="71"/>
    </row>
    <row r="6" spans="2:23">
      <c r="B6" s="133"/>
      <c r="C6" s="133"/>
      <c r="D6" s="167"/>
      <c r="E6" s="167"/>
      <c r="F6" s="133"/>
      <c r="G6" s="133"/>
      <c r="H6" s="133"/>
      <c r="I6" s="133"/>
      <c r="M6" s="71"/>
      <c r="N6" s="71"/>
      <c r="O6" s="71"/>
      <c r="V6" s="23" t="s">
        <v>4</v>
      </c>
      <c r="W6" s="23" t="str" vm="959">
        <f>'Enter Parameters'!D17</f>
        <v>York (member)</v>
      </c>
    </row>
    <row r="7" spans="2:23">
      <c r="B7" s="133"/>
      <c r="C7" s="133"/>
      <c r="D7" s="167"/>
      <c r="E7" s="167"/>
      <c r="F7" s="133"/>
      <c r="G7" s="133"/>
      <c r="H7" s="133"/>
      <c r="I7" s="133"/>
      <c r="M7" s="71"/>
      <c r="N7" s="71"/>
      <c r="O7" s="71"/>
      <c r="S7" s="23" t="s">
        <v>4</v>
      </c>
      <c r="T7" s="23" t="str" vm="959">
        <f>'Enter Parameters'!D17</f>
        <v>York (member)</v>
      </c>
      <c r="V7" s="23" t="s">
        <v>3</v>
      </c>
      <c r="W7" s="23" t="str" vm="949">
        <f>'Enter Parameters'!D18</f>
        <v>2016-17</v>
      </c>
    </row>
    <row r="8" spans="2:23">
      <c r="B8" s="133"/>
      <c r="C8" s="133"/>
      <c r="D8" s="167"/>
      <c r="E8" s="167"/>
      <c r="F8" s="133"/>
      <c r="G8" s="133"/>
      <c r="H8" s="133"/>
      <c r="I8" s="133"/>
      <c r="M8" s="71"/>
      <c r="N8" s="71"/>
      <c r="O8" s="71"/>
      <c r="S8" s="23" t="s">
        <v>3</v>
      </c>
      <c r="T8" s="23" t="str" vm="949">
        <f>'Enter Parameters'!D18</f>
        <v>2016-17</v>
      </c>
      <c r="V8" s="23" t="s">
        <v>21</v>
      </c>
      <c r="W8" s="23" t="str" vm="941">
        <f>'Enter Parameters'!D19</f>
        <v>All</v>
      </c>
    </row>
    <row r="9" spans="2:23">
      <c r="B9" s="133"/>
      <c r="C9" s="133"/>
      <c r="D9" s="167"/>
      <c r="E9" s="167"/>
      <c r="F9" s="133"/>
      <c r="G9" s="133"/>
      <c r="H9" s="133"/>
      <c r="I9" s="133"/>
      <c r="M9" s="71"/>
      <c r="N9" s="71"/>
      <c r="O9" s="71"/>
      <c r="S9" s="23" t="s">
        <v>21</v>
      </c>
      <c r="T9" s="23" t="str" vm="941">
        <f>'Enter Parameters'!D19</f>
        <v>All</v>
      </c>
      <c r="V9" s="23" t="s">
        <v>23</v>
      </c>
      <c r="W9" s="23" t="str" vm="21">
        <f>CUBEMEMBER("cabcrmsqlrs1 CABReportingCubes Local Client Event","[Client Event Type].[Client Event Type].&amp;[Gateway]")</f>
        <v>Gateway</v>
      </c>
    </row>
    <row r="10" spans="2:23" hidden="1">
      <c r="B10" s="133"/>
      <c r="C10" s="133"/>
      <c r="D10" s="167"/>
      <c r="E10" s="167"/>
      <c r="F10" s="133"/>
      <c r="G10" s="133"/>
      <c r="H10" s="133"/>
      <c r="I10" s="133"/>
      <c r="M10" s="71"/>
      <c r="N10" s="71"/>
      <c r="O10" s="71"/>
    </row>
    <row r="11" spans="2:23" ht="9.75" hidden="1" customHeight="1">
      <c r="B11" s="133"/>
      <c r="C11" s="133"/>
      <c r="D11" s="167"/>
      <c r="E11" s="167"/>
      <c r="F11" s="133"/>
      <c r="G11" s="133"/>
      <c r="H11" s="133"/>
      <c r="I11" s="133"/>
      <c r="M11" s="71"/>
      <c r="N11" s="71"/>
      <c r="O11" s="71"/>
      <c r="S11" s="23" t="s">
        <v>46</v>
      </c>
      <c r="T11" s="23" t="str" vm="26">
        <f>CUBEMEMBER("cabcrmsqlrs1 CABReportingCubes Local Client Event","[Measures].[Number Of Activities]")</f>
        <v>Number Of Activities</v>
      </c>
      <c r="V11" s="23" t="s">
        <v>46</v>
      </c>
      <c r="W11" s="23" t="str" vm="26">
        <f>CUBEMEMBER("cabcrmsqlrs1 CABReportingCubes Local Client Event","[Measures].[Number Of Activities]")</f>
        <v>Number Of Activities</v>
      </c>
    </row>
    <row r="12" spans="2:23" ht="11.25" customHeight="1">
      <c r="B12" s="133"/>
      <c r="C12" s="133"/>
      <c r="D12" s="167"/>
      <c r="E12" s="167"/>
      <c r="F12" s="133"/>
      <c r="G12" s="133"/>
      <c r="H12" s="133"/>
      <c r="I12" s="133"/>
      <c r="M12" s="71"/>
      <c r="N12" s="71"/>
      <c r="O12" s="71"/>
      <c r="S12" s="29" t="str" vm="69">
        <f>CUBEMEMBER("cabcrmsqlrs1 CABReportingCubes Local Client Event","[Client Event Type].[Client Event Type].&amp;[Email]")</f>
        <v>Email</v>
      </c>
      <c r="T12" s="23" vm="1226">
        <f t="shared" ref="T12:T36" si="0">IF(CUBEVALUE("cabcrmsqlrs1 CABReportingCubes Local Client Event",$T$7,$T$8,$T$9,$S12,T$11)="",0,CUBEVALUE("cabcrmsqlrs1 CABReportingCubes Local Client Event",$T$7,$T$8,$T$9,$S12,T$11))</f>
        <v>2224</v>
      </c>
      <c r="V12" s="29" t="str" vm="45">
        <f>CUBEMEMBER("cabcrmsqlrs1 CABReportingCubes Local Client Event","[Event Profile].[Channel].&amp;[Adviceline Phone]")</f>
        <v>Adviceline Phone</v>
      </c>
      <c r="W12" s="23" vm="1248">
        <f t="shared" ref="W12:W19" si="1">IF(CUBEVALUE("cabcrmsqlrs1 CABReportingCubes Local Client Event",$W$6,$W$7,$W$8,$W$9,$V12,W$11)="",0,CUBEVALUE("cabcrmsqlrs1 CABReportingCubes Local Client Event",$W$6,$W$7,$W$8,$W$9,$V12,W$11))</f>
        <v>816</v>
      </c>
    </row>
    <row r="13" spans="2:23" ht="6.75" customHeight="1">
      <c r="S13" s="30" t="str" vm="63">
        <f>CUBEMEMBER("cabcrmsqlrs1 CABReportingCubes Local Client Event",{"[Client Event Type].[Client Event Type].&amp;[Email]","[Work Type].[Work Type].&amp;[BEF Preparation]"})</f>
        <v>BEF Preparation</v>
      </c>
      <c r="T13" s="23">
        <f t="shared" si="0"/>
        <v>0</v>
      </c>
      <c r="V13" s="29" t="str" vm="44">
        <f>CUBEMEMBER("cabcrmsqlrs1 CABReportingCubes Local Client Event","[Event Profile].[Channel].&amp;[Email]")</f>
        <v>Email</v>
      </c>
      <c r="W13" s="23" vm="1297">
        <f t="shared" si="1"/>
        <v>5</v>
      </c>
    </row>
    <row r="14" spans="2:23" ht="35.4">
      <c r="B14" s="185" t="s">
        <v>52</v>
      </c>
      <c r="F14" s="185" t="s">
        <v>230</v>
      </c>
      <c r="S14" s="30" t="str" vm="58">
        <f>CUBEMEMBER("cabcrmsqlrs1 CABReportingCubes Local Client Event",{"[Client Event Type].[Client Event Type].&amp;[Email]","[Work Type].[Work Type].&amp;[Casework Preparation]"})</f>
        <v>Casework Preparation</v>
      </c>
      <c r="T14" s="23" vm="1000">
        <f t="shared" si="0"/>
        <v>163</v>
      </c>
      <c r="V14" s="29" t="str" vm="39">
        <f>CUBEMEMBER("cabcrmsqlrs1 CABReportingCubes Local Client Event","[Event Profile].[Channel].&amp;[Face to Face]")</f>
        <v>Face to Face</v>
      </c>
      <c r="W14" s="23" vm="1296">
        <f t="shared" si="1"/>
        <v>324</v>
      </c>
    </row>
    <row r="15" spans="2:23" ht="6" customHeight="1">
      <c r="S15" s="30" t="str" vm="52">
        <f>CUBEMEMBER("cabcrmsqlrs1 CABReportingCubes Local Client Event",{"[Client Event Type].[Client Event Type].&amp;[Email]","[Work Type].[Work Type].&amp;[Client]"})</f>
        <v>Client</v>
      </c>
      <c r="T15" s="23" vm="1179">
        <f t="shared" si="0"/>
        <v>943</v>
      </c>
      <c r="V15" s="29" t="str" vm="43">
        <f>CUBEMEMBER("cabcrmsqlrs1 CABReportingCubes Local Client Event","[Event Profile].[Channel].&amp;[Letter/Mail]")</f>
        <v>Letter/Mail</v>
      </c>
      <c r="W15" s="23" vm="1294">
        <f t="shared" si="1"/>
        <v>4</v>
      </c>
    </row>
    <row r="16" spans="2:23" ht="6.75" customHeight="1">
      <c r="S16" s="30" t="str" vm="68">
        <f>CUBEMEMBER("cabcrmsqlrs1 CABReportingCubes Local Client Event",{"[Client Event Type].[Client Event Type].&amp;[Email]","[Work Type].[Work Type].&amp;[Not recorded/not applicable]"})</f>
        <v>Not recorded/not applicable</v>
      </c>
      <c r="T16" s="23">
        <f t="shared" si="0"/>
        <v>0</v>
      </c>
      <c r="V16" s="29" t="str" vm="40">
        <f>CUBEMEMBER("cabcrmsqlrs1 CABReportingCubes Local Client Event","[Event Profile].[Channel].&amp;[Social Media]")</f>
        <v>Social Media</v>
      </c>
      <c r="W16" s="23">
        <f t="shared" si="1"/>
        <v>0</v>
      </c>
    </row>
    <row r="17" spans="2:24" s="157" customFormat="1" ht="31.2">
      <c r="C17" s="160" t="s" vm="46">
        <v>48</v>
      </c>
      <c r="D17" s="160" t="s" vm="47">
        <v>49</v>
      </c>
      <c r="G17" s="160" t="s" vm="64">
        <v>47</v>
      </c>
      <c r="S17" s="186" t="str" vm="62">
        <f>CUBEMEMBER("cabcrmsqlrs1 CABReportingCubes Local Client Event",{"[Client Event Type].[Client Event Type].&amp;[Email]","[Work Type].[Work Type].&amp;[Third Party]"})</f>
        <v>Third Party</v>
      </c>
      <c r="T17" s="157" vm="1010">
        <f t="shared" si="0"/>
        <v>1118</v>
      </c>
      <c r="V17" s="29" t="str" vm="41">
        <f>CUBEMEMBER("cabcrmsqlrs1 CABReportingCubes Local Client Event","[Event Profile].[Channel].&amp;[Telephone]")</f>
        <v>Telephone</v>
      </c>
      <c r="W17" s="23" vm="1298">
        <f t="shared" si="1"/>
        <v>223</v>
      </c>
      <c r="X17" s="23"/>
    </row>
    <row r="18" spans="2:24">
      <c r="B18" s="171" t="s">
        <v>36</v>
      </c>
      <c r="C18" s="147" vm="1338">
        <f>T21</f>
        <v>5182</v>
      </c>
      <c r="D18" s="147" vm="1251">
        <f>T$23</f>
        <v>70</v>
      </c>
      <c r="F18" s="171" t="s">
        <v>36</v>
      </c>
      <c r="G18" s="147" vm="1059">
        <f>T$20</f>
        <v>30</v>
      </c>
      <c r="S18" s="29" t="str" vm="57">
        <f>CUBEMEMBER("cabcrmsqlrs1 CABReportingCubes Local Client Event","[Client Event Type].[Client Event Type].&amp;[Face to face]")</f>
        <v>Face to face</v>
      </c>
      <c r="T18" s="23" vm="1006">
        <f t="shared" si="0"/>
        <v>5282</v>
      </c>
      <c r="V18" s="29" t="str" vm="38">
        <f>CUBEMEMBER("cabcrmsqlrs1 CABReportingCubes Local Client Event","[Event Profile].[Channel].&amp;[Webchat]")</f>
        <v>Webchat</v>
      </c>
      <c r="W18" s="23">
        <f t="shared" si="1"/>
        <v>0</v>
      </c>
    </row>
    <row r="19" spans="2:24">
      <c r="B19" s="171" t="s">
        <v>50</v>
      </c>
      <c r="C19" s="147" vm="1337">
        <f>T$33</f>
        <v>2968</v>
      </c>
      <c r="D19" s="147" vm="1009">
        <f>T$35</f>
        <v>1475</v>
      </c>
      <c r="F19" s="171" t="s">
        <v>50</v>
      </c>
      <c r="G19" s="147" vm="994">
        <f>T$32</f>
        <v>135</v>
      </c>
      <c r="S19" s="30" t="str" vm="51">
        <f>CUBEMEMBER("cabcrmsqlrs1 CABReportingCubes Local Client Event",{"[Client Event Type].[Client Event Type].&amp;[Face to face]","[Work Type].[Work Type].&amp;[BEF Preparation]"})</f>
        <v>BEF Preparation</v>
      </c>
      <c r="T19" s="23">
        <f t="shared" si="0"/>
        <v>0</v>
      </c>
      <c r="V19" s="29" t="str" vm="36">
        <f>CUBEMEMBER("cabcrmsqlrs1 CABReportingCubes Local Client Event","[Event Profile].[Channel].[All]","Grand Total")</f>
        <v>Grand Total</v>
      </c>
      <c r="W19" s="23" vm="1295">
        <f t="shared" si="1"/>
        <v>1372</v>
      </c>
    </row>
    <row r="20" spans="2:24">
      <c r="B20" s="171" t="s">
        <v>51</v>
      </c>
      <c r="C20" s="147" vm="1166">
        <f>T27</f>
        <v>6955</v>
      </c>
      <c r="D20" s="147" vm="1336">
        <f>T$29</f>
        <v>2378</v>
      </c>
      <c r="F20" s="171" t="s">
        <v>51</v>
      </c>
      <c r="G20" s="147" vm="983">
        <f>T$26</f>
        <v>2314</v>
      </c>
      <c r="S20" s="30" t="str" vm="67">
        <f>CUBEMEMBER("cabcrmsqlrs1 CABReportingCubes Local Client Event",{"[Client Event Type].[Client Event Type].&amp;[Face to face]","[Work Type].[Work Type].&amp;[Casework Preparation]"})</f>
        <v>Casework Preparation</v>
      </c>
      <c r="T20" s="23" vm="1059">
        <f t="shared" si="0"/>
        <v>30</v>
      </c>
    </row>
    <row r="21" spans="2:24">
      <c r="B21" s="171" t="s">
        <v>43</v>
      </c>
      <c r="C21" s="147" vm="1179">
        <f>T$15</f>
        <v>943</v>
      </c>
      <c r="D21" s="147" vm="1010">
        <f>T$17</f>
        <v>1118</v>
      </c>
      <c r="F21" s="171" t="s">
        <v>43</v>
      </c>
      <c r="G21" s="147" vm="1000">
        <f>T$14</f>
        <v>163</v>
      </c>
      <c r="S21" s="30" t="str" vm="61">
        <f>CUBEMEMBER("cabcrmsqlrs1 CABReportingCubes Local Client Event",{"[Client Event Type].[Client Event Type].&amp;[Face to face]","[Work Type].[Work Type].&amp;[Client]"})</f>
        <v>Client</v>
      </c>
      <c r="T21" s="23" vm="1338">
        <f t="shared" si="0"/>
        <v>5182</v>
      </c>
    </row>
    <row r="22" spans="2:24" ht="15.6">
      <c r="B22" s="188" t="s">
        <v>30</v>
      </c>
      <c r="C22" s="163">
        <f>SUM(C18:C21)</f>
        <v>16048</v>
      </c>
      <c r="D22" s="163">
        <f>SUM(D18:D21)</f>
        <v>5041</v>
      </c>
      <c r="F22" s="188" t="s">
        <v>30</v>
      </c>
      <c r="G22" s="163">
        <f>SUM(G18:G21)</f>
        <v>2642</v>
      </c>
      <c r="S22" s="30" t="str" vm="56">
        <f>CUBEMEMBER("cabcrmsqlrs1 CABReportingCubes Local Client Event",{"[Client Event Type].[Client Event Type].&amp;[Face to face]","[Work Type].[Work Type].&amp;[Not recorded/not applicable]"})</f>
        <v>Not recorded/not applicable</v>
      </c>
      <c r="T22" s="23">
        <f t="shared" si="0"/>
        <v>0</v>
      </c>
    </row>
    <row r="23" spans="2:24" ht="6" customHeight="1">
      <c r="S23" s="30" t="str" vm="50">
        <f>CUBEMEMBER("cabcrmsqlrs1 CABReportingCubes Local Client Event",{"[Client Event Type].[Client Event Type].&amp;[Face to face]","[Work Type].[Work Type].&amp;[Third Party]"})</f>
        <v>Third Party</v>
      </c>
      <c r="T23" s="23" vm="1251">
        <f t="shared" si="0"/>
        <v>70</v>
      </c>
      <c r="V23" s="23" t="s">
        <v>4</v>
      </c>
      <c r="W23" s="23" t="str" vm="959">
        <f>'Enter Parameters'!D17</f>
        <v>York (member)</v>
      </c>
    </row>
    <row r="24" spans="2:24" ht="3.75" customHeight="1">
      <c r="S24" s="29" t="str" vm="66">
        <f>CUBEMEMBER("cabcrmsqlrs1 CABReportingCubes Local Client Event","[Client Event Type].[Client Event Type].&amp;[Letter]")</f>
        <v>Letter</v>
      </c>
      <c r="T24" s="23" vm="989">
        <f t="shared" si="0"/>
        <v>11654</v>
      </c>
      <c r="V24" s="23" t="s">
        <v>3</v>
      </c>
      <c r="W24" s="23" t="str" vm="949">
        <f>'Enter Parameters'!D18</f>
        <v>2016-17</v>
      </c>
    </row>
    <row r="25" spans="2:24" ht="33" customHeight="1">
      <c r="B25" s="185" t="s">
        <v>54</v>
      </c>
      <c r="E25" s="185"/>
      <c r="S25" s="30" t="str" vm="60">
        <f>CUBEMEMBER("cabcrmsqlrs1 CABReportingCubes Local Client Event",{"[Client Event Type].[Client Event Type].&amp;[Letter]","[Work Type].[Work Type].&amp;[BEF Preparation]"})</f>
        <v>BEF Preparation</v>
      </c>
      <c r="T25" s="23" vm="1345">
        <f t="shared" si="0"/>
        <v>7</v>
      </c>
      <c r="V25" s="23" t="s">
        <v>21</v>
      </c>
      <c r="W25" s="23" t="str" vm="941">
        <f>'Enter Parameters'!D19</f>
        <v>All</v>
      </c>
    </row>
    <row r="26" spans="2:24" ht="12" customHeight="1">
      <c r="S26" s="30" t="str" vm="55">
        <f>CUBEMEMBER("cabcrmsqlrs1 CABReportingCubes Local Client Event",{"[Client Event Type].[Client Event Type].&amp;[Letter]","[Work Type].[Work Type].&amp;[Casework Preparation]"})</f>
        <v>Casework Preparation</v>
      </c>
      <c r="T26" s="23" vm="983">
        <f t="shared" si="0"/>
        <v>2314</v>
      </c>
      <c r="V26" s="23" t="s">
        <v>23</v>
      </c>
      <c r="W26" s="23" t="str" vm="27">
        <f>CUBEMEMBER("cabcrmsqlrs1 CABReportingCubes Local Client Event","[Client Event Type].[Client Event Type].&amp;[Day sheet]")</f>
        <v>Day sheet</v>
      </c>
    </row>
    <row r="27" spans="2:24" ht="15.6">
      <c r="C27" s="160" t="s">
        <v>22</v>
      </c>
      <c r="D27" s="160" t="s">
        <v>53</v>
      </c>
      <c r="S27" s="30" t="str" vm="49">
        <f>CUBEMEMBER("cabcrmsqlrs1 CABReportingCubes Local Client Event",{"[Client Event Type].[Client Event Type].&amp;[Letter]","[Work Type].[Work Type].&amp;[Client]"})</f>
        <v>Client</v>
      </c>
      <c r="T27" s="23" vm="1166">
        <f t="shared" si="0"/>
        <v>6955</v>
      </c>
    </row>
    <row r="28" spans="2:24">
      <c r="B28" s="171" t="s" vm="39">
        <v>36</v>
      </c>
      <c r="C28" s="147" vm="1296">
        <f>W$14</f>
        <v>324</v>
      </c>
      <c r="D28" s="147" vm="1140">
        <f>W$30</f>
        <v>1392</v>
      </c>
      <c r="S28" s="30" t="str" vm="65">
        <f>CUBEMEMBER("cabcrmsqlrs1 CABReportingCubes Local Client Event",{"[Client Event Type].[Client Event Type].&amp;[Letter]","[Work Type].[Work Type].&amp;[Not recorded/not applicable]"})</f>
        <v>Not recorded/not applicable</v>
      </c>
      <c r="T28" s="23">
        <f t="shared" si="0"/>
        <v>0</v>
      </c>
      <c r="V28" s="23" t="s">
        <v>46</v>
      </c>
      <c r="W28" s="23" t="str" vm="26">
        <f>CUBEMEMBER("cabcrmsqlrs1 CABReportingCubes Local Client Event","[Measures].[Number Of Activities]")</f>
        <v>Number Of Activities</v>
      </c>
    </row>
    <row r="29" spans="2:24">
      <c r="B29" s="171" t="s" vm="45">
        <v>42</v>
      </c>
      <c r="C29" s="147" vm="1248">
        <f>W$12</f>
        <v>816</v>
      </c>
      <c r="D29" s="147" vm="1077">
        <f>W$31</f>
        <v>90</v>
      </c>
      <c r="S29" s="30" t="str" vm="59">
        <f>CUBEMEMBER("cabcrmsqlrs1 CABReportingCubes Local Client Event",{"[Client Event Type].[Client Event Type].&amp;[Letter]","[Work Type].[Work Type].&amp;[Third Party]"})</f>
        <v>Third Party</v>
      </c>
      <c r="T29" s="23" vm="1336">
        <f t="shared" si="0"/>
        <v>2378</v>
      </c>
      <c r="V29" s="29" t="str" vm="72">
        <f>CUBEMEMBER("cabcrmsqlrs1 CABReportingCubes Local Client Event","[Event Profile].[Day Sheet Contact Channel].&amp;[Email]")</f>
        <v>Email</v>
      </c>
      <c r="W29" s="23">
        <f>IF(CUBEVALUE("cabcrmsqlrs1 CABReportingCubes Local Client Event",$W$23,$W$24,$W$25,$W$26,$V29,W$28)="",0,CUBEVALUE("cabcrmsqlrs1 CABReportingCubes Local Client Event",$W$23,$W$24,$W$25,$W$26,$V29,W$28))</f>
        <v>0</v>
      </c>
    </row>
    <row r="30" spans="2:24">
      <c r="B30" s="171" t="s" vm="41">
        <v>39</v>
      </c>
      <c r="C30" s="147" vm="1298">
        <f>W$17</f>
        <v>223</v>
      </c>
      <c r="D30" s="147" vm="1187">
        <f>W$32</f>
        <v>68</v>
      </c>
      <c r="S30" s="29" t="str" vm="54">
        <f>CUBEMEMBER("cabcrmsqlrs1 CABReportingCubes Local Client Event","[Client Event Type].[Client Event Type].&amp;[Phone call]")</f>
        <v>Phone call</v>
      </c>
      <c r="T30" s="23" vm="1067">
        <f t="shared" si="0"/>
        <v>4578</v>
      </c>
      <c r="V30" s="29" t="str" vm="71">
        <f>CUBEMEMBER("cabcrmsqlrs1 CABReportingCubes Local Client Event","[Event Profile].[Day Sheet Contact Channel].&amp;[Face to Face]")</f>
        <v>Face to Face</v>
      </c>
      <c r="W30" s="23" vm="1140">
        <f>IF(CUBEVALUE("cabcrmsqlrs1 CABReportingCubes Local Client Event",$W$23,$W$24,$W$25,$W$26,$V30,W$28)="",0,CUBEVALUE("cabcrmsqlrs1 CABReportingCubes Local Client Event",$W$23,$W$24,$W$25,$W$26,$V30,W$28))</f>
        <v>1392</v>
      </c>
    </row>
    <row r="31" spans="2:24">
      <c r="B31" s="171" t="s" vm="43">
        <v>44</v>
      </c>
      <c r="C31" s="147" vm="1294">
        <f>W$15</f>
        <v>4</v>
      </c>
      <c r="D31" s="147">
        <f>W34</f>
        <v>0</v>
      </c>
      <c r="S31" s="30" t="str" vm="48">
        <f>CUBEMEMBER("cabcrmsqlrs1 CABReportingCubes Local Client Event",{"[Client Event Type].[Client Event Type].&amp;[Phone call]","[Work Type].[Work Type].&amp;[BEF Preparation]"})</f>
        <v>BEF Preparation</v>
      </c>
      <c r="T31" s="23">
        <f t="shared" si="0"/>
        <v>0</v>
      </c>
      <c r="V31" s="29" t="str" vm="73">
        <f>CUBEMEMBER("cabcrmsqlrs1 CABReportingCubes Local Client Event","[Event Profile].[Day Sheet Contact Channel].&amp;[Phone Adviceline]")</f>
        <v>Phone Adviceline</v>
      </c>
      <c r="W31" s="23" vm="1077">
        <f>IF(CUBEVALUE("cabcrmsqlrs1 CABReportingCubes Local Client Event",$W$23,$W$24,$W$25,$W$26,$V31,W$28)="",0,CUBEVALUE("cabcrmsqlrs1 CABReportingCubes Local Client Event",$W$23,$W$24,$W$25,$W$26,$V31,W$28))</f>
        <v>90</v>
      </c>
    </row>
    <row r="32" spans="2:24">
      <c r="B32" s="171" t="s" vm="44">
        <v>43</v>
      </c>
      <c r="C32" s="147" vm="1297">
        <f>W$13</f>
        <v>5</v>
      </c>
      <c r="D32" s="147">
        <f>W$29</f>
        <v>0</v>
      </c>
      <c r="S32" s="30" t="str" vm="64">
        <f>CUBEMEMBER("cabcrmsqlrs1 CABReportingCubes Local Client Event",{"[Client Event Type].[Client Event Type].&amp;[Phone call]","[Work Type].[Work Type].&amp;[Casework Preparation]"})</f>
        <v>Casework Preparation</v>
      </c>
      <c r="T32" s="23" vm="994">
        <f t="shared" si="0"/>
        <v>135</v>
      </c>
      <c r="V32" s="29" t="str" vm="75">
        <f>CUBEMEMBER("cabcrmsqlrs1 CABReportingCubes Local Client Event","[Event Profile].[Day Sheet Contact Channel].&amp;[Telephone]")</f>
        <v>Telephone</v>
      </c>
      <c r="W32" s="23" vm="1187">
        <f>IF(CUBEVALUE("cabcrmsqlrs1 CABReportingCubes Local Client Event",$W$23,$W$24,$W$25,$W$26,$V32,W$28)="",0,CUBEVALUE("cabcrmsqlrs1 CABReportingCubes Local Client Event",$W$23,$W$24,$W$25,$W$26,$V32,W$28))</f>
        <v>68</v>
      </c>
    </row>
    <row r="33" spans="2:23">
      <c r="B33" s="171" t="s" vm="40">
        <v>38</v>
      </c>
      <c r="C33" s="147">
        <f>W16</f>
        <v>0</v>
      </c>
      <c r="D33" s="147">
        <v>0</v>
      </c>
      <c r="S33" s="30" t="str" vm="46">
        <f>CUBEMEMBER("cabcrmsqlrs1 CABReportingCubes Local Client Event",{"[Client Event Type].[Client Event Type].&amp;[Phone call]","[Work Type].[Work Type].&amp;[Client]"})</f>
        <v>Client</v>
      </c>
      <c r="T33" s="23" vm="1337">
        <f t="shared" si="0"/>
        <v>2968</v>
      </c>
      <c r="V33" s="29" t="str" vm="74">
        <f>CUBEMEMBER("cabcrmsqlrs1 CABReportingCubes Local Client Event","[Event Profile].[Day Sheet Contact Channel].[All]","Grand Total")</f>
        <v>Grand Total</v>
      </c>
      <c r="W33" s="23" vm="1255">
        <f>IF(CUBEVALUE("cabcrmsqlrs1 CABReportingCubes Local Client Event",$W$23,$W$24,$W$25,$W$26,$V33,W$28)="",0,CUBEVALUE("cabcrmsqlrs1 CABReportingCubes Local Client Event",$W$23,$W$24,$W$25,$W$26,$V33,W$28))</f>
        <v>1550</v>
      </c>
    </row>
    <row r="34" spans="2:23">
      <c r="B34" s="171" t="s" vm="38">
        <v>40</v>
      </c>
      <c r="C34" s="147">
        <f>W$18</f>
        <v>0</v>
      </c>
      <c r="D34" s="147">
        <v>0</v>
      </c>
      <c r="S34" s="30" t="str" vm="53">
        <f>CUBEMEMBER("cabcrmsqlrs1 CABReportingCubes Local Client Event",{"[Client Event Type].[Client Event Type].&amp;[Phone call]","[Work Type].[Work Type].&amp;[Not recorded/not applicable]"})</f>
        <v>Not recorded/not applicable</v>
      </c>
      <c r="T34" s="23">
        <f t="shared" si="0"/>
        <v>0</v>
      </c>
      <c r="V34" s="23" t="s">
        <v>44</v>
      </c>
      <c r="W34" s="23">
        <f>IF(ISNA(CUBEVALUE("cabcrmsqlrs1 CABReportingCubes Local Client Event",$W$23,$W$24,$W$25,$W$26,$V34,W$28)),0,CUBEVALUE("cabcrmsqlrs1 CABReportingCubes Local Client Event",$W$23,$W$24,$W$25,$W$26,$V34,W$28))</f>
        <v>0</v>
      </c>
    </row>
    <row r="35" spans="2:23" ht="15.6">
      <c r="B35" s="188" t="s">
        <v>30</v>
      </c>
      <c r="C35" s="163">
        <f>SUM(C28:C34)</f>
        <v>1372</v>
      </c>
      <c r="D35" s="163">
        <f>SUM(D28:D34)</f>
        <v>1550</v>
      </c>
      <c r="S35" s="30" t="str" vm="47">
        <f>CUBEMEMBER("cabcrmsqlrs1 CABReportingCubes Local Client Event",{"[Client Event Type].[Client Event Type].&amp;[Phone call]","[Work Type].[Work Type].&amp;[Third Party]"})</f>
        <v>Third Party</v>
      </c>
      <c r="T35" s="23" vm="1009">
        <f t="shared" si="0"/>
        <v>1475</v>
      </c>
    </row>
    <row r="36" spans="2:23" ht="6.75" customHeight="1">
      <c r="S36" s="29" t="str" vm="70">
        <f>CUBESET("cabcrmsqlrs1 CABReportingCubes Local Client Event",($S$30,$S$24,$S$18,$S$12),"Grand Total")</f>
        <v>Grand Total</v>
      </c>
      <c r="T36" s="23" vm="1342">
        <f t="shared" si="0"/>
        <v>23738</v>
      </c>
    </row>
    <row r="37" spans="2:23" ht="35.4">
      <c r="B37" s="185" t="s">
        <v>139</v>
      </c>
    </row>
    <row r="38" spans="2:23" ht="6" customHeight="1"/>
    <row r="39" spans="2:23" ht="15.6">
      <c r="C39" s="160" t="s">
        <v>48</v>
      </c>
      <c r="D39" s="160" t="s" vm="47">
        <v>49</v>
      </c>
      <c r="E39" s="160" t="s">
        <v>231</v>
      </c>
      <c r="F39" s="189" t="s">
        <v>30</v>
      </c>
      <c r="G39" s="160" t="s">
        <v>48</v>
      </c>
      <c r="H39" s="160" t="s" vm="47">
        <v>49</v>
      </c>
      <c r="I39" s="160" t="s">
        <v>231</v>
      </c>
    </row>
    <row r="40" spans="2:23" ht="15.6">
      <c r="B40" s="171" t="s" vm="39">
        <v>36</v>
      </c>
      <c r="C40" s="147">
        <f>$C$28+$D$28+$C$18</f>
        <v>6898</v>
      </c>
      <c r="D40" s="147" vm="1251">
        <f>$D$18</f>
        <v>70</v>
      </c>
      <c r="E40" s="147">
        <f>SUM($G$18:$G$18)</f>
        <v>30</v>
      </c>
      <c r="F40" s="187">
        <f>SUM(C40:E40)</f>
        <v>6998</v>
      </c>
      <c r="G40" s="148">
        <f>IF(ISERROR(C40/$F40),0,C40/$F40)</f>
        <v>0.98571020291511857</v>
      </c>
      <c r="H40" s="148">
        <f>IF(ISERROR(D40/$F40),0,D40/$F40)</f>
        <v>1.0002857959416977E-2</v>
      </c>
      <c r="I40" s="148">
        <f>IF(ISERROR(E40/$F40),0,E40/$F40)</f>
        <v>4.2869391254644184E-3</v>
      </c>
    </row>
    <row r="41" spans="2:23" ht="15.6">
      <c r="B41" s="171" t="s" vm="45">
        <v>42</v>
      </c>
      <c r="C41" s="147">
        <f>$C$29+$D$29</f>
        <v>906</v>
      </c>
      <c r="D41" s="147">
        <v>0</v>
      </c>
      <c r="E41" s="147">
        <v>0</v>
      </c>
      <c r="F41" s="187">
        <f>SUM(C41:E41)</f>
        <v>906</v>
      </c>
      <c r="G41" s="148">
        <f t="shared" ref="G41:G46" si="2">IF(ISERROR(C41/$F41),0,C41/$F41)</f>
        <v>1</v>
      </c>
      <c r="H41" s="148">
        <f t="shared" ref="H41:H46" si="3">IF(ISERROR(D41/$F41),0,D41/$F41)</f>
        <v>0</v>
      </c>
      <c r="I41" s="148">
        <f t="shared" ref="I41:I46" si="4">IF(ISERROR(E41/$F41),0,E41/$F41)</f>
        <v>0</v>
      </c>
    </row>
    <row r="42" spans="2:23" ht="15.6">
      <c r="B42" s="171" t="s" vm="41">
        <v>39</v>
      </c>
      <c r="C42" s="147">
        <f>$C$30+$D$30+$C$19</f>
        <v>3259</v>
      </c>
      <c r="D42" s="147" vm="1009">
        <f>$D$19</f>
        <v>1475</v>
      </c>
      <c r="E42" s="147">
        <f>SUM($G$19:$G$19)</f>
        <v>135</v>
      </c>
      <c r="F42" s="187">
        <f>SUM(C42:E42)</f>
        <v>4869</v>
      </c>
      <c r="G42" s="148">
        <f t="shared" si="2"/>
        <v>0.66933661942904088</v>
      </c>
      <c r="H42" s="148">
        <f t="shared" si="3"/>
        <v>0.3029369480386116</v>
      </c>
      <c r="I42" s="148">
        <f t="shared" si="4"/>
        <v>2.7726432532347505E-2</v>
      </c>
    </row>
    <row r="43" spans="2:23" ht="15.6">
      <c r="B43" s="171" t="s" vm="43">
        <v>44</v>
      </c>
      <c r="C43" s="147">
        <f>$C$31+$D$31+$C$20</f>
        <v>6959</v>
      </c>
      <c r="D43" s="147" vm="1336">
        <f>$D$20</f>
        <v>2378</v>
      </c>
      <c r="E43" s="147">
        <f>SUM($G$20:$G$20)</f>
        <v>2314</v>
      </c>
      <c r="F43" s="187">
        <f t="shared" ref="F43:F46" si="5">SUM(C43:E43)</f>
        <v>11651</v>
      </c>
      <c r="G43" s="148">
        <f t="shared" si="2"/>
        <v>0.59728778645609815</v>
      </c>
      <c r="H43" s="148">
        <f t="shared" si="3"/>
        <v>0.20410265213286413</v>
      </c>
      <c r="I43" s="148">
        <f t="shared" si="4"/>
        <v>0.19860956141103767</v>
      </c>
    </row>
    <row r="44" spans="2:23" ht="15.6">
      <c r="B44" s="171" t="s" vm="44">
        <v>43</v>
      </c>
      <c r="C44" s="147">
        <f>$C$32+$D$32+$C$21</f>
        <v>948</v>
      </c>
      <c r="D44" s="147" vm="1010">
        <f>$D$21</f>
        <v>1118</v>
      </c>
      <c r="E44" s="147">
        <f>SUM($G$21:$G$21)</f>
        <v>163</v>
      </c>
      <c r="F44" s="187">
        <f>SUM(C44:E44)</f>
        <v>2229</v>
      </c>
      <c r="G44" s="148">
        <f t="shared" si="2"/>
        <v>0.42530282637954242</v>
      </c>
      <c r="H44" s="148">
        <f t="shared" si="3"/>
        <v>0.50157021085688647</v>
      </c>
      <c r="I44" s="148">
        <f t="shared" si="4"/>
        <v>7.3126962763571113E-2</v>
      </c>
    </row>
    <row r="45" spans="2:23" ht="15.6">
      <c r="B45" s="171" t="s" vm="40">
        <v>38</v>
      </c>
      <c r="C45" s="147">
        <f>$C$33+$D$33</f>
        <v>0</v>
      </c>
      <c r="D45" s="147">
        <v>0</v>
      </c>
      <c r="E45" s="147">
        <v>0</v>
      </c>
      <c r="F45" s="187">
        <f>SUM(C45:E45)</f>
        <v>0</v>
      </c>
      <c r="G45" s="148">
        <f t="shared" si="2"/>
        <v>0</v>
      </c>
      <c r="H45" s="148">
        <f t="shared" si="3"/>
        <v>0</v>
      </c>
      <c r="I45" s="148">
        <f t="shared" si="4"/>
        <v>0</v>
      </c>
    </row>
    <row r="46" spans="2:23" ht="15.6">
      <c r="B46" s="171" t="s" vm="38">
        <v>40</v>
      </c>
      <c r="C46" s="147">
        <f>$C$34+$D$34</f>
        <v>0</v>
      </c>
      <c r="D46" s="147">
        <v>0</v>
      </c>
      <c r="E46" s="147">
        <v>0</v>
      </c>
      <c r="F46" s="187">
        <f t="shared" si="5"/>
        <v>0</v>
      </c>
      <c r="G46" s="148">
        <f t="shared" si="2"/>
        <v>0</v>
      </c>
      <c r="H46" s="148">
        <f t="shared" si="3"/>
        <v>0</v>
      </c>
      <c r="I46" s="148">
        <f t="shared" si="4"/>
        <v>0</v>
      </c>
    </row>
    <row r="47" spans="2:23" ht="15.6">
      <c r="B47" s="188" t="s">
        <v>30</v>
      </c>
      <c r="C47" s="163">
        <f>SUM(C40:C46)</f>
        <v>18970</v>
      </c>
      <c r="D47" s="163">
        <f t="shared" ref="D47:F47" si="6">SUM(D40:D46)</f>
        <v>5041</v>
      </c>
      <c r="E47" s="163">
        <f t="shared" si="6"/>
        <v>2642</v>
      </c>
      <c r="F47" s="163">
        <f t="shared" si="6"/>
        <v>26653</v>
      </c>
      <c r="G47" s="164">
        <f>IF(ISERROR(C47/$F47),0,C47/$F47)</f>
        <v>0.71173976663039806</v>
      </c>
      <c r="H47" s="164">
        <f>IF(ISERROR(D47/$F47),0,D47/$F47)</f>
        <v>0.18913443139609049</v>
      </c>
      <c r="I47" s="164">
        <f>IF(ISERROR(E47/$F47),0,E47/$F47)</f>
        <v>9.9125801973511424E-2</v>
      </c>
    </row>
    <row r="48" spans="2:23"/>
    <row r="49"/>
    <row r="50"/>
    <row r="51"/>
    <row r="52"/>
    <row r="53"/>
    <row r="54"/>
    <row r="55"/>
    <row r="56"/>
    <row r="57"/>
    <row r="58"/>
    <row r="59"/>
    <row r="60"/>
    <row r="61"/>
    <row r="62"/>
    <row r="63"/>
    <row r="64"/>
    <row r="65"/>
  </sheetData>
  <pageMargins left="0.70866141732283472" right="0.70866141732283472" top="0.74803149606299213" bottom="0.74803149606299213" header="0.31496062992125984" footer="0.31496062992125984"/>
  <pageSetup paperSize="9" scale="54" orientation="landscape" r:id="rId1"/>
  <headerFooter>
    <oddHeader>&amp;RPage &amp;P&amp;C&amp;A</oddHeader>
    <oddFooter>&amp;CPage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39997558519241921"/>
    <pageSetUpPr fitToPage="1"/>
  </sheetPr>
  <dimension ref="A1:BB164"/>
  <sheetViews>
    <sheetView showGridLines="0" showRowColHeaders="0" zoomScaleNormal="100" workbookViewId="0">
      <pane ySplit="8" topLeftCell="A13" activePane="bottomLeft" state="frozen"/>
      <selection activeCell="A3" sqref="A3"/>
      <selection pane="bottomLeft" activeCell="C22" sqref="C22"/>
    </sheetView>
  </sheetViews>
  <sheetFormatPr defaultColWidth="0" defaultRowHeight="15" zeroHeight="1"/>
  <cols>
    <col min="1" max="1" width="1.81640625" style="23" customWidth="1"/>
    <col min="2" max="2" width="30.90625" style="23" bestFit="1" customWidth="1"/>
    <col min="3" max="3" width="14.90625" style="23" bestFit="1" customWidth="1"/>
    <col min="4" max="7" width="8.90625" style="23" customWidth="1"/>
    <col min="8" max="8" width="8" style="23" customWidth="1"/>
    <col min="9" max="9" width="8.90625" style="23" customWidth="1"/>
    <col min="10" max="11" width="12.90625" style="23" customWidth="1"/>
    <col min="12" max="12" width="4.81640625" style="23" customWidth="1"/>
    <col min="13" max="13" width="6" style="23" customWidth="1"/>
    <col min="14" max="14" width="12" style="23" customWidth="1"/>
    <col min="15" max="15" width="5.36328125" style="23" hidden="1" customWidth="1"/>
    <col min="16" max="16" width="3.08984375" style="23" hidden="1" customWidth="1"/>
    <col min="17" max="19" width="8.90625" style="23" hidden="1" customWidth="1"/>
    <col min="20" max="20" width="31.54296875" style="23" hidden="1" customWidth="1"/>
    <col min="21" max="21" width="30" style="23" hidden="1" customWidth="1"/>
    <col min="22" max="22" width="18.36328125" style="23" hidden="1" customWidth="1"/>
    <col min="23" max="23" width="14.54296875" style="23" hidden="1" customWidth="1"/>
    <col min="24" max="24" width="14.36328125" style="23" hidden="1" customWidth="1"/>
    <col min="25" max="34" width="8.90625" style="23" hidden="1" customWidth="1"/>
    <col min="35" max="35" width="22.6328125" style="23" hidden="1" customWidth="1"/>
    <col min="36" max="42" width="8.90625" style="23" hidden="1" customWidth="1"/>
    <col min="43" max="43" width="12.81640625" style="23" hidden="1" customWidth="1"/>
    <col min="44" max="44" width="18.36328125" style="23" hidden="1" customWidth="1"/>
    <col min="45" max="46" width="8.90625" style="23" hidden="1" customWidth="1"/>
    <col min="47" max="47" width="18.36328125" style="23" hidden="1" customWidth="1"/>
    <col min="48" max="48" width="14.36328125" style="23" hidden="1" customWidth="1"/>
    <col min="49" max="49" width="8.90625" style="23" hidden="1" customWidth="1"/>
    <col min="50" max="50" width="18.36328125" style="23" hidden="1" customWidth="1"/>
    <col min="51" max="51" width="14.36328125" style="23" hidden="1" customWidth="1"/>
    <col min="52" max="52" width="8.90625" style="23" hidden="1" customWidth="1"/>
    <col min="53" max="53" width="18.36328125" style="23" hidden="1" customWidth="1"/>
    <col min="54" max="54" width="18.453125" style="23" hidden="1" customWidth="1"/>
    <col min="55" max="16384" width="8.90625" style="23" hidden="1"/>
  </cols>
  <sheetData>
    <row r="1" spans="2:54" hidden="1">
      <c r="D1" s="145"/>
      <c r="E1" s="145"/>
    </row>
    <row r="2" spans="2:54" hidden="1">
      <c r="D2" s="145"/>
      <c r="E2" s="145"/>
    </row>
    <row r="3" spans="2:54" ht="6.75" customHeight="1">
      <c r="B3" s="71"/>
      <c r="C3" s="71"/>
      <c r="D3" s="235"/>
      <c r="E3" s="235"/>
      <c r="F3" s="71"/>
      <c r="G3" s="71"/>
      <c r="H3" s="71"/>
      <c r="I3" s="71"/>
      <c r="J3" s="71"/>
      <c r="K3" s="71"/>
      <c r="L3" s="71"/>
      <c r="M3" s="71"/>
      <c r="N3" s="71"/>
      <c r="O3" s="71"/>
      <c r="P3" s="71"/>
      <c r="Q3" s="71"/>
      <c r="R3" s="71"/>
    </row>
    <row r="4" spans="2:54" ht="3.75" customHeight="1">
      <c r="B4" s="133"/>
      <c r="C4" s="133"/>
      <c r="D4" s="167"/>
      <c r="E4" s="167"/>
      <c r="F4" s="133"/>
      <c r="G4" s="133"/>
      <c r="H4" s="133"/>
      <c r="I4" s="133"/>
      <c r="J4" s="133"/>
      <c r="K4" s="133"/>
      <c r="L4" s="133"/>
      <c r="M4" s="133"/>
      <c r="N4" s="133"/>
      <c r="O4" s="133"/>
      <c r="P4" s="71"/>
      <c r="Q4" s="71"/>
      <c r="R4" s="71"/>
    </row>
    <row r="5" spans="2:54" ht="11.25" customHeight="1">
      <c r="B5" s="133"/>
      <c r="C5" s="133"/>
      <c r="D5" s="167"/>
      <c r="E5" s="167"/>
      <c r="F5" s="133"/>
      <c r="G5" s="133"/>
      <c r="H5" s="133"/>
      <c r="I5" s="133"/>
      <c r="J5" s="133"/>
      <c r="K5" s="133"/>
      <c r="L5" s="133"/>
      <c r="M5" s="133"/>
      <c r="N5" s="133"/>
      <c r="O5" s="133"/>
      <c r="P5" s="71"/>
      <c r="Q5" s="71"/>
      <c r="R5" s="71"/>
      <c r="AU5" s="23" t="s">
        <v>3</v>
      </c>
      <c r="AV5" s="23" t="str" vm="949">
        <f>'Enter Parameters'!D18</f>
        <v>2016-17</v>
      </c>
      <c r="AX5" s="23" t="s">
        <v>3</v>
      </c>
      <c r="AY5" s="23" t="str" vm="949">
        <f>'Enter Parameters'!D18</f>
        <v>2016-17</v>
      </c>
      <c r="BA5" s="23" t="s">
        <v>3</v>
      </c>
      <c r="BB5" s="23" t="str" vm="949">
        <f>'Enter Parameters'!D18</f>
        <v>2016-17</v>
      </c>
    </row>
    <row r="6" spans="2:54">
      <c r="B6" s="133"/>
      <c r="C6" s="133"/>
      <c r="D6" s="167"/>
      <c r="E6" s="167"/>
      <c r="F6" s="133"/>
      <c r="G6" s="133"/>
      <c r="H6" s="133"/>
      <c r="I6" s="133"/>
      <c r="J6" s="133"/>
      <c r="K6" s="133"/>
      <c r="L6" s="133"/>
      <c r="M6" s="133"/>
      <c r="N6" s="133"/>
      <c r="O6" s="133"/>
      <c r="P6" s="71"/>
      <c r="Q6" s="71"/>
      <c r="R6" s="71"/>
      <c r="AU6" s="23" t="s">
        <v>21</v>
      </c>
      <c r="AV6" s="23" t="str" vm="941">
        <f>'Enter Parameters'!D19</f>
        <v>All</v>
      </c>
      <c r="AX6" s="23" t="s">
        <v>21</v>
      </c>
      <c r="AY6" s="23" t="str" vm="941">
        <f>'Enter Parameters'!D19</f>
        <v>All</v>
      </c>
      <c r="BA6" s="23" t="s">
        <v>21</v>
      </c>
      <c r="BB6" s="23" t="str" vm="941">
        <f>'Enter Parameters'!D19</f>
        <v>All</v>
      </c>
    </row>
    <row r="7" spans="2:54">
      <c r="B7" s="133"/>
      <c r="C7" s="133"/>
      <c r="D7" s="167"/>
      <c r="E7" s="167"/>
      <c r="F7" s="133"/>
      <c r="G7" s="133"/>
      <c r="H7" s="133"/>
      <c r="I7" s="133"/>
      <c r="J7" s="133"/>
      <c r="K7" s="133"/>
      <c r="L7" s="133"/>
      <c r="M7" s="133"/>
      <c r="N7" s="133"/>
      <c r="O7" s="133"/>
      <c r="P7" s="71"/>
      <c r="Q7" s="71"/>
      <c r="R7" s="71"/>
      <c r="U7" s="145"/>
      <c r="AU7" s="23" t="s">
        <v>4</v>
      </c>
      <c r="AV7" s="23" t="str" vm="959">
        <f>'Enter Parameters'!D17</f>
        <v>York (member)</v>
      </c>
      <c r="AX7" s="23" t="s">
        <v>4</v>
      </c>
      <c r="AY7" s="23" t="str" vm="959">
        <f>'Enter Parameters'!D17</f>
        <v>York (member)</v>
      </c>
      <c r="BA7" s="23" t="s">
        <v>4</v>
      </c>
      <c r="BB7" s="23" t="str" vm="959">
        <f>'Enter Parameters'!D17</f>
        <v>York (member)</v>
      </c>
    </row>
    <row r="8" spans="2:54">
      <c r="B8" s="133"/>
      <c r="C8" s="133"/>
      <c r="D8" s="167"/>
      <c r="E8" s="167"/>
      <c r="F8" s="133"/>
      <c r="G8" s="133"/>
      <c r="H8" s="133"/>
      <c r="I8" s="133"/>
      <c r="J8" s="133"/>
      <c r="K8" s="133"/>
      <c r="L8" s="133"/>
      <c r="M8" s="133"/>
      <c r="N8" s="133"/>
      <c r="O8" s="133"/>
      <c r="P8" s="71"/>
      <c r="Q8" s="71"/>
      <c r="R8" s="71"/>
      <c r="U8" s="145"/>
      <c r="W8" s="225" t="s">
        <v>23</v>
      </c>
      <c r="X8" s="226" t="s" vm="76">
        <v>2</v>
      </c>
      <c r="AU8" s="23" t="s">
        <v>23</v>
      </c>
      <c r="AV8" s="23" t="str" vm="955">
        <f>CUBESET("cabcrmsqlrs1 CABReportingCubes Local Client Event","{[Client Event Type].[Client Event Type].&amp;[Enquiry],[Client Event Type].[Client Event Type].&amp;[Gateway]}","(Multiple Items)")</f>
        <v>(Multiple Items)</v>
      </c>
      <c r="AX8" s="23" t="s">
        <v>23</v>
      </c>
      <c r="AY8" s="23" t="str" vm="956">
        <f>CUBESET("cabcrmsqlrs1 CABReportingCubes Local Client Event","{[Client Event Type].[Client Event Type].&amp;[Email],[Client Event Type].[Client Event Type].&amp;[Letter],[Client Event Type].[Client Event Type].&amp;[Phone call],[Client Event Type].[Client Event Type].&amp;[Face to face]}","(Multiple Items)")</f>
        <v>(Multiple Items)</v>
      </c>
      <c r="BA8" s="23" t="s">
        <v>23</v>
      </c>
      <c r="BB8" s="23" t="str" vm="27">
        <f>CUBEMEMBER("cabcrmsqlrs1 CABReportingCubes Local Client Event","[Client Event Type].[Client Event Type].&amp;[Day sheet]")</f>
        <v>Day sheet</v>
      </c>
    </row>
    <row r="9" spans="2:54" hidden="1">
      <c r="B9" s="133"/>
      <c r="C9" s="133"/>
      <c r="D9" s="167"/>
      <c r="E9" s="167"/>
      <c r="F9" s="133"/>
      <c r="G9" s="133"/>
      <c r="H9" s="133"/>
      <c r="I9" s="133"/>
      <c r="J9" s="133"/>
      <c r="K9" s="133"/>
      <c r="L9" s="133"/>
      <c r="M9" s="133"/>
      <c r="N9" s="133"/>
      <c r="O9" s="133"/>
      <c r="P9" s="71"/>
      <c r="Q9" s="71"/>
      <c r="R9" s="71"/>
      <c r="U9" s="145"/>
    </row>
    <row r="10" spans="2:54" ht="21" hidden="1" customHeight="1">
      <c r="B10" s="133"/>
      <c r="C10" s="133"/>
      <c r="D10" s="167"/>
      <c r="E10" s="167"/>
      <c r="F10" s="133"/>
      <c r="G10" s="133"/>
      <c r="H10" s="133"/>
      <c r="I10" s="133"/>
      <c r="J10" s="133"/>
      <c r="K10" s="133"/>
      <c r="L10" s="133"/>
      <c r="M10" s="133"/>
      <c r="N10" s="133"/>
      <c r="O10" s="133"/>
      <c r="P10" s="71"/>
      <c r="Q10" s="71"/>
      <c r="R10" s="71"/>
      <c r="T10" s="190" t="s">
        <v>4</v>
      </c>
      <c r="U10" s="191" t="str" vm="959">
        <f>'Enter Parameters'!D17</f>
        <v>York (member)</v>
      </c>
      <c r="AQ10" s="152" t="s">
        <v>3</v>
      </c>
      <c r="AR10" s="152" t="str" vm="949">
        <f>'Enter Parameters'!D18</f>
        <v>2016-17</v>
      </c>
      <c r="AU10" s="23" t="str" vm="77">
        <f>CUBEMEMBER("cabcrmsqlrs1 CABReportingCubes Local Client Event","[Measures].[Unique Client Count]")</f>
        <v>Unique Client Count</v>
      </c>
      <c r="AX10" s="23" t="str" vm="77">
        <f>CUBEMEMBER("cabcrmsqlrs1 CABReportingCubes Local Client Event","[Measures].[Unique Client Count]")</f>
        <v>Unique Client Count</v>
      </c>
      <c r="BA10" s="23" t="str" vm="77">
        <f>CUBEMEMBER("cabcrmsqlrs1 CABReportingCubes Local Client Event","[Measures].[Unique Client Count]")</f>
        <v>Unique Client Count</v>
      </c>
      <c r="BB10" s="23" t="str" vm="26">
        <f>CUBEMEMBER("cabcrmsqlrs1 CABReportingCubes Local Client Event","[Measures].[Number Of Activities]")</f>
        <v>Number Of Activities</v>
      </c>
    </row>
    <row r="11" spans="2:54" ht="18.75" hidden="1" customHeight="1">
      <c r="B11" s="133"/>
      <c r="C11" s="133"/>
      <c r="D11" s="167"/>
      <c r="E11" s="167"/>
      <c r="F11" s="133"/>
      <c r="G11" s="133"/>
      <c r="H11" s="133"/>
      <c r="I11" s="133"/>
      <c r="J11" s="133"/>
      <c r="K11" s="133"/>
      <c r="L11" s="133"/>
      <c r="M11" s="133"/>
      <c r="N11" s="133"/>
      <c r="O11" s="133"/>
      <c r="P11" s="71"/>
      <c r="Q11" s="71"/>
      <c r="R11" s="71"/>
      <c r="T11" s="190" t="s">
        <v>3</v>
      </c>
      <c r="U11" s="191" t="str" vm="949">
        <f>'Enter Parameters'!D18</f>
        <v>2016-17</v>
      </c>
      <c r="AQ11" s="152" t="s">
        <v>21</v>
      </c>
      <c r="AR11" s="152" t="str" vm="941">
        <f>'Enter Parameters'!D19</f>
        <v>All</v>
      </c>
      <c r="AU11" s="23" vm="971">
        <f>CUBEVALUE("cabcrmsqlrs1 CABReportingCubes Local Client Event",$AV$5,$AV$6,$AV$7,$AV$8,$AU$10)</f>
        <v>3698</v>
      </c>
      <c r="AX11" s="23" vm="966">
        <f>CUBEVALUE("cabcrmsqlrs1 CABReportingCubes Local Client Event",$AY$5,$AY$6,$AY$7,$AY$8,$AX$10)</f>
        <v>3282</v>
      </c>
      <c r="BA11" s="23" vm="967">
        <f>CUBEVALUE("cabcrmsqlrs1 CABReportingCubes Local Client Event",$BB$5,$BB$6,$BB$7,$BB$8,BA$10)</f>
        <v>1</v>
      </c>
      <c r="BB11" s="23" vm="976">
        <f>CUBEVALUE("cabcrmsqlrs1 CABReportingCubes Local Client Event",$BB$5,$BB$6,$BB$7,$BB$8,BB$10)</f>
        <v>1550</v>
      </c>
    </row>
    <row r="12" spans="2:54" ht="27.75" hidden="1" customHeight="1">
      <c r="B12" s="133"/>
      <c r="C12" s="133"/>
      <c r="D12" s="167"/>
      <c r="E12" s="167"/>
      <c r="F12" s="133"/>
      <c r="G12" s="133"/>
      <c r="H12" s="133"/>
      <c r="I12" s="133"/>
      <c r="J12" s="133"/>
      <c r="K12" s="133"/>
      <c r="L12" s="133"/>
      <c r="M12" s="133"/>
      <c r="N12" s="133"/>
      <c r="O12" s="133"/>
      <c r="P12" s="71"/>
      <c r="Q12" s="71"/>
      <c r="R12" s="71"/>
      <c r="T12" s="190" t="s">
        <v>21</v>
      </c>
      <c r="U12" s="191" t="str" vm="941">
        <f>'Enter Parameters'!D19</f>
        <v>All</v>
      </c>
      <c r="V12" s="29"/>
      <c r="AQ12" s="152" t="s">
        <v>4</v>
      </c>
      <c r="AR12" s="152" t="str" vm="959">
        <f>'Enter Parameters'!D17</f>
        <v>York (member)</v>
      </c>
    </row>
    <row r="13" spans="2:54" ht="2.25" customHeight="1">
      <c r="B13" s="71"/>
      <c r="T13" s="192" t="s">
        <v>23</v>
      </c>
      <c r="U13" s="193" t="str" vm="76">
        <f>X8</f>
        <v>(Multiple Items)</v>
      </c>
      <c r="AQ13" s="152"/>
      <c r="AR13" s="152"/>
    </row>
    <row r="14" spans="2:54" ht="27.75" customHeight="1">
      <c r="B14" s="71"/>
      <c r="U14" s="145"/>
      <c r="AQ14" s="152" t="s">
        <v>46</v>
      </c>
      <c r="AR14" s="152" t="str" vm="77">
        <f>CUBEMEMBER("cabcrmsqlrs1 CABReportingCubes Local Client Event","[Measures].[Unique Client Count]")</f>
        <v>Unique Client Count</v>
      </c>
    </row>
    <row r="15" spans="2:54" ht="32.25" customHeight="1">
      <c r="B15" s="200" t="s">
        <v>55</v>
      </c>
      <c r="T15" s="152" t="s">
        <v>46</v>
      </c>
      <c r="U15" s="176" t="str" vm="77">
        <f>CUBEMEMBER("cabcrmsqlrs1 CABReportingCubes Local Client Event","[Measures].[Unique Client Count]")</f>
        <v>Unique Client Count</v>
      </c>
      <c r="AQ15" s="153" t="str" vm="27">
        <f>CUBEMEMBER("cabcrmsqlrs1 CABReportingCubes Local Client Event","[Client Event Type].[Client Event Type].&amp;[Day sheet]")</f>
        <v>Day sheet</v>
      </c>
      <c r="AR15" s="152" vm="967">
        <f t="shared" ref="AR15:AR22" si="0">CUBEVALUE("cabcrmsqlrs1 CABReportingCubes Local Client Event",$AR$10,$AR$11,$AR$12,$AQ15,AR$14)</f>
        <v>1</v>
      </c>
    </row>
    <row r="16" spans="2:54" ht="31.5" customHeight="1">
      <c r="B16" s="234" t="s">
        <v>55</v>
      </c>
      <c r="C16" s="182" t="s">
        <v>99</v>
      </c>
      <c r="D16" s="182" t="s">
        <v>45</v>
      </c>
      <c r="T16" s="152"/>
      <c r="U16" s="176"/>
      <c r="AQ16" s="153" t="str" vm="69">
        <f>CUBEMEMBER("cabcrmsqlrs1 CABReportingCubes Local Client Event","[Client Event Type].[Client Event Type].&amp;[Email]")</f>
        <v>Email</v>
      </c>
      <c r="AR16" s="152" vm="972">
        <f t="shared" si="0"/>
        <v>506</v>
      </c>
    </row>
    <row r="17" spans="2:44" ht="15.6">
      <c r="B17" s="146" t="s">
        <v>56</v>
      </c>
      <c r="C17" s="147" vm="1370">
        <f>U18</f>
        <v>2494</v>
      </c>
      <c r="D17" s="148">
        <f>IF(ISERROR(C17/SUM($C$17:$C$21)),0,C17/SUM($C$17:$C$21))</f>
        <v>0.61428571428571432</v>
      </c>
      <c r="T17" s="152"/>
      <c r="U17" s="176"/>
      <c r="AQ17" s="153" t="str" vm="24">
        <f>CUBEMEMBER("cabcrmsqlrs1 CABReportingCubes Local Client Event","[Client Event Type].[Client Event Type].&amp;[Enquiry]")</f>
        <v>Enquiry</v>
      </c>
      <c r="AR17" s="152" vm="980">
        <f t="shared" si="0"/>
        <v>2891</v>
      </c>
    </row>
    <row r="18" spans="2:44" ht="15.6">
      <c r="B18" s="146" t="s">
        <v>57</v>
      </c>
      <c r="C18" s="147" vm="1427">
        <f>U19</f>
        <v>1560</v>
      </c>
      <c r="D18" s="148">
        <f>IF(ISERROR(C18/SUM($C$17:$C$21)),0,C18/SUM($C$17:$C$21))</f>
        <v>0.38423645320197042</v>
      </c>
      <c r="T18" s="153" t="str" vm="82">
        <f>CUBEMEMBER("cabcrmsqlrs1 CABReportingCubes Local Client Event","[Client Profile].[Gender].&amp;[Female]")</f>
        <v>Female</v>
      </c>
      <c r="U18" s="176" vm="1370">
        <f>IF(CUBEVALUE("cabcrmsqlrs1 CABReportingCubes Local Client Event",$U$10,$U$11,$U$12,$U$13,$T18,U$15)="",0,CUBEVALUE("cabcrmsqlrs1 CABReportingCubes Local Client Event",$U$10,$U$11,$U$12,$U$13,$T18,U$15))</f>
        <v>2494</v>
      </c>
      <c r="AQ18" s="153" t="str" vm="57">
        <f>CUBEMEMBER("cabcrmsqlrs1 CABReportingCubes Local Client Event","[Client Event Type].[Client Event Type].&amp;[Face to face]")</f>
        <v>Face to face</v>
      </c>
      <c r="AR18" s="152" vm="979">
        <f t="shared" si="0"/>
        <v>2771</v>
      </c>
    </row>
    <row r="19" spans="2:44" ht="15.6">
      <c r="B19" s="146" t="s" vm="943">
        <v>396</v>
      </c>
      <c r="C19" s="147" vm="1360">
        <f>U23</f>
        <v>6</v>
      </c>
      <c r="D19" s="148">
        <f t="shared" ref="D19:D21" si="1">IF(ISERROR(C19/SUM($C$17:$C$21)),0,C19/SUM($C$17:$C$21))</f>
        <v>1.477832512315271E-3</v>
      </c>
      <c r="T19" s="153" t="str" vm="79">
        <f>CUBEMEMBER("cabcrmsqlrs1 CABReportingCubes Local Client Event","[Client Profile].[Gender].&amp;[Male]")</f>
        <v>Male</v>
      </c>
      <c r="U19" s="176" vm="1427">
        <f>IF(CUBEVALUE("cabcrmsqlrs1 CABReportingCubes Local Client Event",$U$10,$U$11,$U$12,$U$13,$T19,U$15)="",0,CUBEVALUE("cabcrmsqlrs1 CABReportingCubes Local Client Event",$U$10,$U$11,$U$12,$U$13,$T19,U$15))</f>
        <v>1560</v>
      </c>
      <c r="AI19" s="225" t="s">
        <v>46</v>
      </c>
      <c r="AQ19" s="153" t="str" vm="21">
        <f>CUBEMEMBER("cabcrmsqlrs1 CABReportingCubes Local Client Event","[Client Event Type].[Client Event Type].&amp;[Gateway]")</f>
        <v>Gateway</v>
      </c>
      <c r="AR19" s="152" vm="977">
        <f t="shared" si="0"/>
        <v>1299</v>
      </c>
    </row>
    <row r="20" spans="2:44" ht="15.6">
      <c r="B20" s="146" t="s" vm="944">
        <v>397</v>
      </c>
      <c r="C20" s="147">
        <f>U24</f>
        <v>0</v>
      </c>
      <c r="D20" s="148">
        <f t="shared" si="1"/>
        <v>0</v>
      </c>
      <c r="T20" s="153" t="str" vm="80">
        <f>CUBEMEMBER("cabcrmsqlrs1 CABReportingCubes Local Client Event","[Client Profile].[Gender].&amp;[Not recorded/not applicable]")</f>
        <v>Not recorded/not applicable</v>
      </c>
      <c r="U20" s="176" vm="1442">
        <f>IF(CUBEVALUE("cabcrmsqlrs1 CABReportingCubes Local Client Event",$U$10,$U$11,$U$12,$U$13,$T20,U$15)="",0,CUBEVALUE("cabcrmsqlrs1 CABReportingCubes Local Client Event",$U$10,$U$11,$U$12,$U$13,$T20,U$15))</f>
        <v>1</v>
      </c>
      <c r="AI20" s="227" t="s">
        <v>56</v>
      </c>
      <c r="AQ20" s="153" t="str" vm="66">
        <f>CUBEMEMBER("cabcrmsqlrs1 CABReportingCubes Local Client Event","[Client Event Type].[Client Event Type].&amp;[Letter]")</f>
        <v>Letter</v>
      </c>
      <c r="AR20" s="152" vm="975">
        <f t="shared" si="0"/>
        <v>2535</v>
      </c>
    </row>
    <row r="21" spans="2:44" ht="15.6">
      <c r="B21" s="146" t="s" vm="945">
        <v>398</v>
      </c>
      <c r="C21" s="147">
        <f>U25</f>
        <v>0</v>
      </c>
      <c r="D21" s="148">
        <f t="shared" si="1"/>
        <v>0</v>
      </c>
      <c r="T21" s="153" t="str" vm="78">
        <f>CUBEMEMBER("cabcrmsqlrs1 CABReportingCubes Local Client Event","[Client Profile].[Gender].&amp;[Unknown]")</f>
        <v>Unknown</v>
      </c>
      <c r="U21" s="176" vm="1439">
        <f>IF(CUBEVALUE("cabcrmsqlrs1 CABReportingCubes Local Client Event",$U$10,$U$11,$U$12,$U$13,$T21,U$15)="",0,CUBEVALUE("cabcrmsqlrs1 CABReportingCubes Local Client Event",$U$10,$U$11,$U$12,$U$13,$T21,U$15))</f>
        <v>47</v>
      </c>
      <c r="AI21" s="227" t="s">
        <v>57</v>
      </c>
      <c r="AQ21" s="153" t="str" vm="54">
        <f>CUBEMEMBER("cabcrmsqlrs1 CABReportingCubes Local Client Event","[Client Event Type].[Client Event Type].&amp;[Phone call]")</f>
        <v>Phone call</v>
      </c>
      <c r="AR21" s="152" vm="965">
        <f t="shared" si="0"/>
        <v>1433</v>
      </c>
    </row>
    <row r="22" spans="2:44" ht="15.6">
      <c r="B22" s="146" t="s">
        <v>98</v>
      </c>
      <c r="C22" s="147">
        <f>(SUM(U20:U21)+'Enquiry - Gateway'!Q18)</f>
        <v>1598</v>
      </c>
      <c r="D22" s="148"/>
      <c r="T22" s="153" t="str" vm="81">
        <f>CUBEMEMBER("cabcrmsqlrs1 CABReportingCubes Local Client Event","[Client Profile].[Gender].[All]","Grand Total")</f>
        <v>Grand Total</v>
      </c>
      <c r="U22" s="176" vm="1438">
        <f>IF(CUBEVALUE("cabcrmsqlrs1 CABReportingCubes Local Client Event",$U$10,$U$11,$U$12,$U$13,$T22,U$15)="",0,CUBEVALUE("cabcrmsqlrs1 CABReportingCubes Local Client Event",$U$10,$U$11,$U$12,$U$13,$T22,U$15))</f>
        <v>4108</v>
      </c>
      <c r="AI22" s="227" t="s">
        <v>14</v>
      </c>
      <c r="AQ22" s="153" t="str" vm="951">
        <f>CUBESET("cabcrmsqlrs1 CABReportingCubes Local Client Event",($AQ$21,$AQ$20,$AQ$19,$AQ$18,$AQ$17,$AQ$16,$AQ$15),"Grand Total")</f>
        <v>Grand Total</v>
      </c>
      <c r="AR22" s="152" vm="981">
        <f t="shared" si="0"/>
        <v>4108</v>
      </c>
    </row>
    <row r="23" spans="2:44" ht="15.6">
      <c r="B23" s="188" t="s">
        <v>30</v>
      </c>
      <c r="C23" s="163">
        <f>SUM(C16:C22)</f>
        <v>5658</v>
      </c>
      <c r="D23" s="164">
        <f>SUM(D16:D22)</f>
        <v>1</v>
      </c>
      <c r="T23" s="153" t="str" vm="943">
        <f>CUBEMEMBER("cabcrmsqlrs1 CABReportingCubes Local Client Event","[Client Profile].[Gender].&amp;[Trans]")</f>
        <v>Trans</v>
      </c>
      <c r="U23" s="176" vm="1360">
        <f t="shared" ref="U23:U25" si="2">IF(CUBEVALUE("cabcrmsqlrs1 CABReportingCubes Local Client Event",$U$10,$U$11,$U$12,$U$13,$T23,U$15)="",0,CUBEVALUE("cabcrmsqlrs1 CABReportingCubes Local Client Event",$U$10,$U$11,$U$12,$U$13,$T23,U$15))</f>
        <v>6</v>
      </c>
      <c r="AI23" s="227" t="s">
        <v>396</v>
      </c>
    </row>
    <row r="24" spans="2:44">
      <c r="T24" s="153" t="str" vm="944">
        <f>CUBEMEMBER("cabcrmsqlrs1 CABReportingCubes Local Client Event","[Client Profile].[Gender].&amp;[Trans - Female]")</f>
        <v>Trans - Female</v>
      </c>
      <c r="U24" s="176">
        <f t="shared" si="2"/>
        <v>0</v>
      </c>
      <c r="AI24" s="227" t="s">
        <v>397</v>
      </c>
    </row>
    <row r="25" spans="2:44">
      <c r="T25" s="153" t="str" vm="945">
        <f>CUBEMEMBER("cabcrmsqlrs1 CABReportingCubes Local Client Event","[Client Profile].[Gender].&amp;[Trans - Male]")</f>
        <v>Trans - Male</v>
      </c>
      <c r="U25" s="176">
        <f t="shared" si="2"/>
        <v>0</v>
      </c>
      <c r="AI25" s="227" t="s">
        <v>398</v>
      </c>
    </row>
    <row r="26" spans="2:44" ht="35.4">
      <c r="B26" s="200" t="s">
        <v>100</v>
      </c>
      <c r="T26" s="190" t="s">
        <v>4</v>
      </c>
      <c r="U26" s="190" t="str" vm="959">
        <f>'Enter Parameters'!D17</f>
        <v>York (member)</v>
      </c>
      <c r="W26" s="23" t="s">
        <v>4</v>
      </c>
      <c r="X26" s="23" t="str" vm="959">
        <f>'Enter Parameters'!D17</f>
        <v>York (member)</v>
      </c>
      <c r="AI26" s="227" t="s">
        <v>58</v>
      </c>
    </row>
    <row r="27" spans="2:44">
      <c r="T27" s="190" t="s">
        <v>3</v>
      </c>
      <c r="U27" s="190" t="str" vm="949">
        <f>'Enter Parameters'!D18</f>
        <v>2016-17</v>
      </c>
      <c r="W27" s="23" t="s">
        <v>3</v>
      </c>
      <c r="X27" s="23" t="str" vm="949">
        <f>'Enter Parameters'!D18</f>
        <v>2016-17</v>
      </c>
      <c r="AI27" s="227" t="s">
        <v>34</v>
      </c>
    </row>
    <row r="28" spans="2:44" ht="15.6">
      <c r="B28" s="172" t="s">
        <v>100</v>
      </c>
      <c r="C28" s="182" t="s">
        <v>99</v>
      </c>
      <c r="D28" s="182" t="s">
        <v>45</v>
      </c>
      <c r="T28" s="190" t="s">
        <v>21</v>
      </c>
      <c r="U28" s="190" t="str" vm="941">
        <f>'Enter Parameters'!D19</f>
        <v>All</v>
      </c>
      <c r="W28" s="23" t="s">
        <v>21</v>
      </c>
      <c r="X28" s="23" t="str" vm="941">
        <f>'Enter Parameters'!D19</f>
        <v>All</v>
      </c>
    </row>
    <row r="29" spans="2:44" ht="15.6">
      <c r="B29" s="153" t="str" vm="106">
        <f>CUBEMEMBER("cabcrmsqlrs1 CABReportingCubes Local Client Event","[Client Profile].[Age Group].&amp;[0-4]")</f>
        <v>0-4</v>
      </c>
      <c r="C29" s="147" vm="1475">
        <f>U69</f>
        <v>4</v>
      </c>
      <c r="D29" s="148"/>
      <c r="T29" s="192" t="s">
        <v>23</v>
      </c>
      <c r="U29" s="192" t="str" vm="76">
        <f>X8</f>
        <v>(Multiple Items)</v>
      </c>
      <c r="W29" s="23" t="s">
        <v>23</v>
      </c>
      <c r="X29" s="23" t="str" vm="76">
        <f>X8</f>
        <v>(Multiple Items)</v>
      </c>
    </row>
    <row r="30" spans="2:44" ht="15.6">
      <c r="B30" s="153" t="str" vm="103">
        <f>CUBEMEMBER("cabcrmsqlrs1 CABReportingCubes Local Client Event","[Client Profile].[Age Group].&amp;[5-9]")</f>
        <v>5-9</v>
      </c>
      <c r="C30" s="147">
        <f>U68</f>
        <v>0</v>
      </c>
      <c r="D30" s="148"/>
    </row>
    <row r="31" spans="2:44" ht="15.6">
      <c r="B31" s="153" t="str" vm="94">
        <f>CUBEMEMBER("cabcrmsqlrs1 CABReportingCubes Local Client Event","[Client Profile].[Age Group].&amp;[10-14]")</f>
        <v>10-14</v>
      </c>
      <c r="C31" s="147">
        <f>U70</f>
        <v>0</v>
      </c>
      <c r="D31" s="148">
        <f>IF(ISERROR(C31/SUM($C$31:$C$49)),0,C31/SUM($C$31:$C$49))</f>
        <v>0</v>
      </c>
      <c r="T31" s="153" t="s">
        <v>46</v>
      </c>
      <c r="U31" s="153" t="str" vm="77">
        <f>CUBEMEMBER("cabcrmsqlrs1 CABReportingCubes Local Client Event","[Measures].[Unique Client Count]")</f>
        <v>Unique Client Count</v>
      </c>
      <c r="W31" s="23" t="s">
        <v>46</v>
      </c>
      <c r="X31" s="23" t="str" vm="77">
        <f>CUBEMEMBER("cabcrmsqlrs1 CABReportingCubes Local Client Event","[Measures].[Unique Client Count]")</f>
        <v>Unique Client Count</v>
      </c>
      <c r="Y31" s="23" t="s">
        <v>101</v>
      </c>
      <c r="Z31" s="23" t="s">
        <v>102</v>
      </c>
    </row>
    <row r="32" spans="2:44" ht="15.6">
      <c r="B32" s="153" t="str" vm="88">
        <f>CUBEMEMBER("cabcrmsqlrs1 CABReportingCubes Local Client Event","[Client Profile].[Age Group].&amp;[15-19]")</f>
        <v>15-19</v>
      </c>
      <c r="C32" s="147" vm="1453">
        <f t="shared" ref="C32:C37" si="3">U48</f>
        <v>44</v>
      </c>
      <c r="D32" s="148">
        <f t="shared" ref="D32:D49" si="4">IF(ISERROR(C32/SUM($C$31:$C$49)),0,C32/SUM($C$31:$C$49))</f>
        <v>1.0945273631840797E-2</v>
      </c>
      <c r="T32" s="194"/>
      <c r="U32" s="194"/>
    </row>
    <row r="33" spans="2:26" ht="15.6">
      <c r="B33" s="153" t="str" vm="105">
        <f>CUBEMEMBER("cabcrmsqlrs1 CABReportingCubes Local Client Event","[Client Profile].[Age Group].&amp;[20-24]")</f>
        <v>20-24</v>
      </c>
      <c r="C33" s="147" vm="1467">
        <f t="shared" si="3"/>
        <v>259</v>
      </c>
      <c r="D33" s="148">
        <f t="shared" si="4"/>
        <v>6.4427860696517417E-2</v>
      </c>
      <c r="T33" s="194"/>
      <c r="U33" s="194"/>
    </row>
    <row r="34" spans="2:26" ht="15.6">
      <c r="B34" s="153" t="str" vm="99">
        <f>CUBEMEMBER("cabcrmsqlrs1 CABReportingCubes Local Client Event","[Client Profile].[Age Group].&amp;[25-29]")</f>
        <v>25-29</v>
      </c>
      <c r="C34" s="147" vm="1504">
        <f t="shared" si="3"/>
        <v>455</v>
      </c>
      <c r="D34" s="148">
        <f t="shared" si="4"/>
        <v>0.11318407960199005</v>
      </c>
      <c r="T34" s="194"/>
      <c r="U34" s="194"/>
    </row>
    <row r="35" spans="2:26" ht="15.6">
      <c r="B35" s="153" t="str" vm="93">
        <f>CUBEMEMBER("cabcrmsqlrs1 CABReportingCubes Local Client Event","[Client Profile].[Age Group].&amp;[30-34]")</f>
        <v>30-34</v>
      </c>
      <c r="C35" s="147" vm="1470">
        <f t="shared" si="3"/>
        <v>455</v>
      </c>
      <c r="D35" s="148">
        <f t="shared" si="4"/>
        <v>0.11318407960199005</v>
      </c>
      <c r="T35" s="194"/>
      <c r="U35" s="194"/>
    </row>
    <row r="36" spans="2:26" ht="15.6">
      <c r="B36" s="153" t="str" vm="87">
        <f>CUBEMEMBER("cabcrmsqlrs1 CABReportingCubes Local Client Event","[Client Profile].[Age Group].&amp;[35-39]")</f>
        <v>35-39</v>
      </c>
      <c r="C36" s="147" vm="1469">
        <f t="shared" si="3"/>
        <v>451</v>
      </c>
      <c r="D36" s="148">
        <f t="shared" si="4"/>
        <v>0.11218905472636816</v>
      </c>
      <c r="T36" s="194"/>
      <c r="U36" s="194"/>
    </row>
    <row r="37" spans="2:26" ht="15.6">
      <c r="B37" s="153" t="str" vm="104">
        <f>CUBEMEMBER("cabcrmsqlrs1 CABReportingCubes Local Client Event","[Client Profile].[Age Group].&amp;[40-44]")</f>
        <v>40-44</v>
      </c>
      <c r="C37" s="147" vm="1473">
        <f t="shared" si="3"/>
        <v>374</v>
      </c>
      <c r="D37" s="148">
        <f t="shared" si="4"/>
        <v>9.3034825870646765E-2</v>
      </c>
      <c r="T37" s="194"/>
      <c r="U37" s="194"/>
    </row>
    <row r="38" spans="2:26" ht="15.6">
      <c r="B38" s="153" t="str" vm="98">
        <f>CUBEMEMBER("cabcrmsqlrs1 CABReportingCubes Local Client Event","[Client Profile].[Age Group].&amp;[45-49]")</f>
        <v>45-49</v>
      </c>
      <c r="C38" s="147" vm="1466">
        <f t="shared" ref="C38:C49" si="5">U54</f>
        <v>449</v>
      </c>
      <c r="D38" s="148">
        <f t="shared" si="4"/>
        <v>0.11169154228855721</v>
      </c>
      <c r="T38" s="194"/>
      <c r="U38" s="194"/>
    </row>
    <row r="39" spans="2:26" ht="15.6">
      <c r="B39" s="153" t="str" vm="92">
        <f>CUBEMEMBER("cabcrmsqlrs1 CABReportingCubes Local Client Event","[Client Profile].[Age Group].&amp;[50-54]")</f>
        <v>50-54</v>
      </c>
      <c r="C39" s="147" vm="1468">
        <f t="shared" si="5"/>
        <v>427</v>
      </c>
      <c r="D39" s="148">
        <f t="shared" si="4"/>
        <v>0.10621890547263682</v>
      </c>
      <c r="T39" s="194"/>
      <c r="U39" s="194"/>
    </row>
    <row r="40" spans="2:26" ht="15.6">
      <c r="B40" s="153" t="str" vm="86">
        <f>CUBEMEMBER("cabcrmsqlrs1 CABReportingCubes Local Client Event","[Client Profile].[Age Group].&amp;[55-59]")</f>
        <v>55-59</v>
      </c>
      <c r="C40" s="147" vm="1471">
        <f t="shared" si="5"/>
        <v>363</v>
      </c>
      <c r="D40" s="148">
        <f t="shared" si="4"/>
        <v>9.029850746268657E-2</v>
      </c>
      <c r="T40" s="194"/>
      <c r="U40" s="194"/>
    </row>
    <row r="41" spans="2:26" ht="15.6">
      <c r="B41" s="153" t="str" vm="97">
        <f>CUBEMEMBER("cabcrmsqlrs1 CABReportingCubes Local Client Event","[Client Profile].[Age Group].&amp;[60-64]")</f>
        <v>60-64</v>
      </c>
      <c r="C41" s="147" vm="1472">
        <f t="shared" si="5"/>
        <v>299</v>
      </c>
      <c r="D41" s="148">
        <f t="shared" si="4"/>
        <v>7.4378109452736318E-2</v>
      </c>
      <c r="T41" s="194"/>
      <c r="U41" s="194"/>
    </row>
    <row r="42" spans="2:26" ht="15.6">
      <c r="B42" s="153" t="str" vm="91">
        <f>CUBEMEMBER("cabcrmsqlrs1 CABReportingCubes Local Client Event","[Client Profile].[Age Group].&amp;[65-69]")</f>
        <v>65-69</v>
      </c>
      <c r="C42" s="147" vm="1474">
        <f t="shared" si="5"/>
        <v>196</v>
      </c>
      <c r="D42" s="148">
        <f t="shared" si="4"/>
        <v>4.8756218905472638E-2</v>
      </c>
      <c r="T42" s="194"/>
      <c r="U42" s="194"/>
    </row>
    <row r="43" spans="2:26" ht="15.6">
      <c r="B43" s="153" t="str" vm="85">
        <f>CUBEMEMBER("cabcrmsqlrs1 CABReportingCubes Local Client Event","[Client Profile].[Age Group].&amp;[70-74]")</f>
        <v>70-74</v>
      </c>
      <c r="C43" s="147" vm="1464">
        <f t="shared" si="5"/>
        <v>93</v>
      </c>
      <c r="D43" s="148">
        <f t="shared" si="4"/>
        <v>2.3134328358208955E-2</v>
      </c>
      <c r="T43" s="194"/>
      <c r="U43" s="194"/>
    </row>
    <row r="44" spans="2:26" ht="15.6">
      <c r="B44" s="153" t="str" vm="102">
        <f>CUBEMEMBER("cabcrmsqlrs1 CABReportingCubes Local Client Event","[Client Profile].[Age Group].&amp;[75-79]")</f>
        <v>75-79</v>
      </c>
      <c r="C44" s="147" vm="1509">
        <f t="shared" si="5"/>
        <v>88</v>
      </c>
      <c r="D44" s="148">
        <f t="shared" si="4"/>
        <v>2.1890547263681594E-2</v>
      </c>
      <c r="T44" s="194"/>
      <c r="U44" s="194"/>
    </row>
    <row r="45" spans="2:26" ht="15.6">
      <c r="B45" s="153" t="str" vm="96">
        <f>CUBEMEMBER("cabcrmsqlrs1 CABReportingCubes Local Client Event","[Client Profile].[Age Group].&amp;[80-84]")</f>
        <v>80-84</v>
      </c>
      <c r="C45" s="147" vm="1476">
        <f t="shared" si="5"/>
        <v>33</v>
      </c>
      <c r="D45" s="148">
        <f t="shared" si="4"/>
        <v>8.2089552238805968E-3</v>
      </c>
      <c r="W45" s="29" t="e">
        <f>CUBEMEMBER("cabcrmsqlrs1 CABReportingCubes Local Client Event","[Client Profile].[Age].&amp;[-12]")</f>
        <v>#N/A</v>
      </c>
      <c r="Y45" s="23">
        <v>-12</v>
      </c>
      <c r="Z45" s="23" t="e">
        <f>IF(CUBEVALUE("cabcrmsqlrs1 CABReportingCubes Local Client Event",$X$26,$X$27,$X$28,$X$29,$W45,X$31)="",0,CUBEVALUE("cabcrmsqlrs1 CABReportingCubes Local Client Event",$X$26,$X$27,$X$28,$X$29,$W45,X$31))</f>
        <v>#N/A</v>
      </c>
    </row>
    <row r="46" spans="2:26" ht="15.6">
      <c r="B46" s="153" t="str" vm="90">
        <f>CUBEMEMBER("cabcrmsqlrs1 CABReportingCubes Local Client Event","[Client Profile].[Age Group].&amp;[85-89]")</f>
        <v>85-89</v>
      </c>
      <c r="C46" s="147" vm="1462">
        <f t="shared" si="5"/>
        <v>28</v>
      </c>
      <c r="D46" s="148">
        <f t="shared" si="4"/>
        <v>6.965174129353234E-3</v>
      </c>
      <c r="W46" s="29" t="str" vm="239">
        <f>CUBEMEMBER("cabcrmsqlrs1 CABReportingCubes Local Client Event","[Client Profile].[Age].&amp;[0]")</f>
        <v>0</v>
      </c>
      <c r="Y46" s="23">
        <v>0</v>
      </c>
      <c r="Z46" s="23" vm="1359">
        <f t="shared" ref="Z46:Z109" si="6">IF(CUBEVALUE("cabcrmsqlrs1 CABReportingCubes Local Client Event",$X$26,$X$27,$X$28,$X$29,$W46,X$31)="",0,CUBEVALUE("cabcrmsqlrs1 CABReportingCubes Local Client Event",$X$26,$X$27,$X$28,$X$29,$W46,X$31))</f>
        <v>3</v>
      </c>
    </row>
    <row r="47" spans="2:26" ht="15.6">
      <c r="B47" s="153" t="str" vm="84">
        <f>CUBEMEMBER("cabcrmsqlrs1 CABReportingCubes Local Client Event","[Client Profile].[Age Group].&amp;[90-94]")</f>
        <v>90-94</v>
      </c>
      <c r="C47" s="147" vm="1480">
        <f t="shared" si="5"/>
        <v>3</v>
      </c>
      <c r="D47" s="148">
        <f t="shared" si="4"/>
        <v>7.4626865671641792E-4</v>
      </c>
      <c r="W47" s="29" t="str" vm="209">
        <f>CUBEMEMBER("cabcrmsqlrs1 CABReportingCubes Local Client Event","[Client Profile].[Age].&amp;[1]")</f>
        <v>1</v>
      </c>
      <c r="Y47" s="23">
        <v>1</v>
      </c>
      <c r="Z47" s="23" vm="1501">
        <f t="shared" si="6"/>
        <v>1</v>
      </c>
    </row>
    <row r="48" spans="2:26" ht="15.6">
      <c r="B48" s="153" t="str" vm="101">
        <f>CUBEMEMBER("cabcrmsqlrs1 CABReportingCubes Local Client Event","[Client Profile].[Age Group].&amp;[95-99]")</f>
        <v>95-99</v>
      </c>
      <c r="C48" s="147" vm="1465">
        <f t="shared" si="5"/>
        <v>3</v>
      </c>
      <c r="D48" s="148">
        <f t="shared" si="4"/>
        <v>7.4626865671641792E-4</v>
      </c>
      <c r="T48" s="153" t="str" vm="88">
        <f>CUBEMEMBER("cabcrmsqlrs1 CABReportingCubes Local Client Event","[Client Profile].[Age Group].&amp;[15-19]")</f>
        <v>15-19</v>
      </c>
      <c r="U48" s="176" vm="1453">
        <f>IF(CUBEVALUE("cabcrmsqlrs1 CABReportingCubes Local Client Event",$U$26,$U$27,$U$28,$U$29,$T48,U$31)="",0,CUBEVALUE("cabcrmsqlrs1 CABReportingCubes Local Client Event",$U$26,$U$27,$U$28,$U$29,$T48,U$31))</f>
        <v>44</v>
      </c>
      <c r="W48" s="29" t="str" vm="262">
        <f>CUBEMEMBER("cabcrmsqlrs1 CABReportingCubes Local Client Event","[Client Profile].[Age].&amp;[2]")</f>
        <v>2</v>
      </c>
      <c r="Y48" s="23">
        <v>2</v>
      </c>
      <c r="Z48" s="23">
        <f t="shared" si="6"/>
        <v>0</v>
      </c>
    </row>
    <row r="49" spans="2:35" ht="15.6">
      <c r="B49" s="153" t="str" vm="100">
        <f>CUBEMEMBER("cabcrmsqlrs1 CABReportingCubes Local Client Event","[Client Profile].[Age Group].&amp;[100-104]")</f>
        <v>100-104</v>
      </c>
      <c r="C49" s="147">
        <f t="shared" si="5"/>
        <v>0</v>
      </c>
      <c r="D49" s="148">
        <f t="shared" si="4"/>
        <v>0</v>
      </c>
      <c r="T49" s="153" t="str" vm="105">
        <f>CUBEMEMBER("cabcrmsqlrs1 CABReportingCubes Local Client Event","[Client Profile].[Age Group].&amp;[20-24]")</f>
        <v>20-24</v>
      </c>
      <c r="U49" s="176" vm="1467">
        <f t="shared" ref="U49:U71" si="7">IF(CUBEVALUE("cabcrmsqlrs1 CABReportingCubes Local Client Event",$U$26,$U$27,$U$28,$U$29,$T49,U$31)="",0,CUBEVALUE("cabcrmsqlrs1 CABReportingCubes Local Client Event",$U$26,$U$27,$U$28,$U$29,$T49,U$31))</f>
        <v>259</v>
      </c>
      <c r="W49" s="29" t="str" vm="287">
        <f>CUBEMEMBER("cabcrmsqlrs1 CABReportingCubes Local Client Event","[Client Profile].[Age].&amp;[3]")</f>
        <v>3</v>
      </c>
      <c r="Y49" s="23">
        <v>3</v>
      </c>
      <c r="Z49" s="23">
        <f t="shared" si="6"/>
        <v>0</v>
      </c>
    </row>
    <row r="50" spans="2:35" ht="15.6">
      <c r="B50" s="153" t="s">
        <v>395</v>
      </c>
      <c r="C50" s="147">
        <f>SUM(U66:U67)+'Enquiry - Gateway'!Q18</f>
        <v>1634</v>
      </c>
      <c r="D50" s="148"/>
      <c r="T50" s="153" t="str" vm="99">
        <f>CUBEMEMBER("cabcrmsqlrs1 CABReportingCubes Local Client Event","[Client Profile].[Age Group].&amp;[25-29]")</f>
        <v>25-29</v>
      </c>
      <c r="U50" s="176" vm="1504">
        <f t="shared" si="7"/>
        <v>455</v>
      </c>
      <c r="W50" s="29" t="str" vm="198">
        <f>CUBEMEMBER("cabcrmsqlrs1 CABReportingCubes Local Client Event","[Client Profile].[Age].&amp;[4]")</f>
        <v>4</v>
      </c>
      <c r="Y50" s="23">
        <v>4</v>
      </c>
      <c r="Z50" s="23">
        <f t="shared" si="6"/>
        <v>0</v>
      </c>
    </row>
    <row r="51" spans="2:35" ht="15.6">
      <c r="B51" s="188" t="s">
        <v>30</v>
      </c>
      <c r="C51" s="163">
        <f>SUM(C29:C50)</f>
        <v>5658</v>
      </c>
      <c r="D51" s="164">
        <f>SUM(D29:D50)</f>
        <v>0.99999999999999989</v>
      </c>
      <c r="T51" s="153" t="str" vm="93">
        <f>CUBEMEMBER("cabcrmsqlrs1 CABReportingCubes Local Client Event","[Client Profile].[Age Group].&amp;[30-34]")</f>
        <v>30-34</v>
      </c>
      <c r="U51" s="176" vm="1470">
        <f t="shared" si="7"/>
        <v>455</v>
      </c>
      <c r="W51" s="29" t="str" vm="224">
        <f>CUBEMEMBER("cabcrmsqlrs1 CABReportingCubes Local Client Event","[Client Profile].[Age].&amp;[5]")</f>
        <v>5</v>
      </c>
      <c r="Y51" s="23">
        <v>5</v>
      </c>
      <c r="Z51" s="23">
        <f t="shared" si="6"/>
        <v>0</v>
      </c>
    </row>
    <row r="52" spans="2:35" ht="9.75" customHeight="1">
      <c r="T52" s="153" t="str" vm="87">
        <f>CUBEMEMBER("cabcrmsqlrs1 CABReportingCubes Local Client Event","[Client Profile].[Age Group].&amp;[35-39]")</f>
        <v>35-39</v>
      </c>
      <c r="U52" s="176" vm="1469">
        <f t="shared" si="7"/>
        <v>451</v>
      </c>
      <c r="W52" s="29" t="str" vm="251">
        <f>CUBEMEMBER("cabcrmsqlrs1 CABReportingCubes Local Client Event","[Client Profile].[Age].&amp;[6]")</f>
        <v>6</v>
      </c>
      <c r="Y52" s="23">
        <v>6</v>
      </c>
      <c r="Z52" s="23">
        <f t="shared" si="6"/>
        <v>0</v>
      </c>
    </row>
    <row r="53" spans="2:35" ht="6" customHeight="1">
      <c r="T53" s="153" t="str" vm="104">
        <f>CUBEMEMBER("cabcrmsqlrs1 CABReportingCubes Local Client Event","[Client Profile].[Age Group].&amp;[40-44]")</f>
        <v>40-44</v>
      </c>
      <c r="U53" s="176" vm="1473">
        <f t="shared" si="7"/>
        <v>374</v>
      </c>
      <c r="W53" s="29" t="str" vm="276">
        <f>CUBEMEMBER("cabcrmsqlrs1 CABReportingCubes Local Client Event","[Client Profile].[Age].&amp;[7]")</f>
        <v>7</v>
      </c>
      <c r="Y53" s="23">
        <v>7</v>
      </c>
      <c r="Z53" s="23">
        <f t="shared" si="6"/>
        <v>0</v>
      </c>
    </row>
    <row r="54" spans="2:35" ht="35.4">
      <c r="B54" s="185" t="s">
        <v>103</v>
      </c>
      <c r="T54" s="153" t="str" vm="98">
        <f>CUBEMEMBER("cabcrmsqlrs1 CABReportingCubes Local Client Event","[Client Profile].[Age Group].&amp;[45-49]")</f>
        <v>45-49</v>
      </c>
      <c r="U54" s="176" vm="1466">
        <f t="shared" si="7"/>
        <v>449</v>
      </c>
      <c r="W54" s="29" t="str" vm="187">
        <f>CUBEMEMBER("cabcrmsqlrs1 CABReportingCubes Local Client Event","[Client Profile].[Age].&amp;[8]")</f>
        <v>8</v>
      </c>
      <c r="Y54" s="23">
        <v>8</v>
      </c>
      <c r="Z54" s="23">
        <f t="shared" si="6"/>
        <v>0</v>
      </c>
    </row>
    <row r="55" spans="2:35" ht="9.75" customHeight="1">
      <c r="T55" s="153" t="str" vm="92">
        <f>CUBEMEMBER("cabcrmsqlrs1 CABReportingCubes Local Client Event","[Client Profile].[Age Group].&amp;[50-54]")</f>
        <v>50-54</v>
      </c>
      <c r="U55" s="176" vm="1468">
        <f t="shared" si="7"/>
        <v>427</v>
      </c>
      <c r="W55" s="29" t="str" vm="213">
        <f>CUBEMEMBER("cabcrmsqlrs1 CABReportingCubes Local Client Event","[Client Profile].[Age].&amp;[9]")</f>
        <v>9</v>
      </c>
      <c r="Y55" s="23">
        <v>9</v>
      </c>
      <c r="Z55" s="23">
        <f t="shared" si="6"/>
        <v>0</v>
      </c>
    </row>
    <row r="56" spans="2:35" ht="15.6">
      <c r="B56" s="172" t="s">
        <v>104</v>
      </c>
      <c r="C56" s="182" t="s">
        <v>99</v>
      </c>
      <c r="D56" s="182" t="s">
        <v>45</v>
      </c>
      <c r="T56" s="153" t="str" vm="86">
        <f>CUBEMEMBER("cabcrmsqlrs1 CABReportingCubes Local Client Event","[Client Profile].[Age Group].&amp;[55-59]")</f>
        <v>55-59</v>
      </c>
      <c r="U56" s="176" vm="1471">
        <f t="shared" si="7"/>
        <v>363</v>
      </c>
      <c r="W56" s="29" t="str" vm="296">
        <f>CUBEMEMBER("cabcrmsqlrs1 CABReportingCubes Local Client Event","[Client Profile].[Age].&amp;[10]")</f>
        <v>10</v>
      </c>
      <c r="Y56" s="23">
        <v>10</v>
      </c>
      <c r="Z56" s="23">
        <f t="shared" si="6"/>
        <v>0</v>
      </c>
    </row>
    <row r="57" spans="2:35" ht="15.6">
      <c r="B57" s="146" t="s" vm="132">
        <v>59</v>
      </c>
      <c r="C57" s="147" vm="1485">
        <f>U81</f>
        <v>10</v>
      </c>
      <c r="D57" s="148">
        <f>IF(ISERROR(C57/SUM($C$57:$C$78)),0,C57/SUM($C$57:$C$78))</f>
        <v>2.5516713447307987E-3</v>
      </c>
      <c r="T57" s="153" t="str" vm="97">
        <f>CUBEMEMBER("cabcrmsqlrs1 CABReportingCubes Local Client Event","[Client Profile].[Age Group].&amp;[60-64]")</f>
        <v>60-64</v>
      </c>
      <c r="U57" s="176" vm="1472">
        <f t="shared" si="7"/>
        <v>299</v>
      </c>
      <c r="W57" s="29" t="str" vm="236">
        <f>CUBEMEMBER("cabcrmsqlrs1 CABReportingCubes Local Client Event","[Client Profile].[Age].&amp;[11]")</f>
        <v>11</v>
      </c>
      <c r="Y57" s="23">
        <v>11</v>
      </c>
      <c r="Z57" s="23">
        <f t="shared" si="6"/>
        <v>0</v>
      </c>
      <c r="AG57" s="146" t="s">
        <v>117</v>
      </c>
      <c r="AH57" s="141">
        <f>SUM(C57:C61)</f>
        <v>98</v>
      </c>
      <c r="AI57" s="195">
        <f>AH57/SUM($AH$57:$AH$61)</f>
        <v>2.5006379178361827E-2</v>
      </c>
    </row>
    <row r="58" spans="2:35" ht="15.6">
      <c r="B58" s="146" t="s" vm="125">
        <v>60</v>
      </c>
      <c r="C58" s="147" vm="1351">
        <f t="shared" ref="C58:C80" si="8">U82</f>
        <v>16</v>
      </c>
      <c r="D58" s="148">
        <f t="shared" ref="D58:D78" si="9">IF(ISERROR(C58/SUM($C$57:$C$78)),0,C58/SUM($C$57:$C$78))</f>
        <v>4.0826741515692776E-3</v>
      </c>
      <c r="T58" s="153" t="str" vm="91">
        <f>CUBEMEMBER("cabcrmsqlrs1 CABReportingCubes Local Client Event","[Client Profile].[Age Group].&amp;[65-69]")</f>
        <v>65-69</v>
      </c>
      <c r="U58" s="176" vm="1474">
        <f t="shared" si="7"/>
        <v>196</v>
      </c>
      <c r="W58" s="29" t="str" vm="292">
        <f>CUBEMEMBER("cabcrmsqlrs1 CABReportingCubes Local Client Event","[Client Profile].[Age].&amp;[12]")</f>
        <v>12</v>
      </c>
      <c r="Y58" s="23">
        <v>12</v>
      </c>
      <c r="Z58" s="23">
        <f t="shared" si="6"/>
        <v>0</v>
      </c>
      <c r="AF58" s="146"/>
      <c r="AG58" s="146" t="s">
        <v>118</v>
      </c>
      <c r="AH58" s="141">
        <f>SUM(C62:C64)</f>
        <v>45</v>
      </c>
      <c r="AI58" s="195">
        <f t="shared" ref="AI58:AI61" si="10">AH58/SUM($AH$57:$AH$61)</f>
        <v>1.1482521051288594E-2</v>
      </c>
    </row>
    <row r="59" spans="2:35" ht="15.6">
      <c r="B59" s="146" t="s" vm="118">
        <v>61</v>
      </c>
      <c r="C59" s="147" vm="1392">
        <f t="shared" si="8"/>
        <v>15</v>
      </c>
      <c r="D59" s="148">
        <f t="shared" si="9"/>
        <v>3.8275070170961981E-3</v>
      </c>
      <c r="T59" s="153" t="str" vm="85">
        <f>CUBEMEMBER("cabcrmsqlrs1 CABReportingCubes Local Client Event","[Client Profile].[Age Group].&amp;[70-74]")</f>
        <v>70-74</v>
      </c>
      <c r="U59" s="176" vm="1464">
        <f t="shared" si="7"/>
        <v>93</v>
      </c>
      <c r="W59" s="29" t="str" vm="234">
        <f>CUBEMEMBER("cabcrmsqlrs1 CABReportingCubes Local Client Event","[Client Profile].[Age].&amp;[13]")</f>
        <v>13</v>
      </c>
      <c r="Y59" s="23">
        <v>13</v>
      </c>
      <c r="Z59" s="23">
        <f t="shared" si="6"/>
        <v>0</v>
      </c>
      <c r="AF59" s="146"/>
      <c r="AG59" s="146" t="s">
        <v>119</v>
      </c>
      <c r="AH59" s="141">
        <f>SUM(C65:C68)</f>
        <v>29</v>
      </c>
      <c r="AI59" s="195">
        <f t="shared" si="10"/>
        <v>7.3998468997193163E-3</v>
      </c>
    </row>
    <row r="60" spans="2:35" ht="15.6">
      <c r="B60" s="146" t="s" vm="112">
        <v>62</v>
      </c>
      <c r="C60" s="147" vm="1415">
        <f t="shared" si="8"/>
        <v>50</v>
      </c>
      <c r="D60" s="148">
        <f t="shared" si="9"/>
        <v>1.2758356723653993E-2</v>
      </c>
      <c r="T60" s="153" t="str" vm="102">
        <f>CUBEMEMBER("cabcrmsqlrs1 CABReportingCubes Local Client Event","[Client Profile].[Age Group].&amp;[75-79]")</f>
        <v>75-79</v>
      </c>
      <c r="U60" s="176" vm="1509">
        <f t="shared" si="7"/>
        <v>88</v>
      </c>
      <c r="W60" s="29" t="str" vm="205">
        <f>CUBEMEMBER("cabcrmsqlrs1 CABReportingCubes Local Client Event","[Client Profile].[Age].&amp;[14]")</f>
        <v>14</v>
      </c>
      <c r="Y60" s="23">
        <v>14</v>
      </c>
      <c r="Z60" s="23">
        <f t="shared" si="6"/>
        <v>0</v>
      </c>
      <c r="AF60" s="146"/>
      <c r="AG60" s="196" t="s">
        <v>13</v>
      </c>
      <c r="AH60" s="141">
        <f>SUM(C69:C70)</f>
        <v>40</v>
      </c>
      <c r="AI60" s="195">
        <f t="shared" si="10"/>
        <v>1.0206685378923195E-2</v>
      </c>
    </row>
    <row r="61" spans="2:35" ht="15.6">
      <c r="B61" s="146" t="s" vm="131">
        <v>63</v>
      </c>
      <c r="C61" s="147" vm="1420">
        <f t="shared" si="8"/>
        <v>7</v>
      </c>
      <c r="D61" s="148">
        <f t="shared" si="9"/>
        <v>1.7861699413115591E-3</v>
      </c>
      <c r="T61" s="153" t="str" vm="96">
        <f>CUBEMEMBER("cabcrmsqlrs1 CABReportingCubes Local Client Event","[Client Profile].[Age Group].&amp;[80-84]")</f>
        <v>80-84</v>
      </c>
      <c r="U61" s="176" vm="1476">
        <f t="shared" si="7"/>
        <v>33</v>
      </c>
      <c r="W61" s="29" t="str" vm="291">
        <f>CUBEMEMBER("cabcrmsqlrs1 CABReportingCubes Local Client Event","[Client Profile].[Age].&amp;[15]")</f>
        <v>15</v>
      </c>
      <c r="Y61" s="23">
        <v>15</v>
      </c>
      <c r="Z61" s="23">
        <f t="shared" si="6"/>
        <v>0</v>
      </c>
      <c r="AF61" s="146"/>
      <c r="AG61" s="196" t="s">
        <v>120</v>
      </c>
      <c r="AH61" s="141">
        <f>SUM(C71:C78)</f>
        <v>3707</v>
      </c>
      <c r="AI61" s="195">
        <f t="shared" si="10"/>
        <v>0.94590456749170704</v>
      </c>
    </row>
    <row r="62" spans="2:35" ht="15.6">
      <c r="B62" s="146" t="s" vm="124">
        <v>64</v>
      </c>
      <c r="C62" s="147" vm="1408">
        <f t="shared" si="8"/>
        <v>28</v>
      </c>
      <c r="D62" s="148">
        <f t="shared" si="9"/>
        <v>7.1446797652462363E-3</v>
      </c>
      <c r="T62" s="153" t="str" vm="90">
        <f>CUBEMEMBER("cabcrmsqlrs1 CABReportingCubes Local Client Event","[Client Profile].[Age Group].&amp;[85-89]")</f>
        <v>85-89</v>
      </c>
      <c r="U62" s="176" vm="1462">
        <f t="shared" si="7"/>
        <v>28</v>
      </c>
      <c r="W62" s="29" t="str" vm="263">
        <f>CUBEMEMBER("cabcrmsqlrs1 CABReportingCubes Local Client Event","[Client Profile].[Age].&amp;[16]")</f>
        <v>16</v>
      </c>
      <c r="Y62" s="23">
        <v>16</v>
      </c>
      <c r="Z62" s="23" vm="1418">
        <f t="shared" si="6"/>
        <v>1</v>
      </c>
    </row>
    <row r="63" spans="2:35" ht="15.6">
      <c r="B63" s="146" t="s" vm="117">
        <v>65</v>
      </c>
      <c r="C63" s="147" vm="1367">
        <f t="shared" si="8"/>
        <v>4</v>
      </c>
      <c r="D63" s="148">
        <f t="shared" si="9"/>
        <v>1.0206685378923194E-3</v>
      </c>
      <c r="T63" s="153" t="str" vm="84">
        <f>CUBEMEMBER("cabcrmsqlrs1 CABReportingCubes Local Client Event","[Client Profile].[Age Group].&amp;[90-94]")</f>
        <v>90-94</v>
      </c>
      <c r="U63" s="176" vm="1480">
        <f t="shared" si="7"/>
        <v>3</v>
      </c>
      <c r="W63" s="29" t="str" vm="233">
        <f>CUBEMEMBER("cabcrmsqlrs1 CABReportingCubes Local Client Event","[Client Profile].[Age].&amp;[17]")</f>
        <v>17</v>
      </c>
      <c r="Y63" s="23">
        <v>17</v>
      </c>
      <c r="Z63" s="23" vm="1500">
        <f t="shared" si="6"/>
        <v>2</v>
      </c>
      <c r="AF63" s="146"/>
    </row>
    <row r="64" spans="2:35" ht="15.6">
      <c r="B64" s="146" t="s" vm="111">
        <v>66</v>
      </c>
      <c r="C64" s="147" vm="1497">
        <f t="shared" si="8"/>
        <v>13</v>
      </c>
      <c r="D64" s="148">
        <f t="shared" si="9"/>
        <v>3.3171727481500382E-3</v>
      </c>
      <c r="T64" s="153" t="str" vm="101">
        <f>CUBEMEMBER("cabcrmsqlrs1 CABReportingCubes Local Client Event","[Client Profile].[Age Group].&amp;[95-99]")</f>
        <v>95-99</v>
      </c>
      <c r="U64" s="176" vm="1465">
        <f t="shared" si="7"/>
        <v>3</v>
      </c>
      <c r="W64" s="29" t="str" vm="204">
        <f>CUBEMEMBER("cabcrmsqlrs1 CABReportingCubes Local Client Event","[Client Profile].[Age].&amp;[18]")</f>
        <v>18</v>
      </c>
      <c r="Y64" s="23">
        <v>18</v>
      </c>
      <c r="Z64" s="23" vm="1479">
        <f t="shared" si="6"/>
        <v>10</v>
      </c>
      <c r="AF64" s="146"/>
    </row>
    <row r="65" spans="2:32" ht="15.6">
      <c r="B65" s="146" t="s" vm="123">
        <v>68</v>
      </c>
      <c r="C65" s="147" vm="1375">
        <f t="shared" si="8"/>
        <v>11</v>
      </c>
      <c r="D65" s="148">
        <f t="shared" si="9"/>
        <v>2.8068384792038787E-3</v>
      </c>
      <c r="T65" s="153" t="str" vm="100">
        <f>CUBEMEMBER("cabcrmsqlrs1 CABReportingCubes Local Client Event","[Client Profile].[Age Group].&amp;[100-104]")</f>
        <v>100-104</v>
      </c>
      <c r="U65" s="176">
        <f t="shared" si="7"/>
        <v>0</v>
      </c>
      <c r="W65" s="29" t="str" vm="290">
        <f>CUBEMEMBER("cabcrmsqlrs1 CABReportingCubes Local Client Event","[Client Profile].[Age].&amp;[19]")</f>
        <v>19</v>
      </c>
      <c r="Y65" s="23">
        <v>19</v>
      </c>
      <c r="Z65" s="23" vm="1507">
        <f t="shared" si="6"/>
        <v>31</v>
      </c>
    </row>
    <row r="66" spans="2:32" ht="15.6">
      <c r="B66" s="146" t="s" vm="116">
        <v>69</v>
      </c>
      <c r="C66" s="147" vm="1443">
        <f t="shared" si="8"/>
        <v>12</v>
      </c>
      <c r="D66" s="148">
        <f t="shared" si="9"/>
        <v>3.0620056136769582E-3</v>
      </c>
      <c r="T66" s="153" t="str" vm="95">
        <f>CUBEMEMBER("cabcrmsqlrs1 CABReportingCubes Local Client Event","[Client Profile].[Age Group].&amp;[Not record]")</f>
        <v>Not record</v>
      </c>
      <c r="U66" s="176">
        <f t="shared" si="7"/>
        <v>0</v>
      </c>
      <c r="W66" s="29" t="str" vm="232">
        <f>CUBEMEMBER("cabcrmsqlrs1 CABReportingCubes Local Client Event","[Client Profile].[Age].&amp;[20]")</f>
        <v>20</v>
      </c>
      <c r="Y66" s="23">
        <v>20</v>
      </c>
      <c r="Z66" s="23" vm="1405">
        <f t="shared" si="6"/>
        <v>31</v>
      </c>
      <c r="AF66" s="146"/>
    </row>
    <row r="67" spans="2:32" ht="15.6">
      <c r="B67" s="146" t="s" vm="110">
        <v>70</v>
      </c>
      <c r="C67" s="147" vm="1404">
        <f t="shared" si="8"/>
        <v>2</v>
      </c>
      <c r="D67" s="148">
        <f t="shared" si="9"/>
        <v>5.1033426894615971E-4</v>
      </c>
      <c r="T67" s="153" t="str" vm="89">
        <f>CUBEMEMBER("cabcrmsqlrs1 CABReportingCubes Local Client Event","[Client Profile].[Age Group].&amp;[Not recorded/not applicable]")</f>
        <v>Not recorded/not applicable</v>
      </c>
      <c r="U67" s="176" vm="1482">
        <f t="shared" si="7"/>
        <v>84</v>
      </c>
      <c r="W67" s="29" t="str" vm="203">
        <f>CUBEMEMBER("cabcrmsqlrs1 CABReportingCubes Local Client Event","[Client Profile].[Age].&amp;[21]")</f>
        <v>21</v>
      </c>
      <c r="Y67" s="23">
        <v>21</v>
      </c>
      <c r="Z67" s="23" vm="1350">
        <f t="shared" si="6"/>
        <v>46</v>
      </c>
      <c r="AF67" s="146"/>
    </row>
    <row r="68" spans="2:32" ht="15.6">
      <c r="B68" s="146" t="s" vm="129">
        <v>71</v>
      </c>
      <c r="C68" s="147" vm="1371">
        <f t="shared" si="8"/>
        <v>4</v>
      </c>
      <c r="D68" s="148">
        <f t="shared" si="9"/>
        <v>1.0206685378923194E-3</v>
      </c>
      <c r="T68" s="153" t="str" vm="103">
        <f>CUBEMEMBER("cabcrmsqlrs1 CABReportingCubes Local Client Event","[Client Profile].[Age Group].&amp;[5-9]")</f>
        <v>5-9</v>
      </c>
      <c r="U68" s="176">
        <f t="shared" si="7"/>
        <v>0</v>
      </c>
      <c r="W68" s="29" t="str" vm="289">
        <f>CUBEMEMBER("cabcrmsqlrs1 CABReportingCubes Local Client Event","[Client Profile].[Age].&amp;[22]")</f>
        <v>22</v>
      </c>
      <c r="Y68" s="23">
        <v>22</v>
      </c>
      <c r="Z68" s="23" vm="1357">
        <f t="shared" si="6"/>
        <v>51</v>
      </c>
      <c r="AF68" s="146"/>
    </row>
    <row r="69" spans="2:32" ht="15.6">
      <c r="B69" s="146" t="s" vm="115">
        <v>72</v>
      </c>
      <c r="C69" s="147" vm="1449">
        <f t="shared" si="8"/>
        <v>25</v>
      </c>
      <c r="D69" s="148">
        <f t="shared" si="9"/>
        <v>6.3791783618269964E-3</v>
      </c>
      <c r="T69" s="153" t="str" vm="106">
        <f>CUBEMEMBER("cabcrmsqlrs1 CABReportingCubes Local Client Event","[Client Profile].[Age Group].&amp;[0-4]")</f>
        <v>0-4</v>
      </c>
      <c r="U69" s="176" vm="1475">
        <f t="shared" si="7"/>
        <v>4</v>
      </c>
      <c r="W69" s="29" t="str" vm="261">
        <f>CUBEMEMBER("cabcrmsqlrs1 CABReportingCubes Local Client Event","[Client Profile].[Age].&amp;[23]")</f>
        <v>23</v>
      </c>
      <c r="Y69" s="23">
        <v>23</v>
      </c>
      <c r="Z69" s="23" vm="1368">
        <f t="shared" si="6"/>
        <v>67</v>
      </c>
      <c r="AF69" s="146"/>
    </row>
    <row r="70" spans="2:32" ht="15.6">
      <c r="B70" s="146" t="s" vm="109">
        <v>73</v>
      </c>
      <c r="C70" s="147" vm="1483">
        <f t="shared" si="8"/>
        <v>15</v>
      </c>
      <c r="D70" s="148">
        <f t="shared" si="9"/>
        <v>3.8275070170961981E-3</v>
      </c>
      <c r="T70" s="153" t="str" vm="94">
        <f>CUBEMEMBER("cabcrmsqlrs1 CABReportingCubes Local Client Event","[Client Profile].[Age Group].&amp;[10-14]")</f>
        <v>10-14</v>
      </c>
      <c r="U70" s="176">
        <f t="shared" si="7"/>
        <v>0</v>
      </c>
      <c r="W70" s="29" t="str" vm="231">
        <f>CUBEMEMBER("cabcrmsqlrs1 CABReportingCubes Local Client Event","[Client Profile].[Age].&amp;[24]")</f>
        <v>24</v>
      </c>
      <c r="Y70" s="23">
        <v>24</v>
      </c>
      <c r="Z70" s="23" vm="1383">
        <f t="shared" si="6"/>
        <v>64</v>
      </c>
      <c r="AF70" s="146"/>
    </row>
    <row r="71" spans="2:32" ht="15.6">
      <c r="B71" s="146" t="s" vm="121">
        <v>74</v>
      </c>
      <c r="C71" s="147" vm="1419">
        <f t="shared" si="8"/>
        <v>3211</v>
      </c>
      <c r="D71" s="148">
        <f t="shared" si="9"/>
        <v>0.81934166879305947</v>
      </c>
      <c r="T71" s="153" t="str" vm="83">
        <f>CUBEMEMBER("cabcrmsqlrs1 CABReportingCubes Local Client Event","[Client Profile].[Age Group].[All]","Grand Total")</f>
        <v>Grand Total</v>
      </c>
      <c r="U71" s="176" vm="1463">
        <f t="shared" si="7"/>
        <v>4108</v>
      </c>
      <c r="W71" s="29" t="str" vm="202">
        <f>CUBEMEMBER("cabcrmsqlrs1 CABReportingCubes Local Client Event","[Client Profile].[Age].&amp;[25]")</f>
        <v>25</v>
      </c>
      <c r="Y71" s="23">
        <v>25</v>
      </c>
      <c r="Z71" s="23" vm="1366">
        <f t="shared" si="6"/>
        <v>78</v>
      </c>
      <c r="AF71" s="146"/>
    </row>
    <row r="72" spans="2:32" ht="15.6">
      <c r="B72" s="146" t="s" vm="114">
        <v>75</v>
      </c>
      <c r="C72" s="147" vm="1385">
        <f t="shared" si="8"/>
        <v>102</v>
      </c>
      <c r="D72" s="148">
        <f t="shared" si="9"/>
        <v>2.6027047716254147E-2</v>
      </c>
      <c r="W72" s="29" t="str" vm="288">
        <f>CUBEMEMBER("cabcrmsqlrs1 CABReportingCubes Local Client Event","[Client Profile].[Age].&amp;[26]")</f>
        <v>26</v>
      </c>
      <c r="Y72" s="23">
        <v>26</v>
      </c>
      <c r="Z72" s="23" vm="1374">
        <f t="shared" si="6"/>
        <v>94</v>
      </c>
      <c r="AF72" s="146"/>
    </row>
    <row r="73" spans="2:32" ht="15.6">
      <c r="B73" s="146" t="s" vm="108">
        <v>76</v>
      </c>
      <c r="C73" s="147" vm="1352">
        <f t="shared" si="8"/>
        <v>90</v>
      </c>
      <c r="D73" s="148">
        <f t="shared" si="9"/>
        <v>2.2965042102577188E-2</v>
      </c>
      <c r="W73" s="29" t="str" vm="260">
        <f>CUBEMEMBER("cabcrmsqlrs1 CABReportingCubes Local Client Event","[Client Profile].[Age].&amp;[27]")</f>
        <v>27</v>
      </c>
      <c r="Y73" s="23">
        <v>27</v>
      </c>
      <c r="Z73" s="23" vm="1414">
        <f t="shared" si="6"/>
        <v>97</v>
      </c>
      <c r="AF73" s="146"/>
    </row>
    <row r="74" spans="2:32" ht="15.6">
      <c r="B74" s="146" t="s" vm="127">
        <v>77</v>
      </c>
      <c r="C74" s="147" vm="1369">
        <f t="shared" si="8"/>
        <v>17</v>
      </c>
      <c r="D74" s="148">
        <f t="shared" si="9"/>
        <v>4.3378412860423576E-3</v>
      </c>
      <c r="W74" s="29" t="str" vm="230">
        <f>CUBEMEMBER("cabcrmsqlrs1 CABReportingCubes Local Client Event","[Client Profile].[Age].&amp;[28]")</f>
        <v>28</v>
      </c>
      <c r="Y74" s="23">
        <v>28</v>
      </c>
      <c r="Z74" s="23" vm="1426">
        <f t="shared" si="6"/>
        <v>92</v>
      </c>
      <c r="AF74" s="146"/>
    </row>
    <row r="75" spans="2:32" ht="15.6">
      <c r="B75" s="146" t="s" vm="120">
        <v>78</v>
      </c>
      <c r="C75" s="147" vm="1486">
        <f t="shared" si="8"/>
        <v>5</v>
      </c>
      <c r="D75" s="148">
        <f t="shared" si="9"/>
        <v>1.2758356723653994E-3</v>
      </c>
      <c r="T75" s="197" t="s">
        <v>4</v>
      </c>
      <c r="U75" s="197" t="str" vm="959">
        <f>'Enter Parameters'!D17</f>
        <v>York (member)</v>
      </c>
      <c r="W75" s="29" t="str" vm="201">
        <f>CUBEMEMBER("cabcrmsqlrs1 CABReportingCubes Local Client Event","[Client Profile].[Age].&amp;[29]")</f>
        <v>29</v>
      </c>
      <c r="Y75" s="23">
        <v>29</v>
      </c>
      <c r="Z75" s="23" vm="1512">
        <f t="shared" si="6"/>
        <v>94</v>
      </c>
      <c r="AF75" s="146"/>
    </row>
    <row r="76" spans="2:32" ht="15.6">
      <c r="B76" s="146" t="s" vm="113">
        <v>79</v>
      </c>
      <c r="C76" s="147" vm="1454">
        <f t="shared" si="8"/>
        <v>268</v>
      </c>
      <c r="D76" s="148">
        <f t="shared" si="9"/>
        <v>6.8384792038785405E-2</v>
      </c>
      <c r="T76" s="197" t="s">
        <v>3</v>
      </c>
      <c r="U76" s="197" t="str" vm="949">
        <f>'Enter Parameters'!D18</f>
        <v>2016-17</v>
      </c>
      <c r="W76" s="29" t="str" vm="259">
        <f>CUBEMEMBER("cabcrmsqlrs1 CABReportingCubes Local Client Event","[Client Profile].[Age].&amp;[30]")</f>
        <v>30</v>
      </c>
      <c r="Y76" s="23">
        <v>30</v>
      </c>
      <c r="Z76" s="23" vm="1502">
        <f t="shared" si="6"/>
        <v>97</v>
      </c>
      <c r="AF76" s="146"/>
    </row>
    <row r="77" spans="2:32" ht="15.6">
      <c r="B77" s="146" t="s" vm="107">
        <v>80</v>
      </c>
      <c r="C77" s="147" vm="1436">
        <f t="shared" si="8"/>
        <v>9</v>
      </c>
      <c r="D77" s="148">
        <f t="shared" si="9"/>
        <v>2.2965042102577188E-3</v>
      </c>
      <c r="T77" s="197" t="s">
        <v>21</v>
      </c>
      <c r="U77" s="197" t="str" vm="941">
        <f>'Enter Parameters'!D19</f>
        <v>All</v>
      </c>
      <c r="W77" s="29" t="str" vm="229">
        <f>CUBEMEMBER("cabcrmsqlrs1 CABReportingCubes Local Client Event","[Client Profile].[Age].&amp;[31]")</f>
        <v>31</v>
      </c>
      <c r="Y77" s="23">
        <v>31</v>
      </c>
      <c r="Z77" s="23" vm="1440">
        <f t="shared" si="6"/>
        <v>89</v>
      </c>
      <c r="AF77" s="146"/>
    </row>
    <row r="78" spans="2:32" ht="15.6">
      <c r="B78" s="146" t="s" vm="126">
        <v>81</v>
      </c>
      <c r="C78" s="147" vm="1365">
        <f t="shared" si="8"/>
        <v>5</v>
      </c>
      <c r="D78" s="148">
        <f t="shared" si="9"/>
        <v>1.2758356723653994E-3</v>
      </c>
      <c r="T78" s="198" t="s">
        <v>23</v>
      </c>
      <c r="U78" s="198" t="str" vm="76">
        <f>X8</f>
        <v>(Multiple Items)</v>
      </c>
      <c r="W78" s="29" t="str" vm="200">
        <f>CUBEMEMBER("cabcrmsqlrs1 CABReportingCubes Local Client Event","[Client Profile].[Age].&amp;[32]")</f>
        <v>32</v>
      </c>
      <c r="Y78" s="23">
        <v>32</v>
      </c>
      <c r="Z78" s="23" vm="1478">
        <f t="shared" si="6"/>
        <v>98</v>
      </c>
      <c r="AF78" s="146"/>
    </row>
    <row r="79" spans="2:32" ht="15.6">
      <c r="B79" s="146" t="s" vm="130">
        <v>67</v>
      </c>
      <c r="C79" s="147" vm="1362">
        <f t="shared" si="8"/>
        <v>39</v>
      </c>
      <c r="D79" s="148"/>
      <c r="W79" s="29" t="str" vm="286">
        <f>CUBEMEMBER("cabcrmsqlrs1 CABReportingCubes Local Client Event","[Client Profile].[Age].&amp;[33]")</f>
        <v>33</v>
      </c>
      <c r="Y79" s="23">
        <v>33</v>
      </c>
      <c r="Z79" s="23" vm="1378">
        <f t="shared" si="6"/>
        <v>84</v>
      </c>
    </row>
    <row r="80" spans="2:32" ht="15.6">
      <c r="B80" s="146" t="s" vm="128">
        <v>58</v>
      </c>
      <c r="C80" s="147" vm="1379">
        <f t="shared" si="8"/>
        <v>149</v>
      </c>
      <c r="D80" s="148"/>
      <c r="T80" s="153" t="s">
        <v>46</v>
      </c>
      <c r="U80" s="176" t="str" vm="77">
        <f>CUBEMEMBER("cabcrmsqlrs1 CABReportingCubes Local Client Event","[Measures].[Unique Client Count]")</f>
        <v>Unique Client Count</v>
      </c>
      <c r="W80" s="29" t="str" vm="258">
        <f>CUBEMEMBER("cabcrmsqlrs1 CABReportingCubes Local Client Event","[Client Profile].[Age].&amp;[34]")</f>
        <v>34</v>
      </c>
      <c r="Y80" s="23">
        <v>34</v>
      </c>
      <c r="Z80" s="23" vm="1432">
        <f t="shared" si="6"/>
        <v>87</v>
      </c>
    </row>
    <row r="81" spans="2:26" ht="15.6">
      <c r="B81" s="146" t="s" vm="122">
        <v>14</v>
      </c>
      <c r="C81" s="147">
        <f>(U105+'Enquiry - Gateway'!Q18)</f>
        <v>1551</v>
      </c>
      <c r="D81" s="148"/>
      <c r="T81" s="153" t="str" vm="132">
        <f>CUBEMEMBER("cabcrmsqlrs1 CABReportingCubes Local Client Event","[Client Profile].[Ethnic Origin].&amp;[Asian or Asian British - Bangladeshi]")</f>
        <v>Asian or Asian British - Bangladeshi</v>
      </c>
      <c r="U81" s="176" vm="1485">
        <f>IF(CUBEVALUE("cabcrmsqlrs1 CABReportingCubes Local Client Event",$U$75,$U$76,$U$77,$U$78,$T81,U$80)="",0,CUBEVALUE("cabcrmsqlrs1 CABReportingCubes Local Client Event",$U$75,$U$76,$U$77,$U$78,$T81,U$80))</f>
        <v>10</v>
      </c>
      <c r="W81" s="29" t="str" vm="228">
        <f>CUBEMEMBER("cabcrmsqlrs1 CABReportingCubes Local Client Event","[Client Profile].[Age].&amp;[35]")</f>
        <v>35</v>
      </c>
      <c r="Y81" s="23">
        <v>35</v>
      </c>
      <c r="Z81" s="23" vm="1398">
        <f t="shared" si="6"/>
        <v>89</v>
      </c>
    </row>
    <row r="82" spans="2:26" ht="15.6">
      <c r="B82" s="188" t="s">
        <v>30</v>
      </c>
      <c r="C82" s="163">
        <f>SUM(C57:C81)</f>
        <v>5658</v>
      </c>
      <c r="D82" s="164">
        <f>SUM(D57:D81)</f>
        <v>1.0000000000000002</v>
      </c>
      <c r="T82" s="153" t="str" vm="125">
        <f>CUBEMEMBER("cabcrmsqlrs1 CABReportingCubes Local Client Event","[Client Profile].[Ethnic Origin].&amp;[Asian or Asian British - Chinese]")</f>
        <v>Asian or Asian British - Chinese</v>
      </c>
      <c r="U82" s="176" vm="1351">
        <f t="shared" ref="U82:U106" si="11">IF(CUBEVALUE("cabcrmsqlrs1 CABReportingCubes Local Client Event",$U$75,$U$76,$U$77,$U$78,$T82,U$80)="",0,CUBEVALUE("cabcrmsqlrs1 CABReportingCubes Local Client Event",$U$75,$U$76,$U$77,$U$78,$T82,U$80))</f>
        <v>16</v>
      </c>
      <c r="W82" s="29" t="str" vm="199">
        <f>CUBEMEMBER("cabcrmsqlrs1 CABReportingCubes Local Client Event","[Client Profile].[Age].&amp;[36]")</f>
        <v>36</v>
      </c>
      <c r="Y82" s="23">
        <v>36</v>
      </c>
      <c r="Z82" s="23" vm="1503">
        <f t="shared" si="6"/>
        <v>94</v>
      </c>
    </row>
    <row r="83" spans="2:26" ht="6.75" customHeight="1">
      <c r="T83" s="153" t="str" vm="118">
        <f>CUBEMEMBER("cabcrmsqlrs1 CABReportingCubes Local Client Event","[Client Profile].[Ethnic Origin].&amp;[Asian or Asian British - Indian]")</f>
        <v>Asian or Asian British - Indian</v>
      </c>
      <c r="U83" s="176" vm="1392">
        <f t="shared" si="11"/>
        <v>15</v>
      </c>
      <c r="W83" s="29" t="str" vm="285">
        <f>CUBEMEMBER("cabcrmsqlrs1 CABReportingCubes Local Client Event","[Client Profile].[Age].&amp;[37]")</f>
        <v>37</v>
      </c>
      <c r="Y83" s="23">
        <v>37</v>
      </c>
      <c r="Z83" s="23" vm="1394">
        <f t="shared" si="6"/>
        <v>99</v>
      </c>
    </row>
    <row r="84" spans="2:26" ht="6.75" customHeight="1">
      <c r="T84" s="153" t="str" vm="112">
        <f>CUBEMEMBER("cabcrmsqlrs1 CABReportingCubes Local Client Event","[Client Profile].[Ethnic Origin].&amp;[Asian or Asian British - Other]")</f>
        <v>Asian or Asian British - Other</v>
      </c>
      <c r="U84" s="176" vm="1415">
        <f t="shared" si="11"/>
        <v>50</v>
      </c>
      <c r="W84" s="29" t="str" vm="257">
        <f>CUBEMEMBER("cabcrmsqlrs1 CABReportingCubes Local Client Event","[Client Profile].[Age].&amp;[38]")</f>
        <v>38</v>
      </c>
      <c r="Y84" s="23">
        <v>38</v>
      </c>
      <c r="Z84" s="23" vm="1354">
        <f t="shared" si="6"/>
        <v>88</v>
      </c>
    </row>
    <row r="85" spans="2:26" ht="9" customHeight="1">
      <c r="T85" s="153" t="str" vm="131">
        <f>CUBEMEMBER("cabcrmsqlrs1 CABReportingCubes Local Client Event","[Client Profile].[Ethnic Origin].&amp;[Asian or Asian British - Pakistani]")</f>
        <v>Asian or Asian British - Pakistani</v>
      </c>
      <c r="U85" s="176" vm="1420">
        <f t="shared" si="11"/>
        <v>7</v>
      </c>
      <c r="W85" s="29" t="str" vm="227">
        <f>CUBEMEMBER("cabcrmsqlrs1 CABReportingCubes Local Client Event","[Client Profile].[Age].&amp;[39]")</f>
        <v>39</v>
      </c>
      <c r="Y85" s="23">
        <v>39</v>
      </c>
      <c r="Z85" s="23" vm="1355">
        <f t="shared" si="6"/>
        <v>81</v>
      </c>
    </row>
    <row r="86" spans="2:26" ht="35.4">
      <c r="B86" s="185" t="s">
        <v>105</v>
      </c>
      <c r="T86" s="153" t="str" vm="124">
        <f>CUBEMEMBER("cabcrmsqlrs1 CABReportingCubes Local Client Event","[Client Profile].[Ethnic Origin].&amp;[Black or Black British - African]")</f>
        <v>Black or Black British - African</v>
      </c>
      <c r="U86" s="176" vm="1408">
        <f t="shared" si="11"/>
        <v>28</v>
      </c>
      <c r="W86" s="29" t="str" vm="284">
        <f>CUBEMEMBER("cabcrmsqlrs1 CABReportingCubes Local Client Event","[Client Profile].[Age].&amp;[40]")</f>
        <v>40</v>
      </c>
      <c r="Y86" s="23">
        <v>40</v>
      </c>
      <c r="Z86" s="23" vm="1363">
        <f t="shared" si="6"/>
        <v>70</v>
      </c>
    </row>
    <row r="87" spans="2:26">
      <c r="T87" s="153" t="str" vm="117">
        <f>CUBEMEMBER("cabcrmsqlrs1 CABReportingCubes Local Client Event","[Client Profile].[Ethnic Origin].&amp;[Black or Black British - Caribbean]")</f>
        <v>Black or Black British - Caribbean</v>
      </c>
      <c r="U87" s="176" vm="1367">
        <f t="shared" si="11"/>
        <v>4</v>
      </c>
      <c r="W87" s="29" t="str" vm="256">
        <f>CUBEMEMBER("cabcrmsqlrs1 CABReportingCubes Local Client Event","[Client Profile].[Age].&amp;[41]")</f>
        <v>41</v>
      </c>
      <c r="Y87" s="23">
        <v>41</v>
      </c>
      <c r="Z87" s="23" vm="1499">
        <f t="shared" si="6"/>
        <v>75</v>
      </c>
    </row>
    <row r="88" spans="2:26" ht="15.6">
      <c r="B88" s="172" t="s">
        <v>105</v>
      </c>
      <c r="C88" s="182" t="s">
        <v>99</v>
      </c>
      <c r="D88" s="182" t="s">
        <v>45</v>
      </c>
      <c r="T88" s="153" t="str" vm="111">
        <f>CUBEMEMBER("cabcrmsqlrs1 CABReportingCubes Local Client Event","[Client Profile].[Ethnic Origin].&amp;[Black or Black British - Other]")</f>
        <v>Black or Black British - Other</v>
      </c>
      <c r="U88" s="176" vm="1497">
        <f t="shared" si="11"/>
        <v>13</v>
      </c>
      <c r="W88" s="29" t="str" vm="226">
        <f>CUBEMEMBER("cabcrmsqlrs1 CABReportingCubes Local Client Event","[Client Profile].[Age].&amp;[42]")</f>
        <v>42</v>
      </c>
      <c r="Y88" s="23">
        <v>42</v>
      </c>
      <c r="Z88" s="23" vm="1406">
        <f t="shared" si="6"/>
        <v>80</v>
      </c>
    </row>
    <row r="89" spans="2:26" ht="15.6">
      <c r="B89" s="146" t="s">
        <v>82</v>
      </c>
      <c r="C89" s="147">
        <f>SUM(V121:V131)</f>
        <v>371</v>
      </c>
      <c r="D89" s="148">
        <f>IF(ISERROR(C89/SUM($C$89:$C$91)),0,C89/SUM($C$89:$C$91))</f>
        <v>0.10806874453830469</v>
      </c>
      <c r="T89" s="153" t="str" vm="123">
        <f>CUBEMEMBER("cabcrmsqlrs1 CABReportingCubes Local Client Event","[Client Profile].[Ethnic Origin].&amp;[Mixed - Other]")</f>
        <v>Mixed - Other</v>
      </c>
      <c r="U89" s="176" vm="1375">
        <f t="shared" si="11"/>
        <v>11</v>
      </c>
      <c r="W89" s="29" t="str" vm="197">
        <f>CUBEMEMBER("cabcrmsqlrs1 CABReportingCubes Local Client Event","[Client Profile].[Age].&amp;[43]")</f>
        <v>43</v>
      </c>
      <c r="Y89" s="23">
        <v>43</v>
      </c>
      <c r="Z89" s="23" vm="1384">
        <f t="shared" si="6"/>
        <v>71</v>
      </c>
    </row>
    <row r="90" spans="2:26" ht="15.6">
      <c r="B90" s="146" t="s" vm="156">
        <v>83</v>
      </c>
      <c r="C90" s="147">
        <f>SUM(V132:V142)</f>
        <v>1333</v>
      </c>
      <c r="D90" s="148">
        <f t="shared" ref="D90:D91" si="12">IF(ISERROR(C90/SUM($C$89:$C$91)),0,C90/SUM($C$89:$C$91))</f>
        <v>0.3882901252548791</v>
      </c>
      <c r="T90" s="153" t="str" vm="116">
        <f>CUBEMEMBER("cabcrmsqlrs1 CABReportingCubes Local Client Event","[Client Profile].[Ethnic Origin].&amp;[Mixed - White &amp; Asian]")</f>
        <v>Mixed - White &amp; Asian</v>
      </c>
      <c r="U90" s="176" vm="1443">
        <f t="shared" si="11"/>
        <v>12</v>
      </c>
      <c r="W90" s="29" t="str" vm="283">
        <f>CUBEMEMBER("cabcrmsqlrs1 CABReportingCubes Local Client Event","[Client Profile].[Age].&amp;[44]")</f>
        <v>44</v>
      </c>
      <c r="Y90" s="23">
        <v>44</v>
      </c>
      <c r="Z90" s="23" vm="1377">
        <f t="shared" si="6"/>
        <v>78</v>
      </c>
    </row>
    <row r="91" spans="2:26" ht="15.6">
      <c r="B91" s="146" t="s" vm="155">
        <v>84</v>
      </c>
      <c r="C91" s="147">
        <f>SUM(V143:V152)</f>
        <v>1729</v>
      </c>
      <c r="D91" s="148">
        <f t="shared" si="12"/>
        <v>0.50364113020681622</v>
      </c>
      <c r="T91" s="153" t="str" vm="110">
        <f>CUBEMEMBER("cabcrmsqlrs1 CABReportingCubes Local Client Event","[Client Profile].[Ethnic Origin].&amp;[Mixed - White &amp; Black African]")</f>
        <v>Mixed - White &amp; Black African</v>
      </c>
      <c r="U91" s="176" vm="1404">
        <f t="shared" si="11"/>
        <v>2</v>
      </c>
      <c r="W91" s="29" t="str" vm="255">
        <f>CUBEMEMBER("cabcrmsqlrs1 CABReportingCubes Local Client Event","[Client Profile].[Age].&amp;[45]")</f>
        <v>45</v>
      </c>
      <c r="Y91" s="23">
        <v>45</v>
      </c>
      <c r="Z91" s="23" vm="1387">
        <f t="shared" si="6"/>
        <v>80</v>
      </c>
    </row>
    <row r="92" spans="2:26" ht="15.6">
      <c r="B92" s="146" t="s" vm="180">
        <v>14</v>
      </c>
      <c r="C92" s="147" vm="1455">
        <f>V153</f>
        <v>1</v>
      </c>
      <c r="D92" s="148"/>
      <c r="T92" s="153" t="str" vm="129">
        <f>CUBEMEMBER("cabcrmsqlrs1 CABReportingCubes Local Client Event","[Client Profile].[Ethnic Origin].&amp;[Mixed - White &amp; Black Caribbean]")</f>
        <v>Mixed - White &amp; Black Caribbean</v>
      </c>
      <c r="U92" s="176" vm="1371">
        <f t="shared" si="11"/>
        <v>4</v>
      </c>
      <c r="W92" s="29" t="str" vm="225">
        <f>CUBEMEMBER("cabcrmsqlrs1 CABReportingCubes Local Client Event","[Client Profile].[Age].&amp;[46]")</f>
        <v>46</v>
      </c>
      <c r="Y92" s="23">
        <v>46</v>
      </c>
      <c r="Z92" s="23" vm="1410">
        <f t="shared" si="6"/>
        <v>94</v>
      </c>
    </row>
    <row r="93" spans="2:26" ht="15.6">
      <c r="B93" s="146" t="s" vm="154">
        <v>85</v>
      </c>
      <c r="C93" s="147">
        <f>(SUM(V154:V164)+'Enquiry - Gateway'!Q18)</f>
        <v>2224</v>
      </c>
      <c r="D93" s="148"/>
      <c r="T93" s="153" t="str" vm="115">
        <f>CUBEMEMBER("cabcrmsqlrs1 CABReportingCubes Local Client Event","[Client Profile].[Ethnic Origin].&amp;[Other - Any Other]")</f>
        <v>Other - Any Other</v>
      </c>
      <c r="U93" s="176" vm="1449">
        <f t="shared" si="11"/>
        <v>25</v>
      </c>
      <c r="W93" s="29" t="str" vm="196">
        <f>CUBEMEMBER("cabcrmsqlrs1 CABReportingCubes Local Client Event","[Client Profile].[Age].&amp;[47]")</f>
        <v>47</v>
      </c>
      <c r="Y93" s="23">
        <v>47</v>
      </c>
      <c r="Z93" s="23" vm="1508">
        <f t="shared" si="6"/>
        <v>89</v>
      </c>
    </row>
    <row r="94" spans="2:26" ht="15.6">
      <c r="B94" s="188" t="s">
        <v>30</v>
      </c>
      <c r="C94" s="163">
        <f>SUM(C89:C93)</f>
        <v>5658</v>
      </c>
      <c r="D94" s="164">
        <f>SUM(D89:D93)</f>
        <v>1</v>
      </c>
      <c r="T94" s="153" t="str" vm="109">
        <f>CUBEMEMBER("cabcrmsqlrs1 CABReportingCubes Local Client Event","[Client Profile].[Ethnic Origin].&amp;[Other - Arab]")</f>
        <v>Other - Arab</v>
      </c>
      <c r="U94" s="176" vm="1483">
        <f t="shared" si="11"/>
        <v>15</v>
      </c>
      <c r="W94" s="29" t="str" vm="282">
        <f>CUBEMEMBER("cabcrmsqlrs1 CABReportingCubes Local Client Event","[Client Profile].[Age].&amp;[48]")</f>
        <v>48</v>
      </c>
      <c r="Y94" s="23">
        <v>48</v>
      </c>
      <c r="Z94" s="23" vm="1372">
        <f t="shared" si="6"/>
        <v>88</v>
      </c>
    </row>
    <row r="95" spans="2:26" ht="10.5" customHeight="1">
      <c r="T95" s="153" t="str" vm="121">
        <f>CUBEMEMBER("cabcrmsqlrs1 CABReportingCubes Local Client Event","[Client Profile].[Ethnic Origin].&amp;[White - British]")</f>
        <v>White - British</v>
      </c>
      <c r="U95" s="176" vm="1419">
        <f t="shared" si="11"/>
        <v>3211</v>
      </c>
      <c r="W95" s="29" t="str" vm="254">
        <f>CUBEMEMBER("cabcrmsqlrs1 CABReportingCubes Local Client Event","[Client Profile].[Age].&amp;[49]")</f>
        <v>49</v>
      </c>
      <c r="Y95" s="23">
        <v>49</v>
      </c>
      <c r="Z95" s="23" vm="1412">
        <f t="shared" si="6"/>
        <v>98</v>
      </c>
    </row>
    <row r="96" spans="2:26" ht="9.75" customHeight="1">
      <c r="T96" s="153" t="str" vm="114">
        <f>CUBEMEMBER("cabcrmsqlrs1 CABReportingCubes Local Client Event","[Client Profile].[Ethnic Origin].&amp;[White - English]")</f>
        <v>White - English</v>
      </c>
      <c r="U96" s="176" vm="1385">
        <f t="shared" si="11"/>
        <v>102</v>
      </c>
      <c r="W96" s="29" t="str" vm="195">
        <f>CUBEMEMBER("cabcrmsqlrs1 CABReportingCubes Local Client Event","[Client Profile].[Age].&amp;[50]")</f>
        <v>50</v>
      </c>
      <c r="Y96" s="23">
        <v>50</v>
      </c>
      <c r="Z96" s="23" vm="1452">
        <f t="shared" si="6"/>
        <v>88</v>
      </c>
    </row>
    <row r="97" spans="2:26" ht="35.4">
      <c r="B97" s="185" t="s">
        <v>106</v>
      </c>
      <c r="T97" s="153" t="str" vm="108">
        <f>CUBEMEMBER("cabcrmsqlrs1 CABReportingCubes Local Client Event","[Client Profile].[Ethnic Origin].&amp;[White - Gypsy or Irish Traveller]")</f>
        <v>White - Gypsy or Irish Traveller</v>
      </c>
      <c r="U97" s="176" vm="1352">
        <f t="shared" si="11"/>
        <v>90</v>
      </c>
      <c r="W97" s="29" t="str" vm="281">
        <f>CUBEMEMBER("cabcrmsqlrs1 CABReportingCubes Local Client Event","[Client Profile].[Age].&amp;[51]")</f>
        <v>51</v>
      </c>
      <c r="Y97" s="23">
        <v>51</v>
      </c>
      <c r="Z97" s="23" vm="1388">
        <f t="shared" si="6"/>
        <v>92</v>
      </c>
    </row>
    <row r="98" spans="2:26">
      <c r="T98" s="153" t="str" vm="127">
        <f>CUBEMEMBER("cabcrmsqlrs1 CABReportingCubes Local Client Event","[Client Profile].[Ethnic Origin].&amp;[White - Irish]")</f>
        <v>White - Irish</v>
      </c>
      <c r="U98" s="176" vm="1369">
        <f t="shared" si="11"/>
        <v>17</v>
      </c>
      <c r="W98" s="29" t="str" vm="253">
        <f>CUBEMEMBER("cabcrmsqlrs1 CABReportingCubes Local Client Event","[Client Profile].[Age].&amp;[52]")</f>
        <v>52</v>
      </c>
      <c r="Y98" s="23">
        <v>52</v>
      </c>
      <c r="Z98" s="23" vm="1430">
        <f t="shared" si="6"/>
        <v>82</v>
      </c>
    </row>
    <row r="99" spans="2:26" ht="15.6">
      <c r="B99" s="172" t="s">
        <v>105</v>
      </c>
      <c r="C99" s="182" t="s">
        <v>99</v>
      </c>
      <c r="D99" s="182" t="s">
        <v>45</v>
      </c>
      <c r="T99" s="153" t="str" vm="120">
        <f>CUBEMEMBER("cabcrmsqlrs1 CABReportingCubes Local Client Event","[Client Profile].[Ethnic Origin].&amp;[White - Northern Irish]")</f>
        <v>White - Northern Irish</v>
      </c>
      <c r="U99" s="176" vm="1486">
        <f t="shared" si="11"/>
        <v>5</v>
      </c>
      <c r="W99" s="29" t="str" vm="223">
        <f>CUBEMEMBER("cabcrmsqlrs1 CABReportingCubes Local Client Event","[Client Profile].[Age].&amp;[53]")</f>
        <v>53</v>
      </c>
      <c r="Y99" s="23">
        <v>53</v>
      </c>
      <c r="Z99" s="23" vm="1373">
        <f t="shared" si="6"/>
        <v>83</v>
      </c>
    </row>
    <row r="100" spans="2:26" ht="15.6">
      <c r="B100" s="146" t="s">
        <v>86</v>
      </c>
      <c r="C100" s="147">
        <f>SUMIF($U$121:$U$164,$B100,$V$121:$V$164)</f>
        <v>10</v>
      </c>
      <c r="D100" s="148">
        <f>IF(ISERROR(C100/SUM($C$100:$C$109)),0,C100/SUM($C$100:$C$109))</f>
        <v>5.8651026392961877E-3</v>
      </c>
      <c r="T100" s="153" t="str" vm="113">
        <f>CUBEMEMBER("cabcrmsqlrs1 CABReportingCubes Local Client Event","[Client Profile].[Ethnic Origin].&amp;[White - Other]")</f>
        <v>White - Other</v>
      </c>
      <c r="U100" s="176" vm="1454">
        <f t="shared" si="11"/>
        <v>268</v>
      </c>
      <c r="W100" s="29" t="str" vm="194">
        <f>CUBEMEMBER("cabcrmsqlrs1 CABReportingCubes Local Client Event","[Client Profile].[Age].&amp;[54]")</f>
        <v>54</v>
      </c>
      <c r="Y100" s="23">
        <v>54</v>
      </c>
      <c r="Z100" s="23" vm="1403">
        <f t="shared" si="6"/>
        <v>82</v>
      </c>
    </row>
    <row r="101" spans="2:26" ht="15.6">
      <c r="B101" s="146" t="s">
        <v>87</v>
      </c>
      <c r="C101" s="147">
        <f t="shared" ref="C101:C109" si="13">SUMIF($U$121:$U$164,$B101,$V$121:$V$164)</f>
        <v>7</v>
      </c>
      <c r="D101" s="148">
        <f t="shared" ref="D101:D109" si="14">IF(ISERROR(C101/SUM($C$100:$C$109)),0,C101/SUM($C$100:$C$109))</f>
        <v>4.1055718475073314E-3</v>
      </c>
      <c r="T101" s="153" t="str" vm="107">
        <f>CUBEMEMBER("cabcrmsqlrs1 CABReportingCubes Local Client Event","[Client Profile].[Ethnic Origin].&amp;[White - Scottish]")</f>
        <v>White - Scottish</v>
      </c>
      <c r="U101" s="176" vm="1436">
        <f t="shared" si="11"/>
        <v>9</v>
      </c>
      <c r="W101" s="29" t="str" vm="280">
        <f>CUBEMEMBER("cabcrmsqlrs1 CABReportingCubes Local Client Event","[Client Profile].[Age].&amp;[55]")</f>
        <v>55</v>
      </c>
      <c r="Y101" s="23">
        <v>55</v>
      </c>
      <c r="Z101" s="23" vm="1425">
        <f t="shared" si="6"/>
        <v>78</v>
      </c>
    </row>
    <row r="102" spans="2:26" ht="15.6">
      <c r="B102" s="146" t="s">
        <v>88</v>
      </c>
      <c r="C102" s="147">
        <f t="shared" si="13"/>
        <v>25</v>
      </c>
      <c r="D102" s="148">
        <f t="shared" si="14"/>
        <v>1.466275659824047E-2</v>
      </c>
      <c r="T102" s="153" t="str" vm="126">
        <f>CUBEMEMBER("cabcrmsqlrs1 CABReportingCubes Local Client Event","[Client Profile].[Ethnic Origin].&amp;[White - Welsh]")</f>
        <v>White - Welsh</v>
      </c>
      <c r="U102" s="176" vm="1365">
        <f t="shared" si="11"/>
        <v>5</v>
      </c>
      <c r="W102" s="29" t="str" vm="252">
        <f>CUBEMEMBER("cabcrmsqlrs1 CABReportingCubes Local Client Event","[Client Profile].[Age].&amp;[56]")</f>
        <v>56</v>
      </c>
      <c r="Y102" s="23">
        <v>56</v>
      </c>
      <c r="Z102" s="23" vm="1494">
        <f t="shared" si="6"/>
        <v>71</v>
      </c>
    </row>
    <row r="103" spans="2:26" ht="15.6">
      <c r="B103" s="146" t="s">
        <v>89</v>
      </c>
      <c r="C103" s="147">
        <f t="shared" si="13"/>
        <v>29</v>
      </c>
      <c r="D103" s="148">
        <f t="shared" si="14"/>
        <v>1.7008797653958945E-2</v>
      </c>
      <c r="T103" s="153" t="str" vm="130">
        <f>CUBEMEMBER("cabcrmsqlrs1 CABReportingCubes Local Client Event","[Client Profile].[Ethnic Origin].&amp;[Declined to Reply]")</f>
        <v>Declined to Reply</v>
      </c>
      <c r="U103" s="176" vm="1362">
        <f t="shared" si="11"/>
        <v>39</v>
      </c>
      <c r="W103" s="29" t="str" vm="222">
        <f>CUBEMEMBER("cabcrmsqlrs1 CABReportingCubes Local Client Event","[Client Profile].[Age].&amp;[57]")</f>
        <v>57</v>
      </c>
      <c r="Y103" s="23">
        <v>57</v>
      </c>
      <c r="Z103" s="23" vm="1349">
        <f t="shared" si="6"/>
        <v>73</v>
      </c>
    </row>
    <row r="104" spans="2:26" ht="15.6">
      <c r="B104" s="146" t="s">
        <v>91</v>
      </c>
      <c r="C104" s="147">
        <f t="shared" si="13"/>
        <v>445</v>
      </c>
      <c r="D104" s="148">
        <f t="shared" si="14"/>
        <v>0.26099706744868034</v>
      </c>
      <c r="T104" s="153" t="str" vm="128">
        <f>CUBEMEMBER("cabcrmsqlrs1 CABReportingCubes Local Client Event","[Client Profile].[Ethnic Origin].&amp;[Unknown]")</f>
        <v>Unknown</v>
      </c>
      <c r="U104" s="176" vm="1379">
        <f t="shared" si="11"/>
        <v>149</v>
      </c>
      <c r="W104" s="29" t="str" vm="193">
        <f>CUBEMEMBER("cabcrmsqlrs1 CABReportingCubes Local Client Event","[Client Profile].[Age].&amp;[58]")</f>
        <v>58</v>
      </c>
      <c r="Y104" s="23">
        <v>58</v>
      </c>
      <c r="Z104" s="23" vm="1510">
        <f t="shared" si="6"/>
        <v>77</v>
      </c>
    </row>
    <row r="105" spans="2:26" ht="15.6">
      <c r="B105" s="146" t="s">
        <v>94</v>
      </c>
      <c r="C105" s="147">
        <f t="shared" si="13"/>
        <v>310</v>
      </c>
      <c r="D105" s="148">
        <f t="shared" si="14"/>
        <v>0.18181818181818182</v>
      </c>
      <c r="T105" s="153" t="str" vm="122">
        <f>CUBEMEMBER("cabcrmsqlrs1 CABReportingCubes Local Client Event","[Client Profile].[Ethnic Origin].&amp;[Not recorded/not applicable]")</f>
        <v>Not recorded/not applicable</v>
      </c>
      <c r="U105" s="176" vm="1481">
        <f t="shared" si="11"/>
        <v>1</v>
      </c>
      <c r="W105" s="29" t="str" vm="279">
        <f>CUBEMEMBER("cabcrmsqlrs1 CABReportingCubes Local Client Event","[Client Profile].[Age].&amp;[59]")</f>
        <v>59</v>
      </c>
      <c r="Y105" s="23">
        <v>59</v>
      </c>
      <c r="Z105" s="23" vm="1395">
        <f t="shared" si="6"/>
        <v>64</v>
      </c>
    </row>
    <row r="106" spans="2:26" ht="15.6">
      <c r="B106" s="146" t="s">
        <v>95</v>
      </c>
      <c r="C106" s="147">
        <f t="shared" si="13"/>
        <v>20</v>
      </c>
      <c r="D106" s="148">
        <f t="shared" si="14"/>
        <v>1.1730205278592375E-2</v>
      </c>
      <c r="T106" s="153" t="str" vm="119">
        <f>CUBEMEMBER("cabcrmsqlrs1 CABReportingCubes Local Client Event","[Client Profile].[Ethnic Origin].[All]","Grand Total")</f>
        <v>Grand Total</v>
      </c>
      <c r="U106" s="176" vm="1353">
        <f t="shared" si="11"/>
        <v>4108</v>
      </c>
      <c r="W106" s="29" t="str" vm="221">
        <f>CUBEMEMBER("cabcrmsqlrs1 CABReportingCubes Local Client Event","[Client Profile].[Age].&amp;[60]")</f>
        <v>60</v>
      </c>
      <c r="Y106" s="23">
        <v>60</v>
      </c>
      <c r="Z106" s="23" vm="1505">
        <f t="shared" si="6"/>
        <v>63</v>
      </c>
    </row>
    <row r="107" spans="2:26" ht="15.6">
      <c r="B107" s="146" t="s">
        <v>90</v>
      </c>
      <c r="C107" s="147">
        <f t="shared" si="13"/>
        <v>667</v>
      </c>
      <c r="D107" s="148">
        <f t="shared" si="14"/>
        <v>0.39120234604105569</v>
      </c>
      <c r="W107" s="29" t="str" vm="192">
        <f>CUBEMEMBER("cabcrmsqlrs1 CABReportingCubes Local Client Event","[Client Profile].[Age].&amp;[61]")</f>
        <v>61</v>
      </c>
      <c r="Y107" s="23">
        <v>61</v>
      </c>
      <c r="Z107" s="23" vm="1490">
        <f t="shared" si="6"/>
        <v>58</v>
      </c>
    </row>
    <row r="108" spans="2:26" ht="15.6">
      <c r="B108" s="146" t="s">
        <v>92</v>
      </c>
      <c r="C108" s="147">
        <f t="shared" si="13"/>
        <v>93</v>
      </c>
      <c r="D108" s="148">
        <f t="shared" si="14"/>
        <v>5.4545454545454543E-2</v>
      </c>
      <c r="W108" s="29" t="str" vm="278">
        <f>CUBEMEMBER("cabcrmsqlrs1 CABReportingCubes Local Client Event","[Client Profile].[Age].&amp;[62]")</f>
        <v>62</v>
      </c>
      <c r="Y108" s="23">
        <v>62</v>
      </c>
      <c r="Z108" s="23" vm="1422">
        <f t="shared" si="6"/>
        <v>60</v>
      </c>
    </row>
    <row r="109" spans="2:26" ht="15.6">
      <c r="B109" s="146" t="s">
        <v>93</v>
      </c>
      <c r="C109" s="147">
        <f t="shared" si="13"/>
        <v>99</v>
      </c>
      <c r="D109" s="148">
        <f t="shared" si="14"/>
        <v>5.8064516129032261E-2</v>
      </c>
      <c r="W109" s="29" t="str" vm="250">
        <f>CUBEMEMBER("cabcrmsqlrs1 CABReportingCubes Local Client Event","[Client Profile].[Age].&amp;[63]")</f>
        <v>63</v>
      </c>
      <c r="Y109" s="23">
        <v>63</v>
      </c>
      <c r="Z109" s="23" vm="1429">
        <f t="shared" si="6"/>
        <v>71</v>
      </c>
    </row>
    <row r="110" spans="2:26" ht="15.6">
      <c r="B110" s="146" t="s">
        <v>14</v>
      </c>
      <c r="C110" s="147">
        <f>SUMIF($U$121:$U$164,$B110,$V$121:$V$164)+'Enquiry - Gateway'!Q18</f>
        <v>3953</v>
      </c>
      <c r="D110" s="148"/>
      <c r="W110" s="29" t="str" vm="220">
        <f>CUBEMEMBER("cabcrmsqlrs1 CABReportingCubes Local Client Event","[Client Profile].[Age].&amp;[64]")</f>
        <v>64</v>
      </c>
      <c r="Y110" s="23">
        <v>64</v>
      </c>
      <c r="Z110" s="23" vm="1380">
        <f t="shared" ref="Z110:Z161" si="15">IF(CUBEVALUE("cabcrmsqlrs1 CABReportingCubes Local Client Event",$X$26,$X$27,$X$28,$X$29,$W110,X$31)="",0,CUBEVALUE("cabcrmsqlrs1 CABReportingCubes Local Client Event",$X$26,$X$27,$X$28,$X$29,$W110,X$31))</f>
        <v>47</v>
      </c>
    </row>
    <row r="111" spans="2:26" ht="15.6">
      <c r="B111" s="188" t="s">
        <v>30</v>
      </c>
      <c r="C111" s="163">
        <f>SUM(C100:C110)</f>
        <v>5658</v>
      </c>
      <c r="D111" s="164">
        <f>SUM(D100:D109)</f>
        <v>1</v>
      </c>
      <c r="W111" s="29" t="str" vm="191">
        <f>CUBEMEMBER("cabcrmsqlrs1 CABReportingCubes Local Client Event","[Client Profile].[Age].&amp;[65]")</f>
        <v>65</v>
      </c>
      <c r="Y111" s="23">
        <v>65</v>
      </c>
      <c r="Z111" s="23" vm="1433">
        <f t="shared" si="15"/>
        <v>53</v>
      </c>
    </row>
    <row r="112" spans="2:26" ht="15.75" customHeight="1">
      <c r="W112" s="29" t="str" vm="277">
        <f>CUBEMEMBER("cabcrmsqlrs1 CABReportingCubes Local Client Event","[Client Profile].[Age].&amp;[66]")</f>
        <v>66</v>
      </c>
      <c r="Y112" s="23">
        <v>66</v>
      </c>
      <c r="Z112" s="23" vm="1424">
        <f t="shared" si="15"/>
        <v>38</v>
      </c>
    </row>
    <row r="113" spans="20:26" ht="15.75" customHeight="1">
      <c r="W113" s="29" t="str" vm="249">
        <f>CUBEMEMBER("cabcrmsqlrs1 CABReportingCubes Local Client Event","[Client Profile].[Age].&amp;[67]")</f>
        <v>67</v>
      </c>
      <c r="Y113" s="23">
        <v>67</v>
      </c>
      <c r="Z113" s="23" vm="1428">
        <f t="shared" si="15"/>
        <v>39</v>
      </c>
    </row>
    <row r="114" spans="20:26" hidden="1">
      <c r="W114" s="29" t="str" vm="219">
        <f>CUBEMEMBER("cabcrmsqlrs1 CABReportingCubes Local Client Event","[Client Profile].[Age].&amp;[68]")</f>
        <v>68</v>
      </c>
      <c r="Y114" s="23">
        <v>68</v>
      </c>
      <c r="Z114" s="23" vm="1495">
        <f t="shared" si="15"/>
        <v>37</v>
      </c>
    </row>
    <row r="115" spans="20:26" hidden="1">
      <c r="T115" s="197" t="s">
        <v>4</v>
      </c>
      <c r="U115" s="197" t="str" vm="959">
        <f>'Enter Parameters'!D17</f>
        <v>York (member)</v>
      </c>
      <c r="W115" s="29" t="str" vm="190">
        <f>CUBEMEMBER("cabcrmsqlrs1 CABReportingCubes Local Client Event","[Client Profile].[Age].&amp;[69]")</f>
        <v>69</v>
      </c>
      <c r="Y115" s="23">
        <v>69</v>
      </c>
      <c r="Z115" s="23" vm="1444">
        <f t="shared" si="15"/>
        <v>29</v>
      </c>
    </row>
    <row r="116" spans="20:26" hidden="1">
      <c r="T116" s="197" t="s">
        <v>3</v>
      </c>
      <c r="U116" s="197" t="str" vm="949">
        <f>'Enter Parameters'!D18</f>
        <v>2016-17</v>
      </c>
      <c r="W116" s="29" t="str" vm="248">
        <f>CUBEMEMBER("cabcrmsqlrs1 CABReportingCubes Local Client Event","[Client Profile].[Age].&amp;[70]")</f>
        <v>70</v>
      </c>
      <c r="Y116" s="23">
        <v>70</v>
      </c>
      <c r="Z116" s="23" vm="1391">
        <f t="shared" si="15"/>
        <v>31</v>
      </c>
    </row>
    <row r="117" spans="20:26" hidden="1">
      <c r="T117" s="197" t="s">
        <v>21</v>
      </c>
      <c r="U117" s="197" t="str" vm="941">
        <f>'Enter Parameters'!D19</f>
        <v>All</v>
      </c>
      <c r="W117" s="29" t="str" vm="218">
        <f>CUBEMEMBER("cabcrmsqlrs1 CABReportingCubes Local Client Event","[Client Profile].[Age].&amp;[71]")</f>
        <v>71</v>
      </c>
      <c r="Y117" s="23">
        <v>71</v>
      </c>
      <c r="Z117" s="23" vm="1435">
        <f t="shared" si="15"/>
        <v>20</v>
      </c>
    </row>
    <row r="118" spans="20:26" hidden="1">
      <c r="T118" s="198" t="s">
        <v>23</v>
      </c>
      <c r="U118" s="198" t="str" vm="76">
        <f>X8</f>
        <v>(Multiple Items)</v>
      </c>
      <c r="W118" s="29" t="str" vm="189">
        <f>CUBEMEMBER("cabcrmsqlrs1 CABReportingCubes Local Client Event","[Client Profile].[Age].&amp;[72]")</f>
        <v>72</v>
      </c>
      <c r="Y118" s="23">
        <v>72</v>
      </c>
      <c r="Z118" s="23" vm="1477">
        <f t="shared" si="15"/>
        <v>15</v>
      </c>
    </row>
    <row r="119" spans="20:26" hidden="1">
      <c r="W119" s="29" t="str" vm="275">
        <f>CUBEMEMBER("cabcrmsqlrs1 CABReportingCubes Local Client Event","[Client Profile].[Age].&amp;[73]")</f>
        <v>73</v>
      </c>
      <c r="Y119" s="23">
        <v>73</v>
      </c>
      <c r="Z119" s="23" vm="1381">
        <f t="shared" si="15"/>
        <v>19</v>
      </c>
    </row>
    <row r="120" spans="20:26" hidden="1">
      <c r="T120" s="153" t="s">
        <v>96</v>
      </c>
      <c r="U120" s="153" t="s">
        <v>97</v>
      </c>
      <c r="V120" s="176" t="str" vm="77">
        <f>CUBEMEMBER("cabcrmsqlrs1 CABReportingCubes Local Client Event","[Measures].[Unique Client Count]")</f>
        <v>Unique Client Count</v>
      </c>
      <c r="W120" s="29" t="str" vm="247">
        <f>CUBEMEMBER("cabcrmsqlrs1 CABReportingCubes Local Client Event","[Client Profile].[Age].&amp;[74]")</f>
        <v>74</v>
      </c>
      <c r="Y120" s="23">
        <v>74</v>
      </c>
      <c r="Z120" s="23" vm="1506">
        <f t="shared" si="15"/>
        <v>8</v>
      </c>
    </row>
    <row r="121" spans="20:26" hidden="1">
      <c r="T121" s="153" t="str" vm="157">
        <f t="shared" ref="T121:T131" si="16">CUBEMEMBER("cabcrmsqlrs1 CABReportingCubes Local Client Event","[Client Profile].[Disability or Health Problems].&amp;[Disabled]")</f>
        <v>Disabled</v>
      </c>
      <c r="U121" s="153" t="str" vm="179">
        <f>CUBEMEMBER("cabcrmsqlrs1 CABReportingCubes Local Client Event",{"[Client Profile].[Disability or Health Problems].&amp;[Disabled]","[Client Profile].[Type Of Disability or Condition].&amp;[Cognitive Impairment]"})</f>
        <v>Cognitive Impairment</v>
      </c>
      <c r="V121" s="176" vm="1456">
        <f>IF(CUBEVALUE("cabcrmsqlrs1 CABReportingCubes Local Client Event",$U$115,$U$116,$U$117,$U$118,$U121,V$120)="",0,CUBEVALUE("cabcrmsqlrs1 CABReportingCubes Local Client Event",$U$115,$U$116,$U$117,$U$118,$U121,V$120))</f>
        <v>2</v>
      </c>
      <c r="W121" s="29" t="str" vm="217">
        <f>CUBEMEMBER("cabcrmsqlrs1 CABReportingCubes Local Client Event","[Client Profile].[Age].&amp;[75]")</f>
        <v>75</v>
      </c>
      <c r="Y121" s="23">
        <v>75</v>
      </c>
      <c r="Z121" s="23" vm="1423">
        <f t="shared" si="15"/>
        <v>18</v>
      </c>
    </row>
    <row r="122" spans="20:26" hidden="1">
      <c r="T122" s="153" t="str" vm="157">
        <f t="shared" si="16"/>
        <v>Disabled</v>
      </c>
      <c r="U122" s="153" t="str" vm="181">
        <f>CUBEMEMBER("cabcrmsqlrs1 CABReportingCubes Local Client Event",{"[Client Profile].[Disability or Health Problems].&amp;[Disabled]","[Client Profile].[Type Of Disability or Condition].&amp;[Deaf]"})</f>
        <v>Deaf</v>
      </c>
      <c r="V122" s="176" vm="1445">
        <f t="shared" ref="V122:V164" si="17">IF(CUBEVALUE("cabcrmsqlrs1 CABReportingCubes Local Client Event",$U$115,$U$116,$U$117,$U$118,$U122,V$120)="",0,CUBEVALUE("cabcrmsqlrs1 CABReportingCubes Local Client Event",$U$115,$U$116,$U$117,$U$118,$U122,V$120))</f>
        <v>5</v>
      </c>
      <c r="W122" s="29" t="str" vm="188">
        <f>CUBEMEMBER("cabcrmsqlrs1 CABReportingCubes Local Client Event","[Client Profile].[Age].&amp;[76]")</f>
        <v>76</v>
      </c>
      <c r="Y122" s="23">
        <v>76</v>
      </c>
      <c r="Z122" s="23" vm="1492">
        <f t="shared" si="15"/>
        <v>21</v>
      </c>
    </row>
    <row r="123" spans="20:26" hidden="1">
      <c r="T123" s="153" t="str" vm="157">
        <f t="shared" si="16"/>
        <v>Disabled</v>
      </c>
      <c r="U123" s="153" t="str" vm="158">
        <f>CUBEMEMBER("cabcrmsqlrs1 CABReportingCubes Local Client Event",{"[Client Profile].[Disability or Health Problems].&amp;[Disabled]","[Client Profile].[Type Of Disability or Condition].&amp;[Hearing Impairment]"})</f>
        <v>Hearing Impairment</v>
      </c>
      <c r="V123" s="176" vm="1407">
        <f t="shared" si="17"/>
        <v>9</v>
      </c>
      <c r="W123" s="29" t="str" vm="274">
        <f>CUBEMEMBER("cabcrmsqlrs1 CABReportingCubes Local Client Event","[Client Profile].[Age].&amp;[77]")</f>
        <v>77</v>
      </c>
      <c r="Y123" s="23">
        <v>77</v>
      </c>
      <c r="Z123" s="23" vm="1421">
        <f t="shared" si="15"/>
        <v>20</v>
      </c>
    </row>
    <row r="124" spans="20:26" hidden="1">
      <c r="T124" s="153" t="str" vm="157">
        <f t="shared" si="16"/>
        <v>Disabled</v>
      </c>
      <c r="U124" s="153" t="str" vm="153">
        <f>CUBEMEMBER("cabcrmsqlrs1 CABReportingCubes Local Client Event",{"[Client Profile].[Disability or Health Problems].&amp;[Disabled]","[Client Profile].[Type Of Disability or Condition].&amp;[Learning Difficulty]"})</f>
        <v>Learning Difficulty</v>
      </c>
      <c r="V124" s="176" vm="1459">
        <f t="shared" si="17"/>
        <v>16</v>
      </c>
      <c r="W124" s="29" t="str" vm="246">
        <f>CUBEMEMBER("cabcrmsqlrs1 CABReportingCubes Local Client Event","[Client Profile].[Age].&amp;[78]")</f>
        <v>78</v>
      </c>
      <c r="Y124" s="23">
        <v>78</v>
      </c>
      <c r="Z124" s="23" vm="1434">
        <f t="shared" si="15"/>
        <v>20</v>
      </c>
    </row>
    <row r="125" spans="20:26" hidden="1">
      <c r="T125" s="153" t="str" vm="157">
        <f t="shared" si="16"/>
        <v>Disabled</v>
      </c>
      <c r="U125" s="153" t="str" vm="178">
        <f>CUBEMEMBER("cabcrmsqlrs1 CABReportingCubes Local Client Event",{"[Client Profile].[Disability or Health Problems].&amp;[Disabled]","[Client Profile].[Type Of Disability or Condition].&amp;[Long-Term Health Condition]"})</f>
        <v>Long-Term Health Condition</v>
      </c>
      <c r="V125" s="176" vm="1484">
        <f t="shared" si="17"/>
        <v>105</v>
      </c>
      <c r="W125" s="29" t="str" vm="216">
        <f>CUBEMEMBER("cabcrmsqlrs1 CABReportingCubes Local Client Event","[Client Profile].[Age].&amp;[79]")</f>
        <v>79</v>
      </c>
      <c r="Y125" s="23">
        <v>79</v>
      </c>
      <c r="Z125" s="23" vm="1496">
        <f t="shared" si="15"/>
        <v>9</v>
      </c>
    </row>
    <row r="126" spans="20:26" hidden="1">
      <c r="T126" s="153" t="str" vm="157">
        <f t="shared" si="16"/>
        <v>Disabled</v>
      </c>
      <c r="U126" s="153" t="str" vm="152">
        <f>CUBEMEMBER("cabcrmsqlrs1 CABReportingCubes Local Client Event",{"[Client Profile].[Disability or Health Problems].&amp;[Disabled]","[Client Profile].[Type Of Disability or Condition].&amp;[Mental Health]"})</f>
        <v>Mental Health</v>
      </c>
      <c r="V126" s="176" vm="1411">
        <f t="shared" si="17"/>
        <v>54</v>
      </c>
      <c r="W126" s="29" t="str" vm="273">
        <f>CUBEMEMBER("cabcrmsqlrs1 CABReportingCubes Local Client Event","[Client Profile].[Age].&amp;[80]")</f>
        <v>80</v>
      </c>
      <c r="Y126" s="23">
        <v>80</v>
      </c>
      <c r="Z126" s="23" vm="1402">
        <f t="shared" si="15"/>
        <v>7</v>
      </c>
    </row>
    <row r="127" spans="20:26" hidden="1">
      <c r="T127" s="153" t="str" vm="157">
        <f t="shared" si="16"/>
        <v>Disabled</v>
      </c>
      <c r="U127" s="153" t="str" vm="177">
        <f>CUBEMEMBER("cabcrmsqlrs1 CABReportingCubes Local Client Event",{"[Client Profile].[Disability or Health Problems].&amp;[Disabled]","[Client Profile].[Type Of Disability or Condition].&amp;[Multiple Impairments]"})</f>
        <v>Multiple Impairments</v>
      </c>
      <c r="V127" s="176" vm="1447">
        <f t="shared" si="17"/>
        <v>30</v>
      </c>
      <c r="W127" s="29" t="str" vm="245">
        <f>CUBEMEMBER("cabcrmsqlrs1 CABReportingCubes Local Client Event","[Client Profile].[Age].&amp;[81]")</f>
        <v>81</v>
      </c>
      <c r="Y127" s="23">
        <v>81</v>
      </c>
      <c r="Z127" s="23" vm="1361">
        <f t="shared" si="15"/>
        <v>13</v>
      </c>
    </row>
    <row r="128" spans="20:26" hidden="1">
      <c r="T128" s="153" t="str" vm="157">
        <f t="shared" si="16"/>
        <v>Disabled</v>
      </c>
      <c r="U128" s="153" t="str" vm="151">
        <f>CUBEMEMBER("cabcrmsqlrs1 CABReportingCubes Local Client Event",{"[Client Profile].[Disability or Health Problems].&amp;[Disabled]","[Client Profile].[Type Of Disability or Condition].&amp;[Not recorded/not applicable]"})</f>
        <v>Not recorded/not applicable</v>
      </c>
      <c r="V128" s="176">
        <f t="shared" si="17"/>
        <v>0</v>
      </c>
      <c r="W128" s="29" t="str" vm="215">
        <f>CUBEMEMBER("cabcrmsqlrs1 CABReportingCubes Local Client Event","[Client Profile].[Age].&amp;[82]")</f>
        <v>82</v>
      </c>
      <c r="Y128" s="23">
        <v>82</v>
      </c>
      <c r="Z128" s="23" vm="1409">
        <f t="shared" si="15"/>
        <v>5</v>
      </c>
    </row>
    <row r="129" spans="20:26" hidden="1">
      <c r="T129" s="153" t="str" vm="157">
        <f t="shared" si="16"/>
        <v>Disabled</v>
      </c>
      <c r="U129" s="153" t="str" vm="176">
        <f>CUBEMEMBER("cabcrmsqlrs1 CABReportingCubes Local Client Event",{"[Client Profile].[Disability or Health Problems].&amp;[Disabled]","[Client Profile].[Type Of Disability or Condition].&amp;[Other Disability or Type Not Given]"})</f>
        <v>Other Disability or Type Not Given</v>
      </c>
      <c r="V129" s="176" vm="1401">
        <f t="shared" si="17"/>
        <v>36</v>
      </c>
      <c r="W129" s="29" t="str" vm="186">
        <f>CUBEMEMBER("cabcrmsqlrs1 CABReportingCubes Local Client Event","[Client Profile].[Age].&amp;[83]")</f>
        <v>83</v>
      </c>
      <c r="Y129" s="23">
        <v>83</v>
      </c>
      <c r="Z129" s="23" vm="1513">
        <f t="shared" si="15"/>
        <v>4</v>
      </c>
    </row>
    <row r="130" spans="20:26" hidden="1">
      <c r="T130" s="153" t="str" vm="157">
        <f t="shared" si="16"/>
        <v>Disabled</v>
      </c>
      <c r="U130" s="153" t="str" vm="150">
        <f>CUBEMEMBER("cabcrmsqlrs1 CABReportingCubes Local Client Event",{"[Client Profile].[Disability or Health Problems].&amp;[Disabled]","[Client Profile].[Type Of Disability or Condition].&amp;[Physical Impairment (non-sensory)]"})</f>
        <v>Physical Impairment (non-sensory)</v>
      </c>
      <c r="V130" s="176" vm="1461">
        <f t="shared" si="17"/>
        <v>103</v>
      </c>
      <c r="W130" s="29" t="str" vm="272">
        <f>CUBEMEMBER("cabcrmsqlrs1 CABReportingCubes Local Client Event","[Client Profile].[Age].&amp;[84]")</f>
        <v>84</v>
      </c>
      <c r="Y130" s="23">
        <v>84</v>
      </c>
      <c r="Z130" s="23" vm="1358">
        <f t="shared" si="15"/>
        <v>4</v>
      </c>
    </row>
    <row r="131" spans="20:26" hidden="1">
      <c r="T131" s="153" t="str" vm="157">
        <f t="shared" si="16"/>
        <v>Disabled</v>
      </c>
      <c r="U131" s="153" t="str" vm="175">
        <f>CUBEMEMBER("cabcrmsqlrs1 CABReportingCubes Local Client Event",{"[Client Profile].[Disability or Health Problems].&amp;[Disabled]","[Client Profile].[Type Of Disability or Condition].&amp;[Visual Impairment]"})</f>
        <v>Visual Impairment</v>
      </c>
      <c r="V131" s="176" vm="1450">
        <f t="shared" si="17"/>
        <v>11</v>
      </c>
      <c r="W131" s="29" t="str" vm="244">
        <f>CUBEMEMBER("cabcrmsqlrs1 CABReportingCubes Local Client Event","[Client Profile].[Age].&amp;[85]")</f>
        <v>85</v>
      </c>
      <c r="Y131" s="23">
        <v>85</v>
      </c>
      <c r="Z131" s="23" vm="1364">
        <f t="shared" si="15"/>
        <v>10</v>
      </c>
    </row>
    <row r="132" spans="20:26" hidden="1">
      <c r="T132" s="153" t="str" vm="156">
        <f t="shared" ref="T132:T142" si="18">CUBEMEMBER("cabcrmsqlrs1 CABReportingCubes Local Client Event","[Client Profile].[Disability or Health Problems].&amp;[Long-term health condition]")</f>
        <v>Long-term health condition</v>
      </c>
      <c r="U132" s="153" t="str" vm="149">
        <f>CUBEMEMBER("cabcrmsqlrs1 CABReportingCubes Local Client Event",{"[Client Profile].[Disability or Health Problems].&amp;[Long-term health condition]","[Client Profile].[Type Of Disability or Condition].&amp;[Cognitive Impairment]"})</f>
        <v>Cognitive Impairment</v>
      </c>
      <c r="V132" s="176" vm="1487">
        <f t="shared" si="17"/>
        <v>8</v>
      </c>
      <c r="W132" s="29" t="str" vm="214">
        <f>CUBEMEMBER("cabcrmsqlrs1 CABReportingCubes Local Client Event","[Client Profile].[Age].&amp;[86]")</f>
        <v>86</v>
      </c>
      <c r="Y132" s="23">
        <v>86</v>
      </c>
      <c r="Z132" s="23" vm="1493">
        <f t="shared" si="15"/>
        <v>6</v>
      </c>
    </row>
    <row r="133" spans="20:26" hidden="1">
      <c r="T133" s="153" t="str" vm="156">
        <f t="shared" si="18"/>
        <v>Long-term health condition</v>
      </c>
      <c r="U133" s="153" t="str" vm="174">
        <f>CUBEMEMBER("cabcrmsqlrs1 CABReportingCubes Local Client Event",{"[Client Profile].[Disability or Health Problems].&amp;[Long-term health condition]","[Client Profile].[Type Of Disability or Condition].&amp;[Deaf]"})</f>
        <v>Deaf</v>
      </c>
      <c r="V133" s="176" vm="1451">
        <f t="shared" si="17"/>
        <v>2</v>
      </c>
      <c r="W133" s="29" t="str" vm="185">
        <f>CUBEMEMBER("cabcrmsqlrs1 CABReportingCubes Local Client Event","[Client Profile].[Age].&amp;[87]")</f>
        <v>87</v>
      </c>
      <c r="Y133" s="23">
        <v>87</v>
      </c>
      <c r="Z133" s="23" vm="1489">
        <f t="shared" si="15"/>
        <v>6</v>
      </c>
    </row>
    <row r="134" spans="20:26" hidden="1">
      <c r="T134" s="153" t="str" vm="156">
        <f t="shared" si="18"/>
        <v>Long-term health condition</v>
      </c>
      <c r="U134" s="153" t="str" vm="148">
        <f>CUBEMEMBER("cabcrmsqlrs1 CABReportingCubes Local Client Event",{"[Client Profile].[Disability or Health Problems].&amp;[Long-term health condition]","[Client Profile].[Type Of Disability or Condition].&amp;[Hearing Impairment]"})</f>
        <v>Hearing Impairment</v>
      </c>
      <c r="V134" s="176" vm="1417">
        <f t="shared" si="17"/>
        <v>16</v>
      </c>
      <c r="W134" s="29" t="str" vm="271">
        <f>CUBEMEMBER("cabcrmsqlrs1 CABReportingCubes Local Client Event","[Client Profile].[Age].&amp;[88]")</f>
        <v>88</v>
      </c>
      <c r="Y134" s="23">
        <v>88</v>
      </c>
      <c r="Z134" s="23" vm="1386">
        <f t="shared" si="15"/>
        <v>1</v>
      </c>
    </row>
    <row r="135" spans="20:26" hidden="1">
      <c r="T135" s="153" t="str" vm="156">
        <f t="shared" si="18"/>
        <v>Long-term health condition</v>
      </c>
      <c r="U135" s="153" t="str" vm="173">
        <f>CUBEMEMBER("cabcrmsqlrs1 CABReportingCubes Local Client Event",{"[Client Profile].[Disability or Health Problems].&amp;[Long-term health condition]","[Client Profile].[Type Of Disability or Condition].&amp;[Learning Difficulty]"})</f>
        <v>Learning Difficulty</v>
      </c>
      <c r="V135" s="176" vm="1437">
        <f t="shared" si="17"/>
        <v>13</v>
      </c>
      <c r="W135" s="29" t="str" vm="243">
        <f>CUBEMEMBER("cabcrmsqlrs1 CABReportingCubes Local Client Event","[Client Profile].[Age].&amp;[89]")</f>
        <v>89</v>
      </c>
      <c r="Y135" s="23">
        <v>89</v>
      </c>
      <c r="Z135" s="23" vm="1390">
        <f t="shared" si="15"/>
        <v>5</v>
      </c>
    </row>
    <row r="136" spans="20:26" hidden="1">
      <c r="T136" s="153" t="str" vm="156">
        <f t="shared" si="18"/>
        <v>Long-term health condition</v>
      </c>
      <c r="U136" s="153" t="str" vm="147">
        <f>CUBEMEMBER("cabcrmsqlrs1 CABReportingCubes Local Client Event",{"[Client Profile].[Disability or Health Problems].&amp;[Long-term health condition]","[Client Profile].[Type Of Disability or Condition].&amp;[Long-Term Health Condition]"})</f>
        <v>Long-Term Health Condition</v>
      </c>
      <c r="V136" s="176" vm="1458">
        <f t="shared" si="17"/>
        <v>562</v>
      </c>
      <c r="W136" s="29" t="str" vm="184">
        <f>CUBEMEMBER("cabcrmsqlrs1 CABReportingCubes Local Client Event","[Client Profile].[Age].&amp;[90]")</f>
        <v>90</v>
      </c>
      <c r="Y136" s="23">
        <v>90</v>
      </c>
      <c r="Z136" s="23" vm="1356">
        <f t="shared" si="15"/>
        <v>2</v>
      </c>
    </row>
    <row r="137" spans="20:26" hidden="1">
      <c r="T137" s="153" t="str" vm="156">
        <f t="shared" si="18"/>
        <v>Long-term health condition</v>
      </c>
      <c r="U137" s="153" t="str" vm="172">
        <f>CUBEMEMBER("cabcrmsqlrs1 CABReportingCubes Local Client Event",{"[Client Profile].[Disability or Health Problems].&amp;[Long-term health condition]","[Client Profile].[Type Of Disability or Condition].&amp;[Mental Health]"})</f>
        <v>Mental Health</v>
      </c>
      <c r="V137" s="176" vm="1488">
        <f t="shared" si="17"/>
        <v>390</v>
      </c>
      <c r="W137" s="29" t="str" vm="270">
        <f>CUBEMEMBER("cabcrmsqlrs1 CABReportingCubes Local Client Event","[Client Profile].[Age].&amp;[91]")</f>
        <v>91</v>
      </c>
      <c r="Y137" s="23">
        <v>91</v>
      </c>
      <c r="Z137" s="23">
        <f t="shared" si="15"/>
        <v>0</v>
      </c>
    </row>
    <row r="138" spans="20:26" hidden="1">
      <c r="T138" s="153" t="str" vm="156">
        <f t="shared" si="18"/>
        <v>Long-term health condition</v>
      </c>
      <c r="U138" s="153" t="str" vm="146">
        <f>CUBEMEMBER("cabcrmsqlrs1 CABReportingCubes Local Client Event",{"[Client Profile].[Disability or Health Problems].&amp;[Long-term health condition]","[Client Profile].[Type Of Disability or Condition].&amp;[Multiple Impairments]"})</f>
        <v>Multiple Impairments</v>
      </c>
      <c r="V138" s="176" vm="1431">
        <f t="shared" si="17"/>
        <v>63</v>
      </c>
      <c r="W138" s="29" t="str" vm="242">
        <f>CUBEMEMBER("cabcrmsqlrs1 CABReportingCubes Local Client Event","[Client Profile].[Age].&amp;[92]")</f>
        <v>92</v>
      </c>
      <c r="Y138" s="23">
        <v>92</v>
      </c>
      <c r="Z138" s="23" vm="1491">
        <f t="shared" si="15"/>
        <v>1</v>
      </c>
    </row>
    <row r="139" spans="20:26" hidden="1">
      <c r="T139" s="153" t="str" vm="156">
        <f t="shared" si="18"/>
        <v>Long-term health condition</v>
      </c>
      <c r="U139" s="153" t="str" vm="171">
        <f>CUBEMEMBER("cabcrmsqlrs1 CABReportingCubes Local Client Event",{"[Client Profile].[Disability or Health Problems].&amp;[Long-term health condition]","[Client Profile].[Type Of Disability or Condition].&amp;[Not recorded/not applicable]"})</f>
        <v>Not recorded/not applicable</v>
      </c>
      <c r="V139" s="176">
        <f t="shared" si="17"/>
        <v>0</v>
      </c>
      <c r="W139" s="29" t="str" vm="212">
        <f>CUBEMEMBER("cabcrmsqlrs1 CABReportingCubes Local Client Event","[Client Profile].[Age].&amp;[93]")</f>
        <v>93</v>
      </c>
      <c r="Y139" s="23">
        <v>93</v>
      </c>
      <c r="Z139" s="23">
        <f t="shared" si="15"/>
        <v>0</v>
      </c>
    </row>
    <row r="140" spans="20:26" hidden="1">
      <c r="T140" s="153" t="str" vm="156">
        <f t="shared" si="18"/>
        <v>Long-term health condition</v>
      </c>
      <c r="U140" s="153" t="str" vm="145">
        <f>CUBEMEMBER("cabcrmsqlrs1 CABReportingCubes Local Client Event",{"[Client Profile].[Disability or Health Problems].&amp;[Long-term health condition]","[Client Profile].[Type Of Disability or Condition].&amp;[Other Disability or Type Not Given]"})</f>
        <v>Other Disability or Type Not Given</v>
      </c>
      <c r="V140" s="176" vm="1457">
        <f t="shared" si="17"/>
        <v>63</v>
      </c>
      <c r="W140" s="29" t="str" vm="183">
        <f>CUBEMEMBER("cabcrmsqlrs1 CABReportingCubes Local Client Event","[Client Profile].[Age].&amp;[94]")</f>
        <v>94</v>
      </c>
      <c r="Y140" s="23">
        <v>94</v>
      </c>
      <c r="Z140" s="23">
        <f t="shared" si="15"/>
        <v>0</v>
      </c>
    </row>
    <row r="141" spans="20:26" hidden="1">
      <c r="T141" s="153" t="str" vm="156">
        <f t="shared" si="18"/>
        <v>Long-term health condition</v>
      </c>
      <c r="U141" s="153" t="str" vm="170">
        <f>CUBEMEMBER("cabcrmsqlrs1 CABReportingCubes Local Client Event",{"[Client Profile].[Disability or Health Problems].&amp;[Long-term health condition]","[Client Profile].[Type Of Disability or Condition].&amp;[Physical Impairment (non-sensory)]"})</f>
        <v>Physical Impairment (non-sensory)</v>
      </c>
      <c r="V141" s="176" vm="1416">
        <f t="shared" si="17"/>
        <v>207</v>
      </c>
      <c r="W141" s="29" t="str" vm="269">
        <f>CUBEMEMBER("cabcrmsqlrs1 CABReportingCubes Local Client Event","[Client Profile].[Age].&amp;[95]")</f>
        <v>95</v>
      </c>
      <c r="Y141" s="23">
        <v>95</v>
      </c>
      <c r="Z141" s="23" vm="1498">
        <f t="shared" si="15"/>
        <v>1</v>
      </c>
    </row>
    <row r="142" spans="20:26" hidden="1">
      <c r="T142" s="153" t="str" vm="156">
        <f t="shared" si="18"/>
        <v>Long-term health condition</v>
      </c>
      <c r="U142" s="153" t="str" vm="144">
        <f>CUBEMEMBER("cabcrmsqlrs1 CABReportingCubes Local Client Event",{"[Client Profile].[Disability or Health Problems].&amp;[Long-term health condition]","[Client Profile].[Type Of Disability or Condition].&amp;[Visual Impairment]"})</f>
        <v>Visual Impairment</v>
      </c>
      <c r="V142" s="176" vm="1399">
        <f t="shared" si="17"/>
        <v>9</v>
      </c>
      <c r="W142" s="29" t="str" vm="241">
        <f>CUBEMEMBER("cabcrmsqlrs1 CABReportingCubes Local Client Event","[Client Profile].[Age].&amp;[96]")</f>
        <v>96</v>
      </c>
      <c r="Y142" s="23">
        <v>96</v>
      </c>
      <c r="Z142" s="23" vm="1382">
        <f t="shared" si="15"/>
        <v>1</v>
      </c>
    </row>
    <row r="143" spans="20:26" hidden="1">
      <c r="T143" s="153" t="str" vm="155">
        <f t="shared" ref="T143:T152" si="19">CUBEMEMBER("cabcrmsqlrs1 CABReportingCubes Local Client Event","[Client Profile].[Disability or Health Problems].&amp;[Not disabled/no health problems]")</f>
        <v>Not disabled/no health problems</v>
      </c>
      <c r="U143" s="153" t="str" vm="169">
        <f>CUBEMEMBER("cabcrmsqlrs1 CABReportingCubes Local Client Event",{"[Client Profile].[Disability or Health Problems].&amp;[Not disabled/no health problems]","[Client Profile].[Type Of Disability or Condition].&amp;[Cognitive Impairment]"})</f>
        <v>Cognitive Impairment</v>
      </c>
      <c r="V143" s="176">
        <f t="shared" si="17"/>
        <v>0</v>
      </c>
      <c r="W143" s="29" t="str" vm="211">
        <f>CUBEMEMBER("cabcrmsqlrs1 CABReportingCubes Local Client Event","[Client Profile].[Age].&amp;[97]")</f>
        <v>97</v>
      </c>
      <c r="Y143" s="23">
        <v>97</v>
      </c>
      <c r="Z143" s="23" vm="1413">
        <f t="shared" si="15"/>
        <v>1</v>
      </c>
    </row>
    <row r="144" spans="20:26" hidden="1">
      <c r="T144" s="153" t="str" vm="155">
        <f t="shared" si="19"/>
        <v>Not disabled/no health problems</v>
      </c>
      <c r="U144" s="153" t="str" vm="143">
        <f>CUBEMEMBER("cabcrmsqlrs1 CABReportingCubes Local Client Event",{"[Client Profile].[Disability or Health Problems].&amp;[Not disabled/no health problems]","[Client Profile].[Type Of Disability or Condition].&amp;[Hearing Impairment]"})</f>
        <v>Hearing Impairment</v>
      </c>
      <c r="V144" s="176">
        <f t="shared" si="17"/>
        <v>0</v>
      </c>
      <c r="W144" s="29" t="str" vm="182">
        <f>CUBEMEMBER("cabcrmsqlrs1 CABReportingCubes Local Client Event","[Client Profile].[Age].&amp;[98]")</f>
        <v>98</v>
      </c>
      <c r="Y144" s="23">
        <v>98</v>
      </c>
      <c r="Z144" s="23">
        <f t="shared" si="15"/>
        <v>0</v>
      </c>
    </row>
    <row r="145" spans="20:26" hidden="1">
      <c r="T145" s="153" t="str" vm="155">
        <f t="shared" si="19"/>
        <v>Not disabled/no health problems</v>
      </c>
      <c r="U145" s="153" t="str" vm="168">
        <f>CUBEMEMBER("cabcrmsqlrs1 CABReportingCubes Local Client Event",{"[Client Profile].[Disability or Health Problems].&amp;[Not disabled/no health problems]","[Client Profile].[Type Of Disability or Condition].&amp;[Learning Difficulty]"})</f>
        <v>Learning Difficulty</v>
      </c>
      <c r="V145" s="176">
        <f t="shared" si="17"/>
        <v>0</v>
      </c>
      <c r="W145" s="29" t="str" vm="268">
        <f>CUBEMEMBER("cabcrmsqlrs1 CABReportingCubes Local Client Event","[Client Profile].[Age].&amp;[99]")</f>
        <v>99</v>
      </c>
      <c r="Y145" s="23">
        <v>99</v>
      </c>
      <c r="Z145" s="23">
        <f t="shared" si="15"/>
        <v>0</v>
      </c>
    </row>
    <row r="146" spans="20:26" hidden="1">
      <c r="T146" s="153" t="str" vm="155">
        <f t="shared" si="19"/>
        <v>Not disabled/no health problems</v>
      </c>
      <c r="U146" s="153" t="str" vm="142">
        <f>CUBEMEMBER("cabcrmsqlrs1 CABReportingCubes Local Client Event",{"[Client Profile].[Disability or Health Problems].&amp;[Not disabled/no health problems]","[Client Profile].[Type Of Disability or Condition].&amp;[Long-Term Health Condition]"})</f>
        <v>Long-Term Health Condition</v>
      </c>
      <c r="V146" s="176">
        <f t="shared" si="17"/>
        <v>0</v>
      </c>
      <c r="W146" s="29" t="str" vm="267">
        <f>CUBEMEMBER("cabcrmsqlrs1 CABReportingCubes Local Client Event","[Client Profile].[Age].&amp;[100]")</f>
        <v>100</v>
      </c>
      <c r="Y146" s="23">
        <v>100</v>
      </c>
      <c r="Z146" s="23">
        <f t="shared" si="15"/>
        <v>0</v>
      </c>
    </row>
    <row r="147" spans="20:26" hidden="1">
      <c r="T147" s="153" t="str" vm="155">
        <f t="shared" si="19"/>
        <v>Not disabled/no health problems</v>
      </c>
      <c r="U147" s="153" t="str" vm="167">
        <f>CUBEMEMBER("cabcrmsqlrs1 CABReportingCubes Local Client Event",{"[Client Profile].[Disability or Health Problems].&amp;[Not disabled/no health problems]","[Client Profile].[Type Of Disability or Condition].&amp;[Mental Health]"})</f>
        <v>Mental Health</v>
      </c>
      <c r="V147" s="176" vm="1460">
        <f t="shared" si="17"/>
        <v>1</v>
      </c>
      <c r="W147" s="29" t="str" vm="238">
        <f>CUBEMEMBER("cabcrmsqlrs1 CABReportingCubes Local Client Event","[Client Profile].[Age].&amp;[101]")</f>
        <v>101</v>
      </c>
      <c r="Y147" s="23">
        <v>101</v>
      </c>
      <c r="Z147" s="23">
        <f t="shared" si="15"/>
        <v>0</v>
      </c>
    </row>
    <row r="148" spans="20:26" hidden="1">
      <c r="T148" s="153" t="str" vm="155">
        <f t="shared" si="19"/>
        <v>Not disabled/no health problems</v>
      </c>
      <c r="U148" s="153" t="str" vm="141">
        <f>CUBEMEMBER("cabcrmsqlrs1 CABReportingCubes Local Client Event",{"[Client Profile].[Disability or Health Problems].&amp;[Not disabled/no health problems]","[Client Profile].[Type Of Disability or Condition].&amp;[Multiple Impairments]"})</f>
        <v>Multiple Impairments</v>
      </c>
      <c r="V148" s="176">
        <f t="shared" si="17"/>
        <v>0</v>
      </c>
      <c r="W148" s="29" t="str" vm="208">
        <f>CUBEMEMBER("cabcrmsqlrs1 CABReportingCubes Local Client Event","[Client Profile].[Age].&amp;[102]")</f>
        <v>102</v>
      </c>
      <c r="Y148" s="23">
        <v>102</v>
      </c>
      <c r="Z148" s="23">
        <f t="shared" si="15"/>
        <v>0</v>
      </c>
    </row>
    <row r="149" spans="20:26" hidden="1">
      <c r="T149" s="153" t="str" vm="155">
        <f t="shared" si="19"/>
        <v>Not disabled/no health problems</v>
      </c>
      <c r="U149" s="153" t="str" vm="166">
        <f>CUBEMEMBER("cabcrmsqlrs1 CABReportingCubes Local Client Event",{"[Client Profile].[Disability or Health Problems].&amp;[Not disabled/no health problems]","[Client Profile].[Type Of Disability or Condition].&amp;[Not recorded/not applicable]"})</f>
        <v>Not recorded/not applicable</v>
      </c>
      <c r="V149" s="176" vm="1446">
        <f t="shared" si="17"/>
        <v>1728</v>
      </c>
      <c r="W149" s="29" t="str" vm="295">
        <f>CUBEMEMBER("cabcrmsqlrs1 CABReportingCubes Local Client Event","[Client Profile].[Age].&amp;[103]")</f>
        <v>103</v>
      </c>
      <c r="Y149" s="23">
        <v>103</v>
      </c>
      <c r="Z149" s="23">
        <f t="shared" si="15"/>
        <v>0</v>
      </c>
    </row>
    <row r="150" spans="20:26" hidden="1">
      <c r="T150" s="153" t="str" vm="155">
        <f t="shared" si="19"/>
        <v>Not disabled/no health problems</v>
      </c>
      <c r="U150" s="153" t="str" vm="140">
        <f>CUBEMEMBER("cabcrmsqlrs1 CABReportingCubes Local Client Event",{"[Client Profile].[Disability or Health Problems].&amp;[Not disabled/no health problems]","[Client Profile].[Type Of Disability or Condition].&amp;[Other Disability or Type Not Given]"})</f>
        <v>Other Disability or Type Not Given</v>
      </c>
      <c r="V150" s="176">
        <f t="shared" si="17"/>
        <v>0</v>
      </c>
      <c r="W150" s="29" t="str" vm="266">
        <f>CUBEMEMBER("cabcrmsqlrs1 CABReportingCubes Local Client Event","[Client Profile].[Age].&amp;[104]")</f>
        <v>104</v>
      </c>
      <c r="Y150" s="23">
        <v>104</v>
      </c>
      <c r="Z150" s="23">
        <f t="shared" si="15"/>
        <v>0</v>
      </c>
    </row>
    <row r="151" spans="20:26" hidden="1">
      <c r="T151" s="153" t="str" vm="155">
        <f t="shared" si="19"/>
        <v>Not disabled/no health problems</v>
      </c>
      <c r="U151" s="153" t="str" vm="165">
        <f>CUBEMEMBER("cabcrmsqlrs1 CABReportingCubes Local Client Event",{"[Client Profile].[Disability or Health Problems].&amp;[Not disabled/no health problems]","[Client Profile].[Type Of Disability or Condition].&amp;[Physical Impairment (non-sensory)]"})</f>
        <v>Physical Impairment (non-sensory)</v>
      </c>
      <c r="V151" s="176">
        <f t="shared" si="17"/>
        <v>0</v>
      </c>
      <c r="W151" s="29" t="str" vm="237">
        <f>CUBEMEMBER("cabcrmsqlrs1 CABReportingCubes Local Client Event","[Client Profile].[Age].&amp;[105]")</f>
        <v>105</v>
      </c>
      <c r="Y151" s="23">
        <v>105</v>
      </c>
      <c r="Z151" s="23">
        <f t="shared" si="15"/>
        <v>0</v>
      </c>
    </row>
    <row r="152" spans="20:26" hidden="1">
      <c r="T152" s="153" t="str" vm="155">
        <f t="shared" si="19"/>
        <v>Not disabled/no health problems</v>
      </c>
      <c r="U152" s="153" t="str" vm="139">
        <f>CUBEMEMBER("cabcrmsqlrs1 CABReportingCubes Local Client Event",{"[Client Profile].[Disability or Health Problems].&amp;[Not disabled/no health problems]","[Client Profile].[Type Of Disability or Condition].&amp;[Visual Impairment]"})</f>
        <v>Visual Impairment</v>
      </c>
      <c r="V152" s="176">
        <f t="shared" si="17"/>
        <v>0</v>
      </c>
      <c r="W152" s="29" t="str" vm="207">
        <f>CUBEMEMBER("cabcrmsqlrs1 CABReportingCubes Local Client Event","[Client Profile].[Age].&amp;[106]")</f>
        <v>106</v>
      </c>
      <c r="Y152" s="23">
        <v>106</v>
      </c>
      <c r="Z152" s="23">
        <f t="shared" si="15"/>
        <v>0</v>
      </c>
    </row>
    <row r="153" spans="20:26" hidden="1">
      <c r="T153" s="153" t="str" vm="180">
        <f>CUBEMEMBER("cabcrmsqlrs1 CABReportingCubes Local Client Event","[Client Profile].[Disability or Health Problems].&amp;[Not recorded/not applicable]")</f>
        <v>Not recorded/not applicable</v>
      </c>
      <c r="U153" s="153" t="str" vm="164">
        <f>CUBEMEMBER("cabcrmsqlrs1 CABReportingCubes Local Client Event",{"[Client Profile].[Disability or Health Problems].&amp;[Not recorded/not applicable]","[Client Profile].[Type Of Disability or Condition].&amp;[Not recorded/not applicable]"})</f>
        <v>Not recorded/not applicable</v>
      </c>
      <c r="V153" s="176" vm="1455">
        <f t="shared" si="17"/>
        <v>1</v>
      </c>
      <c r="W153" s="29" t="str" vm="294">
        <f>CUBEMEMBER("cabcrmsqlrs1 CABReportingCubes Local Client Event","[Client Profile].[Age].&amp;[107]")</f>
        <v>107</v>
      </c>
      <c r="Y153" s="23">
        <v>107</v>
      </c>
      <c r="Z153" s="23">
        <f t="shared" si="15"/>
        <v>0</v>
      </c>
    </row>
    <row r="154" spans="20:26" hidden="1">
      <c r="T154" s="153" t="str" vm="154">
        <f t="shared" ref="T154:T164" si="20">CUBEMEMBER("cabcrmsqlrs1 CABReportingCubes Local Client Event","[Client Profile].[Disability or Health Problems].&amp;[Unknown/withheld]")</f>
        <v>Unknown/withheld</v>
      </c>
      <c r="U154" s="153" t="str" vm="138">
        <f>CUBEMEMBER("cabcrmsqlrs1 CABReportingCubes Local Client Event",{"[Client Profile].[Disability or Health Problems].&amp;[Unknown/withheld]","[Client Profile].[Type Of Disability or Condition].&amp;[Cognitive Impairment]"})</f>
        <v>Cognitive Impairment</v>
      </c>
      <c r="V154" s="176">
        <f t="shared" si="17"/>
        <v>0</v>
      </c>
      <c r="W154" s="29" t="str" vm="265">
        <f>CUBEMEMBER("cabcrmsqlrs1 CABReportingCubes Local Client Event","[Client Profile].[Age].&amp;[109]")</f>
        <v>109</v>
      </c>
      <c r="Y154" s="23">
        <v>109</v>
      </c>
      <c r="Z154" s="23">
        <f t="shared" si="15"/>
        <v>0</v>
      </c>
    </row>
    <row r="155" spans="20:26" hidden="1">
      <c r="T155" s="153" t="str" vm="154">
        <f t="shared" si="20"/>
        <v>Unknown/withheld</v>
      </c>
      <c r="U155" s="153" t="str" vm="163">
        <f>CUBEMEMBER("cabcrmsqlrs1 CABReportingCubes Local Client Event",{"[Client Profile].[Disability or Health Problems].&amp;[Unknown/withheld]","[Client Profile].[Type Of Disability or Condition].&amp;[Deaf]"})</f>
        <v>Deaf</v>
      </c>
      <c r="V155" s="176">
        <f t="shared" si="17"/>
        <v>0</v>
      </c>
      <c r="W155" s="199">
        <v>110</v>
      </c>
      <c r="Y155" s="23">
        <v>110</v>
      </c>
      <c r="Z155" s="23">
        <v>0</v>
      </c>
    </row>
    <row r="156" spans="20:26" hidden="1">
      <c r="T156" s="153" t="str" vm="154">
        <f t="shared" si="20"/>
        <v>Unknown/withheld</v>
      </c>
      <c r="U156" s="153" t="str" vm="137">
        <f>CUBEMEMBER("cabcrmsqlrs1 CABReportingCubes Local Client Event",{"[Client Profile].[Disability or Health Problems].&amp;[Unknown/withheld]","[Client Profile].[Type Of Disability or Condition].&amp;[Hearing Impairment]"})</f>
        <v>Hearing Impairment</v>
      </c>
      <c r="V156" s="176">
        <f t="shared" si="17"/>
        <v>0</v>
      </c>
      <c r="W156" s="29" t="str" vm="293">
        <f>CUBEMEMBER("cabcrmsqlrs1 CABReportingCubes Local Client Event","[Client Profile].[Age].&amp;[111]")</f>
        <v>111</v>
      </c>
      <c r="Y156" s="23">
        <v>111</v>
      </c>
      <c r="Z156" s="23">
        <f t="shared" si="15"/>
        <v>0</v>
      </c>
    </row>
    <row r="157" spans="20:26" hidden="1">
      <c r="T157" s="153" t="str" vm="154">
        <f t="shared" si="20"/>
        <v>Unknown/withheld</v>
      </c>
      <c r="U157" s="153" t="str" vm="162">
        <f>CUBEMEMBER("cabcrmsqlrs1 CABReportingCubes Local Client Event",{"[Client Profile].[Disability or Health Problems].&amp;[Unknown/withheld]","[Client Profile].[Type Of Disability or Condition].&amp;[Learning Difficulty]"})</f>
        <v>Learning Difficulty</v>
      </c>
      <c r="V157" s="176">
        <f t="shared" si="17"/>
        <v>0</v>
      </c>
      <c r="W157" s="29" t="str" vm="264">
        <f>CUBEMEMBER("cabcrmsqlrs1 CABReportingCubes Local Client Event","[Client Profile].[Age].&amp;[112]")</f>
        <v>112</v>
      </c>
      <c r="Y157" s="23">
        <v>112</v>
      </c>
      <c r="Z157" s="23">
        <f t="shared" si="15"/>
        <v>0</v>
      </c>
    </row>
    <row r="158" spans="20:26" hidden="1">
      <c r="T158" s="153" t="str" vm="154">
        <f t="shared" si="20"/>
        <v>Unknown/withheld</v>
      </c>
      <c r="U158" s="153" t="str" vm="136">
        <f>CUBEMEMBER("cabcrmsqlrs1 CABReportingCubes Local Client Event",{"[Client Profile].[Disability or Health Problems].&amp;[Unknown/withheld]","[Client Profile].[Type Of Disability or Condition].&amp;[Long-Term Health Condition]"})</f>
        <v>Long-Term Health Condition</v>
      </c>
      <c r="V158" s="176">
        <f t="shared" si="17"/>
        <v>0</v>
      </c>
      <c r="W158" s="29" t="str" vm="235">
        <f>CUBEMEMBER("cabcrmsqlrs1 CABReportingCubes Local Client Event","[Client Profile].[Age].&amp;[113]")</f>
        <v>113</v>
      </c>
      <c r="Y158" s="23">
        <v>113</v>
      </c>
      <c r="Z158" s="23">
        <f t="shared" si="15"/>
        <v>0</v>
      </c>
    </row>
    <row r="159" spans="20:26" hidden="1">
      <c r="T159" s="153" t="str" vm="154">
        <f t="shared" si="20"/>
        <v>Unknown/withheld</v>
      </c>
      <c r="U159" s="153" t="str" vm="161">
        <f>CUBEMEMBER("cabcrmsqlrs1 CABReportingCubes Local Client Event",{"[Client Profile].[Disability or Health Problems].&amp;[Unknown/withheld]","[Client Profile].[Type Of Disability or Condition].&amp;[Mental Health]"})</f>
        <v>Mental Health</v>
      </c>
      <c r="V159" s="176">
        <f t="shared" si="17"/>
        <v>0</v>
      </c>
      <c r="W159" s="29" t="str" vm="206">
        <f>CUBEMEMBER("cabcrmsqlrs1 CABReportingCubes Local Client Event","[Client Profile].[Age].&amp;[114]")</f>
        <v>114</v>
      </c>
      <c r="Y159" s="23">
        <v>114</v>
      </c>
      <c r="Z159" s="23">
        <f t="shared" si="15"/>
        <v>0</v>
      </c>
    </row>
    <row r="160" spans="20:26" hidden="1">
      <c r="T160" s="153" t="str" vm="154">
        <f t="shared" si="20"/>
        <v>Unknown/withheld</v>
      </c>
      <c r="U160" s="153" t="str" vm="135">
        <f>CUBEMEMBER("cabcrmsqlrs1 CABReportingCubes Local Client Event",{"[Client Profile].[Disability or Health Problems].&amp;[Unknown/withheld]","[Client Profile].[Type Of Disability or Condition].&amp;[Multiple Impairments]"})</f>
        <v>Multiple Impairments</v>
      </c>
      <c r="V160" s="176">
        <f t="shared" si="17"/>
        <v>0</v>
      </c>
      <c r="W160" s="29" t="str" vm="210">
        <f>CUBEMEMBER("cabcrmsqlrs1 CABReportingCubes Local Client Event","[Client Profile].[Age].[All]","Grand Total")</f>
        <v>Grand Total</v>
      </c>
      <c r="Y160" s="23" t="s">
        <v>34</v>
      </c>
      <c r="Z160" s="23" vm="1511">
        <f t="shared" si="15"/>
        <v>4108</v>
      </c>
    </row>
    <row r="161" spans="20:26" hidden="1">
      <c r="T161" s="153" t="str" vm="154">
        <f t="shared" si="20"/>
        <v>Unknown/withheld</v>
      </c>
      <c r="U161" s="153" t="str" vm="160">
        <f>CUBEMEMBER("cabcrmsqlrs1 CABReportingCubes Local Client Event",{"[Client Profile].[Disability or Health Problems].&amp;[Unknown/withheld]","[Client Profile].[Type Of Disability or Condition].&amp;[Not recorded/not applicable]"})</f>
        <v>Not recorded/not applicable</v>
      </c>
      <c r="V161" s="176" vm="1448">
        <f t="shared" si="17"/>
        <v>674</v>
      </c>
      <c r="W161" s="29" t="str" vm="240">
        <f>CUBEMEMBER("cabcrmsqlrs1 CABReportingCubes Local Client Event","[Client Profile].[Age].&amp;[Not recorded/not applicable]")</f>
        <v>Not recorded/not applicable</v>
      </c>
      <c r="Y161" s="23" t="s">
        <v>14</v>
      </c>
      <c r="Z161" s="23" vm="1397">
        <f t="shared" si="15"/>
        <v>84</v>
      </c>
    </row>
    <row r="162" spans="20:26" hidden="1">
      <c r="T162" s="153" t="str" vm="154">
        <f t="shared" si="20"/>
        <v>Unknown/withheld</v>
      </c>
      <c r="U162" s="153" t="str" vm="134">
        <f>CUBEMEMBER("cabcrmsqlrs1 CABReportingCubes Local Client Event",{"[Client Profile].[Disability or Health Problems].&amp;[Unknown/withheld]","[Client Profile].[Type Of Disability or Condition].&amp;[Other Disability or Type Not Given]"})</f>
        <v>Other Disability or Type Not Given</v>
      </c>
      <c r="V162" s="176">
        <f t="shared" si="17"/>
        <v>0</v>
      </c>
    </row>
    <row r="163" spans="20:26" hidden="1">
      <c r="T163" s="153" t="str" vm="154">
        <f t="shared" si="20"/>
        <v>Unknown/withheld</v>
      </c>
      <c r="U163" s="153" t="str" vm="159">
        <f>CUBEMEMBER("cabcrmsqlrs1 CABReportingCubes Local Client Event",{"[Client Profile].[Disability or Health Problems].&amp;[Unknown/withheld]","[Client Profile].[Type Of Disability or Condition].&amp;[Physical Impairment (non-sensory)]"})</f>
        <v>Physical Impairment (non-sensory)</v>
      </c>
      <c r="V163" s="176">
        <f t="shared" si="17"/>
        <v>0</v>
      </c>
    </row>
    <row r="164" spans="20:26" hidden="1">
      <c r="T164" s="153" t="str" vm="154">
        <f t="shared" si="20"/>
        <v>Unknown/withheld</v>
      </c>
      <c r="U164" s="153" t="str" vm="133">
        <f>CUBEMEMBER("cabcrmsqlrs1 CABReportingCubes Local Client Event",{"[Client Profile].[Disability or Health Problems].&amp;[Unknown/withheld]","[Client Profile].[Type Of Disability or Condition].&amp;[Visual Impairment]"})</f>
        <v>Visual Impairment</v>
      </c>
      <c r="V164" s="176">
        <f t="shared" si="17"/>
        <v>0</v>
      </c>
    </row>
  </sheetData>
  <pageMargins left="0.70866141732283472" right="0.70866141732283472" top="0.74803149606299213" bottom="0.74803149606299213" header="0.31496062992125984" footer="0.31496062992125984"/>
  <pageSetup paperSize="9" scale="28" orientation="landscape" r:id="rId3"/>
  <headerFooter>
    <oddHeader>&amp;RPage &amp;P&amp;C&amp;A</oddHeader>
    <oddFooter>&amp;CPage &amp;P of &amp;N</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E30"/>
  <sheetViews>
    <sheetView showGridLines="0" showRowColHeaders="0" workbookViewId="0">
      <pane ySplit="9" topLeftCell="A10" activePane="bottomLeft" state="frozen"/>
      <selection pane="bottomLeft" activeCell="C25" sqref="C25"/>
    </sheetView>
  </sheetViews>
  <sheetFormatPr defaultColWidth="0" defaultRowHeight="15" zeroHeight="1"/>
  <cols>
    <col min="1" max="1" width="3.54296875" style="23" customWidth="1"/>
    <col min="2" max="2" width="50.36328125" style="23" customWidth="1"/>
    <col min="3" max="3" width="11.453125" style="23" customWidth="1"/>
    <col min="4" max="4" width="14.453125" style="23" customWidth="1"/>
    <col min="5" max="8" width="8.90625" style="23" customWidth="1"/>
    <col min="9" max="9" width="15.1796875" style="23" customWidth="1"/>
    <col min="10" max="28" width="8.90625" style="23" hidden="1" customWidth="1"/>
    <col min="29" max="29" width="12.81640625" style="23" hidden="1" customWidth="1"/>
    <col min="30" max="30" width="18.36328125" style="23" hidden="1" customWidth="1"/>
    <col min="31" max="31" width="0" style="23" hidden="1" customWidth="1"/>
    <col min="32" max="16384" width="8.90625" style="23" hidden="1"/>
  </cols>
  <sheetData>
    <row r="1" spans="2:8" ht="7.5" customHeight="1"/>
    <row r="2" spans="2:8" ht="10.5" hidden="1" customHeight="1">
      <c r="B2" s="201"/>
      <c r="C2" s="201"/>
      <c r="D2" s="202"/>
      <c r="E2" s="201"/>
      <c r="F2" s="201"/>
      <c r="G2" s="201"/>
      <c r="H2" s="201"/>
    </row>
    <row r="3" spans="2:8">
      <c r="B3" s="201"/>
      <c r="C3" s="201"/>
      <c r="D3" s="202"/>
      <c r="E3" s="201"/>
      <c r="F3" s="201"/>
      <c r="G3" s="201"/>
      <c r="H3" s="201"/>
    </row>
    <row r="4" spans="2:8">
      <c r="B4" s="201"/>
      <c r="C4" s="201"/>
      <c r="D4" s="202"/>
      <c r="E4" s="201"/>
      <c r="F4" s="201"/>
      <c r="G4" s="201"/>
      <c r="H4" s="201"/>
    </row>
    <row r="5" spans="2:8">
      <c r="B5" s="201"/>
      <c r="C5" s="201"/>
      <c r="D5" s="202"/>
      <c r="E5" s="201"/>
      <c r="F5" s="201"/>
      <c r="G5" s="201"/>
      <c r="H5" s="201"/>
    </row>
    <row r="6" spans="2:8">
      <c r="B6" s="201"/>
      <c r="C6" s="201"/>
      <c r="D6" s="202"/>
      <c r="E6" s="201"/>
      <c r="F6" s="201"/>
      <c r="G6" s="201"/>
      <c r="H6" s="201"/>
    </row>
    <row r="7" spans="2:8">
      <c r="B7" s="201"/>
      <c r="C7" s="201"/>
      <c r="D7" s="202"/>
      <c r="E7" s="201"/>
      <c r="F7" s="201"/>
      <c r="G7" s="201"/>
      <c r="H7" s="201"/>
    </row>
    <row r="8" spans="2:8">
      <c r="B8" s="201"/>
      <c r="C8" s="201"/>
      <c r="D8" s="202"/>
      <c r="E8" s="201"/>
      <c r="F8" s="201"/>
      <c r="G8" s="201"/>
      <c r="H8" s="201"/>
    </row>
    <row r="9" spans="2:8">
      <c r="B9" s="201"/>
      <c r="C9" s="201"/>
      <c r="D9" s="202"/>
      <c r="E9" s="201"/>
      <c r="F9" s="201"/>
      <c r="G9" s="201"/>
      <c r="H9" s="201"/>
    </row>
    <row r="10" spans="2:8">
      <c r="B10" s="201"/>
      <c r="C10" s="201"/>
      <c r="D10" s="202"/>
      <c r="E10" s="201"/>
      <c r="F10" s="201"/>
      <c r="G10" s="201"/>
      <c r="H10" s="201"/>
    </row>
    <row r="11" spans="2:8" hidden="1"/>
    <row r="12" spans="2:8"/>
    <row r="13" spans="2:8" ht="24" customHeight="1">
      <c r="B13" s="112" t="s">
        <v>438</v>
      </c>
      <c r="C13" s="203" t="s">
        <v>99</v>
      </c>
      <c r="D13" s="203" t="s">
        <v>45</v>
      </c>
    </row>
    <row r="14" spans="2:8">
      <c r="B14" s="20" t="s">
        <v>436</v>
      </c>
      <c r="C14" s="21" vm="971">
        <f>IF(Client_Profile!AU11="",0,Client_Profile!AU11)</f>
        <v>3698</v>
      </c>
      <c r="D14" s="22">
        <f>IF(ISERROR(C14/SUM($C$14:$C$17)),0,(C14/SUM($C$14:$C$17)))</f>
        <v>0.6535878402262284</v>
      </c>
    </row>
    <row r="15" spans="2:8">
      <c r="B15" s="20" t="s">
        <v>472</v>
      </c>
      <c r="C15" s="21">
        <f>C18-C16-C14</f>
        <v>410</v>
      </c>
      <c r="D15" s="22">
        <f>IF(ISERROR(C15/SUM($C$14:$C$17)),0,C15/SUM($C$14:$C$17))</f>
        <v>7.2463768115942032E-2</v>
      </c>
    </row>
    <row r="16" spans="2:8">
      <c r="B16" s="20" t="s">
        <v>457</v>
      </c>
      <c r="C16" s="21" vm="976">
        <f>IF(Client_Profile!BB11="",0,Client_Profile!BB11)</f>
        <v>1550</v>
      </c>
      <c r="D16" s="22">
        <f>IF(ISERROR(C16/SUM($C$14:$C$17)),0,C16/SUM($C$14:$C$17))</f>
        <v>0.27394839165782964</v>
      </c>
    </row>
    <row r="17" spans="2:4" ht="6.75" hidden="1" customHeight="1"/>
    <row r="18" spans="2:4" ht="15.6">
      <c r="B18" s="206" t="s">
        <v>437</v>
      </c>
      <c r="C18" s="207">
        <f>Client_Profile!AR22+C16</f>
        <v>5658</v>
      </c>
      <c r="D18" s="208">
        <f>SUM(D14:D16)</f>
        <v>1</v>
      </c>
    </row>
    <row r="19" spans="2:4"/>
    <row r="20" spans="2:4"/>
    <row r="21" spans="2:4" ht="9.75" customHeight="1"/>
    <row r="22" spans="2:4" ht="7.5" customHeight="1"/>
    <row r="23" spans="2:4" ht="15.6">
      <c r="B23" s="204" t="s">
        <v>442</v>
      </c>
      <c r="C23" s="284" t="s">
        <v>99</v>
      </c>
      <c r="D23" s="205" t="s">
        <v>110</v>
      </c>
    </row>
    <row r="24" spans="2:4">
      <c r="B24" s="20" t="s">
        <v>445</v>
      </c>
      <c r="C24" s="21" vm="964">
        <f>IF('AIC1'!AE12="",0,'AIC1'!AE12)</f>
        <v>3746</v>
      </c>
      <c r="D24" s="21" vm="968">
        <f>IF('AIC1'!AD12="",0,'AIC1'!AD12)</f>
        <v>12818</v>
      </c>
    </row>
    <row r="25" spans="2:4">
      <c r="B25" s="20" t="s">
        <v>439</v>
      </c>
      <c r="C25" s="21" vm="976">
        <f>C16</f>
        <v>1550</v>
      </c>
      <c r="D25" s="21" vm="970">
        <f>IF('AIC1'!AA16="",0,'AIC1'!AA16)</f>
        <v>1553</v>
      </c>
    </row>
    <row r="26" spans="2:4" ht="15.6">
      <c r="B26" s="206" t="s">
        <v>440</v>
      </c>
      <c r="C26" s="207">
        <f>C24+C25</f>
        <v>5296</v>
      </c>
      <c r="D26" s="207">
        <f>D25+D24</f>
        <v>14371</v>
      </c>
    </row>
    <row r="27" spans="2:4"/>
    <row r="28" spans="2:4"/>
    <row r="29" spans="2:4"/>
    <row r="30" spans="2:4"/>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Y243"/>
  <sheetViews>
    <sheetView showGridLines="0" showRowColHeaders="0" topLeftCell="A3" zoomScale="90" zoomScaleNormal="90" workbookViewId="0">
      <pane ySplit="10" topLeftCell="A13" activePane="bottomLeft" state="frozen"/>
      <selection activeCell="B3" sqref="B3"/>
      <selection pane="bottomLeft" activeCell="A3" sqref="A3"/>
    </sheetView>
  </sheetViews>
  <sheetFormatPr defaultColWidth="0" defaultRowHeight="15"/>
  <cols>
    <col min="1" max="1" width="1.54296875" style="23" customWidth="1"/>
    <col min="2" max="3" width="36.6328125" style="23" customWidth="1"/>
    <col min="4" max="4" width="6.54296875" style="23" bestFit="1" customWidth="1"/>
    <col min="5" max="5" width="6.1796875" style="23" customWidth="1"/>
    <col min="6" max="6" width="23.1796875" style="23" customWidth="1"/>
    <col min="7" max="7" width="17.54296875" style="23" customWidth="1"/>
    <col min="8" max="8" width="18.54296875" style="23" customWidth="1"/>
    <col min="9" max="9" width="4.54296875" style="23" customWidth="1"/>
    <col min="10" max="10" width="5.08984375" style="23" customWidth="1"/>
    <col min="11" max="11" width="14.453125" style="23" customWidth="1"/>
    <col min="12" max="12" width="8.90625" style="23" hidden="1" customWidth="1"/>
    <col min="13" max="13" width="14.453125" style="23" hidden="1" customWidth="1"/>
    <col min="14" max="14" width="25.81640625" style="23" hidden="1" customWidth="1"/>
    <col min="15" max="15" width="22.81640625" style="23" hidden="1" customWidth="1"/>
    <col min="16" max="51" width="14.453125" style="23" hidden="1" customWidth="1"/>
    <col min="52" max="16384" width="36.6328125" style="23" hidden="1"/>
  </cols>
  <sheetData>
    <row r="1" spans="1:23" hidden="1">
      <c r="D1" s="145"/>
      <c r="E1" s="145"/>
    </row>
    <row r="2" spans="1:23" hidden="1">
      <c r="D2" s="145"/>
      <c r="E2" s="145"/>
    </row>
    <row r="3" spans="1:23">
      <c r="A3" s="223"/>
      <c r="D3" s="145"/>
      <c r="E3" s="145"/>
      <c r="O3" s="71"/>
      <c r="P3" s="71"/>
      <c r="Q3" s="71"/>
      <c r="R3" s="71"/>
    </row>
    <row r="4" spans="1:23" ht="9" customHeight="1">
      <c r="B4" s="133"/>
      <c r="C4" s="133"/>
      <c r="D4" s="167"/>
      <c r="E4" s="167"/>
      <c r="F4" s="133"/>
      <c r="G4" s="133"/>
      <c r="H4" s="167"/>
      <c r="I4" s="167"/>
      <c r="J4" s="133"/>
      <c r="P4" s="71"/>
      <c r="Q4" s="71"/>
      <c r="R4" s="71"/>
    </row>
    <row r="5" spans="1:23">
      <c r="B5" s="133"/>
      <c r="C5" s="133"/>
      <c r="D5" s="167"/>
      <c r="E5" s="167"/>
      <c r="F5" s="133"/>
      <c r="G5" s="133"/>
      <c r="H5" s="167"/>
      <c r="I5" s="167"/>
      <c r="J5" s="133"/>
      <c r="P5" s="71"/>
      <c r="Q5" s="71"/>
      <c r="R5" s="71"/>
    </row>
    <row r="6" spans="1:23">
      <c r="B6" s="133"/>
      <c r="C6" s="133"/>
      <c r="D6" s="167"/>
      <c r="E6" s="167"/>
      <c r="F6" s="133"/>
      <c r="G6" s="133"/>
      <c r="H6" s="167"/>
      <c r="I6" s="167"/>
      <c r="J6" s="133"/>
      <c r="P6" s="71"/>
    </row>
    <row r="7" spans="1:23">
      <c r="B7" s="133"/>
      <c r="C7" s="133"/>
      <c r="D7" s="167"/>
      <c r="E7" s="167"/>
      <c r="F7" s="133"/>
      <c r="G7" s="133"/>
      <c r="H7" s="167"/>
      <c r="I7" s="167"/>
      <c r="J7" s="133"/>
      <c r="P7" s="71"/>
    </row>
    <row r="8" spans="1:23" hidden="1">
      <c r="B8" s="133"/>
      <c r="C8" s="133"/>
      <c r="D8" s="167"/>
      <c r="E8" s="167"/>
      <c r="F8" s="133"/>
      <c r="G8" s="133"/>
      <c r="H8" s="167"/>
      <c r="I8" s="167"/>
      <c r="J8" s="133"/>
      <c r="P8" s="71"/>
    </row>
    <row r="9" spans="1:23" hidden="1">
      <c r="B9" s="133"/>
      <c r="C9" s="133"/>
      <c r="D9" s="167"/>
      <c r="E9" s="167"/>
      <c r="F9" s="133"/>
      <c r="G9" s="133"/>
      <c r="H9" s="167"/>
      <c r="I9" s="167"/>
      <c r="J9" s="133"/>
      <c r="P9" s="71"/>
    </row>
    <row r="10" spans="1:23" hidden="1">
      <c r="B10" s="133"/>
      <c r="C10" s="133"/>
      <c r="D10" s="167"/>
      <c r="E10" s="167"/>
      <c r="F10" s="133"/>
      <c r="G10" s="133"/>
      <c r="H10" s="167"/>
      <c r="I10" s="167"/>
      <c r="J10" s="133"/>
      <c r="P10" s="71"/>
    </row>
    <row r="11" spans="1:23" ht="9.75" hidden="1" customHeight="1">
      <c r="B11" s="133"/>
      <c r="C11" s="133"/>
      <c r="D11" s="167"/>
      <c r="E11" s="167"/>
      <c r="F11" s="133"/>
      <c r="G11" s="133"/>
      <c r="H11" s="167"/>
      <c r="I11" s="167"/>
      <c r="J11" s="133"/>
      <c r="P11" s="71"/>
    </row>
    <row r="12" spans="1:23" hidden="1">
      <c r="B12" s="133"/>
      <c r="C12" s="133"/>
      <c r="D12" s="167"/>
      <c r="E12" s="167"/>
      <c r="F12" s="133"/>
      <c r="G12" s="133"/>
      <c r="H12" s="167"/>
      <c r="I12" s="167"/>
      <c r="J12" s="133"/>
      <c r="P12" s="71"/>
    </row>
    <row r="13" spans="1:23" ht="6.75" customHeight="1">
      <c r="U13" s="29"/>
      <c r="V13" s="151"/>
      <c r="W13" s="151"/>
    </row>
    <row r="14" spans="1:23" ht="35.4">
      <c r="B14" s="185" t="s">
        <v>107</v>
      </c>
      <c r="U14" s="30"/>
      <c r="V14" s="151"/>
      <c r="W14" s="151"/>
    </row>
    <row r="15" spans="1:23" hidden="1">
      <c r="U15" s="30"/>
      <c r="V15" s="151"/>
      <c r="W15" s="151"/>
    </row>
    <row r="16" spans="1:23" hidden="1">
      <c r="U16" s="30"/>
      <c r="V16" s="151"/>
      <c r="W16" s="151"/>
    </row>
    <row r="17" spans="2:23" hidden="1">
      <c r="U17" s="30"/>
      <c r="V17" s="151"/>
      <c r="W17" s="151"/>
    </row>
    <row r="18" spans="2:23" hidden="1">
      <c r="U18" s="30"/>
      <c r="V18" s="151"/>
      <c r="W18" s="151"/>
    </row>
    <row r="19" spans="2:23" hidden="1">
      <c r="B19" s="249" t="s">
        <v>0</v>
      </c>
      <c r="C19" s="250" t="s" vm="297">
        <v>108</v>
      </c>
      <c r="N19" s="23" t="s">
        <v>0</v>
      </c>
      <c r="O19" s="23" t="str" vm="298">
        <f>CUBEMEMBER("cabcrmsqlrs1 CABReportingCubes Local Advice Event","[Advice Event Type].[Advice Event Type].&amp;[BEF AIC Creation]")</f>
        <v>BEF AIC Creation</v>
      </c>
      <c r="U19" s="30"/>
      <c r="V19" s="151"/>
      <c r="W19" s="151"/>
    </row>
    <row r="20" spans="2:23" hidden="1">
      <c r="B20" s="249" t="s">
        <v>143</v>
      </c>
      <c r="C20" s="250" t="s" vm="959">
        <v>516</v>
      </c>
      <c r="N20" s="23" t="s">
        <v>4</v>
      </c>
      <c r="O20" s="23" t="str" vm="959">
        <f>'Enter Parameters'!D17</f>
        <v>York (member)</v>
      </c>
      <c r="U20" s="30"/>
      <c r="V20" s="151"/>
      <c r="W20" s="151"/>
    </row>
    <row r="21" spans="2:23" hidden="1">
      <c r="B21" s="249" t="s">
        <v>3</v>
      </c>
      <c r="C21" s="250" t="s" vm="949">
        <v>405</v>
      </c>
      <c r="N21" s="23" t="s">
        <v>3</v>
      </c>
      <c r="O21" s="23" t="str" vm="949">
        <f>'Enter Parameters'!D18</f>
        <v>2016-17</v>
      </c>
      <c r="U21" s="30"/>
      <c r="V21" s="151"/>
      <c r="W21" s="151"/>
    </row>
    <row r="22" spans="2:23" hidden="1">
      <c r="B22" s="249" t="s">
        <v>21</v>
      </c>
      <c r="C22" s="250" t="s" vm="941">
        <v>1</v>
      </c>
      <c r="N22" s="23" t="s">
        <v>21</v>
      </c>
      <c r="O22" s="23" t="str" vm="941">
        <f>'Enter Parameters'!D19</f>
        <v>All</v>
      </c>
      <c r="U22" s="30"/>
      <c r="V22" s="151"/>
      <c r="W22" s="151"/>
    </row>
    <row r="23" spans="2:23" ht="6" customHeight="1">
      <c r="U23" s="30"/>
      <c r="V23" s="151"/>
      <c r="W23" s="151"/>
    </row>
    <row r="24" spans="2:23" ht="15.6">
      <c r="B24" s="258" t="s">
        <v>16</v>
      </c>
      <c r="C24" s="258" t="s">
        <v>17</v>
      </c>
      <c r="D24" s="262" t="s">
        <v>107</v>
      </c>
      <c r="F24" s="204" t="s">
        <v>213</v>
      </c>
      <c r="G24" s="152" vm="1055">
        <f>O41</f>
        <v>313</v>
      </c>
      <c r="N24" s="23" t="s">
        <v>46</v>
      </c>
      <c r="O24" s="23" t="str" vm="15">
        <f>CUBEMEMBER("cabcrmsqlrs1 CABReportingCubes Local Advice Event","[Measures].[Number of Advice Events]")</f>
        <v>Number of Advice Events</v>
      </c>
      <c r="U24" s="30"/>
      <c r="V24" s="151"/>
      <c r="W24" s="151"/>
    </row>
    <row r="25" spans="2:23" ht="15.6">
      <c r="B25" s="250" t="s">
        <v>7</v>
      </c>
      <c r="C25" s="250" t="s">
        <v>517</v>
      </c>
      <c r="D25" s="251">
        <v>4</v>
      </c>
      <c r="F25" s="204" t="s">
        <v>215</v>
      </c>
      <c r="G25" s="209">
        <f>Contacts!C22</f>
        <v>16048</v>
      </c>
      <c r="L25" s="130">
        <f>RANK($O25,$O$18:$O$40,0)</f>
        <v>1</v>
      </c>
      <c r="M25" s="130">
        <f>IF(ISNA(IF(VLOOKUP($L25,$L$24:$L25,1,FALSE)=L25,L25+P25,0)),L25,(IF(VLOOKUP($L25,$L$24:$L25,1,FALSE)=L25,L25+P25,0)))</f>
        <v>1</v>
      </c>
      <c r="N25" s="29" t="str" vm="20">
        <f>CUBEMEMBER("cabcrmsqlrs1 CABReportingCubes Local Advice Event","[AIC Outcome].[AIC Part1].&amp;[Benefits &amp; tax credits]")</f>
        <v>Benefits &amp; tax credits</v>
      </c>
      <c r="O25" s="23" vm="1330">
        <f t="shared" ref="O25:O41" si="0">CUBEVALUE("cabcrmsqlrs1 CABReportingCubes Local Advice Event",$O$19,$O$20,$O$21,$O$22,$N25,O$24)</f>
        <v>164</v>
      </c>
      <c r="P25" s="23">
        <f>COUNTIF($L$25:$L$25,$L25)-1</f>
        <v>0</v>
      </c>
      <c r="R25" s="23">
        <v>1</v>
      </c>
      <c r="S25" s="23" t="str" vm="20">
        <f t="shared" ref="S25:S39" si="1">IF(ISERROR(VLOOKUP(R25,$M$25:$N$40,2,FALSE)),"",VLOOKUP(R25,$M$25:$N$40,2,FALSE))</f>
        <v>Benefits &amp; tax credits</v>
      </c>
      <c r="T25" s="23" vm="1330">
        <f t="shared" ref="T25:T38" si="2">IF(ISERROR(VLOOKUP(S25,$N$25:$O$40,2,FALSE)),0,VLOOKUP(S25,$N$25:$O$40,2,FALSE))</f>
        <v>164</v>
      </c>
      <c r="U25" s="30" t="str" vm="20">
        <f>IF(ISERROR(S25),"",S25)</f>
        <v>Benefits &amp; tax credits</v>
      </c>
      <c r="V25" s="151" vm="1330">
        <f>IF(ISERROR(T25),"",T25)</f>
        <v>164</v>
      </c>
      <c r="W25" s="151"/>
    </row>
    <row r="26" spans="2:23" ht="15.6">
      <c r="B26" s="250" t="s">
        <v>7</v>
      </c>
      <c r="C26" s="250" t="s">
        <v>518</v>
      </c>
      <c r="D26" s="251">
        <v>9</v>
      </c>
      <c r="F26" s="204" t="s">
        <v>214</v>
      </c>
      <c r="G26" s="210">
        <f>IF(ISERROR(G24/G25),0,G24/G25)</f>
        <v>1.9503988035892324E-2</v>
      </c>
      <c r="L26" s="130">
        <f t="shared" ref="L26:L40" si="3">RANK($O26,$O$18:$O$40,0)</f>
        <v>7</v>
      </c>
      <c r="M26" s="130">
        <f>IF(ISNA(IF(VLOOKUP($L26,$L$25:$L25,1,FALSE)=L26,L26+P26,0)),L26,(IF(VLOOKUP($L26,$L$25:$L25,1,FALSE)=L26,L26+P26,0)))</f>
        <v>7</v>
      </c>
      <c r="N26" s="29" t="str" vm="12">
        <f>CUBEMEMBER("cabcrmsqlrs1 CABReportingCubes Local Advice Event","[AIC Outcome].[AIC Part1].&amp;[Consumer goods &amp; services]")</f>
        <v>Consumer goods &amp; services</v>
      </c>
      <c r="O26" s="23" vm="1013">
        <f t="shared" si="0"/>
        <v>8</v>
      </c>
      <c r="P26" s="23">
        <f>COUNTIF($L$25:$L26,$L26)-1</f>
        <v>0</v>
      </c>
      <c r="R26" s="23">
        <v>2</v>
      </c>
      <c r="S26" s="23" t="str" vm="13">
        <f t="shared" si="1"/>
        <v>Employment</v>
      </c>
      <c r="T26" s="23" vm="982">
        <f t="shared" si="2"/>
        <v>34</v>
      </c>
      <c r="U26" s="30" t="str" vm="13">
        <f t="shared" ref="U26:U28" si="4">IF(ISERROR(S26),"",S26)</f>
        <v>Employment</v>
      </c>
      <c r="V26" s="151" vm="982">
        <f t="shared" ref="V26:V28" si="5">IF(ISERROR(T26),"",T26)</f>
        <v>34</v>
      </c>
      <c r="W26" s="151"/>
    </row>
    <row r="27" spans="2:23">
      <c r="B27" s="250" t="s">
        <v>7</v>
      </c>
      <c r="C27" s="250" t="s">
        <v>520</v>
      </c>
      <c r="D27" s="251">
        <v>17</v>
      </c>
      <c r="L27" s="130">
        <f t="shared" si="3"/>
        <v>6</v>
      </c>
      <c r="M27" s="130">
        <f>IF(ISNA(IF(VLOOKUP($L27,$L$25:$L26,1,FALSE)=L27,L27+P27,0)),L27,(IF(VLOOKUP($L27,$L$25:$L26,1,FALSE)=L27,L27+P27,0)))</f>
        <v>6</v>
      </c>
      <c r="N27" s="29" t="str" vm="10">
        <f>CUBEMEMBER("cabcrmsqlrs1 CABReportingCubes Local Advice Event","[AIC Outcome].[AIC Part1].&amp;[Debt]")</f>
        <v>Debt</v>
      </c>
      <c r="O27" s="23" vm="1204">
        <f t="shared" si="0"/>
        <v>10</v>
      </c>
      <c r="P27" s="23">
        <f>COUNTIF($L$25:$L27,$L27)-1</f>
        <v>0</v>
      </c>
      <c r="R27" s="23">
        <v>3</v>
      </c>
      <c r="S27" s="23" t="str" vm="5">
        <f t="shared" si="1"/>
        <v>Housing</v>
      </c>
      <c r="T27" s="23" vm="1038">
        <f t="shared" si="2"/>
        <v>20</v>
      </c>
      <c r="U27" s="30" t="str" vm="5">
        <f t="shared" si="4"/>
        <v>Housing</v>
      </c>
      <c r="V27" s="151" vm="1038">
        <f t="shared" si="5"/>
        <v>20</v>
      </c>
      <c r="W27" s="151"/>
    </row>
    <row r="28" spans="2:23">
      <c r="B28" s="250" t="s">
        <v>7</v>
      </c>
      <c r="C28" s="250" t="s">
        <v>305</v>
      </c>
      <c r="D28" s="251">
        <v>7</v>
      </c>
      <c r="L28" s="130">
        <f t="shared" si="3"/>
        <v>12</v>
      </c>
      <c r="M28" s="130">
        <f>IF(ISNA(IF(VLOOKUP($L28,$L$25:$L27,1,FALSE)=L28,L28+P28,0)),L28,(IF(VLOOKUP($L28,$L$25:$L27,1,FALSE)=L28,L28+P28,0)))</f>
        <v>12</v>
      </c>
      <c r="N28" s="29" t="str" vm="6">
        <f>CUBEMEMBER("cabcrmsqlrs1 CABReportingCubes Local Advice Event","[AIC Outcome].[AIC Part1].&amp;[Education]")</f>
        <v>Education</v>
      </c>
      <c r="O28" s="23" vm="1183">
        <f t="shared" si="0"/>
        <v>1</v>
      </c>
      <c r="P28" s="23">
        <f>COUNTIF($L$25:$L28,$L28)-1</f>
        <v>0</v>
      </c>
      <c r="R28" s="23">
        <v>4</v>
      </c>
      <c r="S28" s="23" t="str" vm="8">
        <f t="shared" si="1"/>
        <v>Utilities &amp; communications</v>
      </c>
      <c r="T28" s="23" vm="999">
        <f t="shared" si="2"/>
        <v>18</v>
      </c>
      <c r="U28" s="30" t="str" vm="8">
        <f t="shared" si="4"/>
        <v>Utilities &amp; communications</v>
      </c>
      <c r="V28" s="151" vm="999">
        <f t="shared" si="5"/>
        <v>18</v>
      </c>
      <c r="W28" s="151"/>
    </row>
    <row r="29" spans="2:23">
      <c r="B29" s="250" t="s">
        <v>7</v>
      </c>
      <c r="C29" s="250" t="s">
        <v>522</v>
      </c>
      <c r="D29" s="251">
        <v>1</v>
      </c>
      <c r="L29" s="130">
        <f t="shared" si="3"/>
        <v>2</v>
      </c>
      <c r="M29" s="130">
        <f>IF(ISNA(IF(VLOOKUP($L29,$L$25:$L28,1,FALSE)=L29,L29+P29,0)),L29,(IF(VLOOKUP($L29,$L$25:$L28,1,FALSE)=L29,L29+P29,0)))</f>
        <v>2</v>
      </c>
      <c r="N29" s="29" t="str" vm="13">
        <f>CUBEMEMBER("cabcrmsqlrs1 CABReportingCubes Local Advice Event","[AIC Outcome].[AIC Part1].&amp;[Employment]")</f>
        <v>Employment</v>
      </c>
      <c r="O29" s="23" vm="982">
        <f t="shared" si="0"/>
        <v>34</v>
      </c>
      <c r="P29" s="23">
        <f>COUNTIF($L$25:$L29,$L29)-1</f>
        <v>0</v>
      </c>
      <c r="R29" s="23">
        <v>5</v>
      </c>
      <c r="S29" s="23" t="str" vm="14">
        <f t="shared" si="1"/>
        <v>Health &amp; community care</v>
      </c>
      <c r="T29" s="23" vm="1081">
        <f t="shared" si="2"/>
        <v>17</v>
      </c>
      <c r="U29" s="30" t="str">
        <f>IF(ISERROR(SUM(T29:T40)),"","Other")</f>
        <v>Other</v>
      </c>
      <c r="V29" s="151">
        <f>IF(ISERROR(SUM(T29:T40)),"",SUM(T29:T40))</f>
        <v>63</v>
      </c>
      <c r="W29" s="151"/>
    </row>
    <row r="30" spans="2:23">
      <c r="B30" s="250" t="s">
        <v>7</v>
      </c>
      <c r="C30" s="250" t="s">
        <v>523</v>
      </c>
      <c r="D30" s="251">
        <v>15</v>
      </c>
      <c r="L30" s="130" t="e">
        <f t="shared" si="3"/>
        <v>#VALUE!</v>
      </c>
      <c r="M30" s="130" t="e">
        <f>IF(ISNA(IF(VLOOKUP($L30,$L$25:$L29,1,FALSE)=L30,L30+P30,0)),L30,(IF(VLOOKUP($L30,$L$25:$L29,1,FALSE)=L30,L30+P30,0)))</f>
        <v>#VALUE!</v>
      </c>
      <c r="N30" s="29" t="str" vm="18">
        <f>CUBEMEMBER("cabcrmsqlrs1 CABReportingCubes Local Advice Event","[AIC Outcome].[AIC Part1].&amp;[Financial services &amp; capability]")</f>
        <v>Financial services &amp; capability</v>
      </c>
      <c r="O30" s="23" t="str" vm="1341">
        <f t="shared" si="0"/>
        <v/>
      </c>
      <c r="P30" s="23">
        <f>COUNTIF($L$25:$L30,$L30)-1</f>
        <v>0</v>
      </c>
      <c r="R30" s="23">
        <v>6</v>
      </c>
      <c r="S30" s="23" t="str" vm="10">
        <f t="shared" si="1"/>
        <v>Debt</v>
      </c>
      <c r="T30" s="23" vm="1204">
        <f t="shared" si="2"/>
        <v>10</v>
      </c>
      <c r="U30" s="30"/>
      <c r="V30" s="151"/>
      <c r="W30" s="151"/>
    </row>
    <row r="31" spans="2:23">
      <c r="B31" s="250" t="s">
        <v>7</v>
      </c>
      <c r="C31" s="250" t="s">
        <v>526</v>
      </c>
      <c r="D31" s="251">
        <v>22</v>
      </c>
      <c r="L31" s="130">
        <f t="shared" si="3"/>
        <v>5</v>
      </c>
      <c r="M31" s="130">
        <f>IF(ISNA(IF(VLOOKUP($L31,$L$25:$L30,1,FALSE)=L31,L31+P31,0)),L31,(IF(VLOOKUP($L31,$L$25:$L30,1,FALSE)=L31,L31+P31,0)))</f>
        <v>5</v>
      </c>
      <c r="N31" s="29" t="str" vm="14">
        <f>CUBEMEMBER("cabcrmsqlrs1 CABReportingCubes Local Advice Event","[AIC Outcome].[AIC Part1].&amp;[Health &amp; community care]")</f>
        <v>Health &amp; community care</v>
      </c>
      <c r="O31" s="23" vm="1081">
        <f t="shared" si="0"/>
        <v>17</v>
      </c>
      <c r="P31" s="23">
        <f>COUNTIF($L$25:$L31,$L31)-1</f>
        <v>0</v>
      </c>
      <c r="R31" s="23">
        <v>7</v>
      </c>
      <c r="S31" s="23" t="str" vm="12">
        <f t="shared" si="1"/>
        <v>Consumer goods &amp; services</v>
      </c>
      <c r="T31" s="23" vm="1013">
        <f t="shared" si="2"/>
        <v>8</v>
      </c>
      <c r="U31" s="30"/>
      <c r="V31" s="151"/>
      <c r="W31" s="151"/>
    </row>
    <row r="32" spans="2:23">
      <c r="B32" s="250" t="s">
        <v>7</v>
      </c>
      <c r="C32" s="250" t="s">
        <v>527</v>
      </c>
      <c r="D32" s="251">
        <v>18</v>
      </c>
      <c r="L32" s="130">
        <f t="shared" si="3"/>
        <v>3</v>
      </c>
      <c r="M32" s="130">
        <f>IF(ISNA(IF(VLOOKUP($L32,$L$25:$L31,1,FALSE)=L32,L32+P32,0)),L32,(IF(VLOOKUP($L32,$L$25:$L31,1,FALSE)=L32,L32+P32,0)))</f>
        <v>3</v>
      </c>
      <c r="N32" s="29" t="str" vm="5">
        <f>CUBEMEMBER("cabcrmsqlrs1 CABReportingCubes Local Advice Event","[AIC Outcome].[AIC Part1].&amp;[Housing]")</f>
        <v>Housing</v>
      </c>
      <c r="O32" s="23" vm="1038">
        <f t="shared" si="0"/>
        <v>20</v>
      </c>
      <c r="P32" s="23">
        <f>COUNTIF($L$25:$L32,$L32)-1</f>
        <v>0</v>
      </c>
      <c r="R32" s="23">
        <v>8</v>
      </c>
      <c r="S32" s="23" t="str" vm="16">
        <f t="shared" si="1"/>
        <v>Legal</v>
      </c>
      <c r="T32" s="23" vm="1005">
        <f t="shared" si="2"/>
        <v>7</v>
      </c>
      <c r="U32" s="30"/>
      <c r="V32" s="151"/>
      <c r="W32" s="151"/>
    </row>
    <row r="33" spans="2:23">
      <c r="B33" s="250" t="s">
        <v>7</v>
      </c>
      <c r="C33" s="250" t="s">
        <v>475</v>
      </c>
      <c r="D33" s="251">
        <v>58</v>
      </c>
      <c r="L33" s="130">
        <f t="shared" si="3"/>
        <v>10</v>
      </c>
      <c r="M33" s="130">
        <f>IF(ISNA(IF(VLOOKUP($L33,$L$25:$L32,1,FALSE)=L33,L33+P33,0)),L33,(IF(VLOOKUP($L33,$L$25:$L32,1,FALSE)=L33,L33+P33,0)))</f>
        <v>10</v>
      </c>
      <c r="N33" s="29" t="str" vm="17">
        <f>CUBEMEMBER("cabcrmsqlrs1 CABReportingCubes Local Advice Event","[AIC Outcome].[AIC Part1].&amp;[Immigration &amp; asylum]")</f>
        <v>Immigration &amp; asylum</v>
      </c>
      <c r="O33" s="23" vm="1222">
        <f t="shared" si="0"/>
        <v>6</v>
      </c>
      <c r="P33" s="23">
        <f>COUNTIF($L$25:$L33,$L33)-1</f>
        <v>0</v>
      </c>
      <c r="R33" s="23">
        <v>9</v>
      </c>
      <c r="S33" s="23" t="str" vm="19">
        <f t="shared" si="1"/>
        <v>Tax</v>
      </c>
      <c r="T33" s="23" vm="1008">
        <f t="shared" si="2"/>
        <v>7</v>
      </c>
      <c r="U33" s="30"/>
      <c r="V33" s="151"/>
      <c r="W33" s="151"/>
    </row>
    <row r="34" spans="2:23">
      <c r="B34" s="250" t="s">
        <v>7</v>
      </c>
      <c r="C34" s="250" t="s">
        <v>530</v>
      </c>
      <c r="D34" s="251">
        <v>2</v>
      </c>
      <c r="L34" s="130">
        <f t="shared" si="3"/>
        <v>8</v>
      </c>
      <c r="M34" s="130">
        <f>IF(ISNA(IF(VLOOKUP($L34,$L$25:$L33,1,FALSE)=L34,L34+P34,0)),L34,(IF(VLOOKUP($L34,$L$25:$L33,1,FALSE)=L34,L34+P34,0)))</f>
        <v>8</v>
      </c>
      <c r="N34" s="29" t="str" vm="16">
        <f>CUBEMEMBER("cabcrmsqlrs1 CABReportingCubes Local Advice Event","[AIC Outcome].[AIC Part1].&amp;[Legal]")</f>
        <v>Legal</v>
      </c>
      <c r="O34" s="23" vm="1005">
        <f t="shared" si="0"/>
        <v>7</v>
      </c>
      <c r="P34" s="23">
        <f>COUNTIF($L$25:$L34,$L34)-1</f>
        <v>0</v>
      </c>
      <c r="R34" s="23">
        <v>10</v>
      </c>
      <c r="S34" s="23" t="str" vm="17">
        <f t="shared" si="1"/>
        <v>Immigration &amp; asylum</v>
      </c>
      <c r="T34" s="23" vm="1222">
        <f t="shared" si="2"/>
        <v>6</v>
      </c>
      <c r="U34" s="30"/>
      <c r="V34" s="151"/>
      <c r="W34" s="151"/>
    </row>
    <row r="35" spans="2:23">
      <c r="B35" s="250" t="s">
        <v>7</v>
      </c>
      <c r="C35" s="250" t="s">
        <v>531</v>
      </c>
      <c r="D35" s="251">
        <v>1</v>
      </c>
      <c r="L35" s="130" t="e">
        <f t="shared" si="3"/>
        <v>#VALUE!</v>
      </c>
      <c r="M35" s="130" t="e">
        <f>IF(ISNA(IF(VLOOKUP($L35,$L$25:$L34,1,FALSE)=L35,L35+P35,0)),L35,(IF(VLOOKUP($L35,$L$25:$L34,1,FALSE)=L35,L35+P35,0)))</f>
        <v>#VALUE!</v>
      </c>
      <c r="N35" s="29" t="str" vm="299">
        <f>CUBEMEMBER("cabcrmsqlrs1 CABReportingCubes Local Advice Event","[AIC Outcome].[AIC Part1].&amp;[Not recorded/not applicable]")</f>
        <v>Not recorded/not applicable</v>
      </c>
      <c r="O35" s="23" t="str" vm="1328">
        <f t="shared" si="0"/>
        <v/>
      </c>
      <c r="P35" s="23">
        <f>COUNTIF($L$25:$L35,$L35)-1</f>
        <v>1</v>
      </c>
      <c r="R35" s="23">
        <v>11</v>
      </c>
      <c r="S35" s="23" t="str" vm="11">
        <f t="shared" si="1"/>
        <v>Travel &amp; transport</v>
      </c>
      <c r="T35" s="23" vm="1039">
        <f t="shared" si="2"/>
        <v>5</v>
      </c>
      <c r="U35" s="30"/>
      <c r="V35" s="151"/>
      <c r="W35" s="151"/>
    </row>
    <row r="36" spans="2:23">
      <c r="B36" s="250" t="s">
        <v>7</v>
      </c>
      <c r="C36" s="250" t="s">
        <v>532</v>
      </c>
      <c r="D36" s="251">
        <v>1</v>
      </c>
      <c r="L36" s="130">
        <f t="shared" si="3"/>
        <v>12</v>
      </c>
      <c r="M36" s="130">
        <f>IF(ISNA(IF(VLOOKUP($L36,$L$25:$L35,1,FALSE)=L36,L36+P36,0)),L36,(IF(VLOOKUP($L36,$L$25:$L35,1,FALSE)=L36,L36+P36,0)))</f>
        <v>13</v>
      </c>
      <c r="N36" s="29" t="str" vm="9">
        <f>CUBEMEMBER("cabcrmsqlrs1 CABReportingCubes Local Advice Event","[AIC Outcome].[AIC Part1].&amp;[Other]")</f>
        <v>Other</v>
      </c>
      <c r="O36" s="23" vm="1329">
        <f t="shared" si="0"/>
        <v>1</v>
      </c>
      <c r="P36" s="23">
        <f>COUNTIF($L$25:$L36,$L36)-1</f>
        <v>1</v>
      </c>
      <c r="R36" s="23">
        <v>12</v>
      </c>
      <c r="S36" s="23" t="str" vm="6">
        <f t="shared" si="1"/>
        <v>Education</v>
      </c>
      <c r="T36" s="23" vm="1183">
        <f t="shared" si="2"/>
        <v>1</v>
      </c>
      <c r="U36" s="30"/>
      <c r="V36" s="151"/>
      <c r="W36" s="151"/>
    </row>
    <row r="37" spans="2:23">
      <c r="B37" s="250" t="s">
        <v>7</v>
      </c>
      <c r="C37" s="250" t="s">
        <v>476</v>
      </c>
      <c r="D37" s="251">
        <v>9</v>
      </c>
      <c r="L37" s="130">
        <f t="shared" si="3"/>
        <v>12</v>
      </c>
      <c r="M37" s="130">
        <f>IF(ISNA(IF(VLOOKUP($L37,$L$25:$L36,1,FALSE)=L37,L37+P37,0)),L37,(IF(VLOOKUP($L37,$L$25:$L36,1,FALSE)=L37,L37+P37,0)))</f>
        <v>14</v>
      </c>
      <c r="N37" s="29" t="str" vm="4">
        <f>CUBEMEMBER("cabcrmsqlrs1 CABReportingCubes Local Advice Event","[AIC Outcome].[AIC Part1].&amp;[Relationships &amp; family]")</f>
        <v>Relationships &amp; family</v>
      </c>
      <c r="O37" s="23" vm="1312">
        <f t="shared" si="0"/>
        <v>1</v>
      </c>
      <c r="P37" s="23">
        <f>COUNTIF($L$25:$L37,$L37)-1</f>
        <v>2</v>
      </c>
      <c r="R37" s="23">
        <v>13</v>
      </c>
      <c r="S37" s="23" t="str" vm="9">
        <f t="shared" si="1"/>
        <v>Other</v>
      </c>
      <c r="T37" s="23" vm="1329">
        <f t="shared" si="2"/>
        <v>1</v>
      </c>
      <c r="U37" s="30"/>
      <c r="V37" s="151"/>
      <c r="W37" s="151"/>
    </row>
    <row r="38" spans="2:23">
      <c r="B38" s="250" t="s">
        <v>8</v>
      </c>
      <c r="C38" s="250" t="s">
        <v>534</v>
      </c>
      <c r="D38" s="251">
        <v>2</v>
      </c>
      <c r="L38" s="130">
        <f t="shared" si="3"/>
        <v>8</v>
      </c>
      <c r="M38" s="130">
        <f>IF(ISNA(IF(VLOOKUP($L38,$L$25:$L37,1,FALSE)=L38,L38+P38,0)),L38,(IF(VLOOKUP($L38,$L$25:$L37,1,FALSE)=L38,L38+P38,0)))</f>
        <v>9</v>
      </c>
      <c r="N38" s="29" t="str" vm="19">
        <f>CUBEMEMBER("cabcrmsqlrs1 CABReportingCubes Local Advice Event","[AIC Outcome].[AIC Part1].&amp;[Tax]")</f>
        <v>Tax</v>
      </c>
      <c r="O38" s="23" vm="1008">
        <f t="shared" si="0"/>
        <v>7</v>
      </c>
      <c r="P38" s="23">
        <f>COUNTIF($L$25:$L38,$L38)-1</f>
        <v>1</v>
      </c>
      <c r="R38" s="23">
        <v>14</v>
      </c>
      <c r="S38" s="23" t="str" vm="4">
        <f t="shared" si="1"/>
        <v>Relationships &amp; family</v>
      </c>
      <c r="T38" s="23" vm="1312">
        <f t="shared" si="2"/>
        <v>1</v>
      </c>
      <c r="U38" s="30"/>
      <c r="V38" s="151"/>
      <c r="W38" s="151"/>
    </row>
    <row r="39" spans="2:23">
      <c r="B39" s="250" t="s">
        <v>8</v>
      </c>
      <c r="C39" s="250" t="s">
        <v>537</v>
      </c>
      <c r="D39" s="251">
        <v>1</v>
      </c>
      <c r="L39" s="130">
        <f t="shared" si="3"/>
        <v>11</v>
      </c>
      <c r="M39" s="130">
        <f>IF(ISNA(IF(VLOOKUP($L39,$L$25:$L38,1,FALSE)=L39,L39+P39,0)),L39,(IF(VLOOKUP($L39,$L$25:$L38,1,FALSE)=L39,L39+P39,0)))</f>
        <v>11</v>
      </c>
      <c r="N39" s="29" t="str" vm="11">
        <f>CUBEMEMBER("cabcrmsqlrs1 CABReportingCubes Local Advice Event","[AIC Outcome].[AIC Part1].&amp;[Travel &amp; transport]")</f>
        <v>Travel &amp; transport</v>
      </c>
      <c r="O39" s="23" vm="1039">
        <f t="shared" si="0"/>
        <v>5</v>
      </c>
      <c r="P39" s="23">
        <f>COUNTIF($L$25:$L39,$L39)-1</f>
        <v>0</v>
      </c>
      <c r="R39" s="23">
        <v>15</v>
      </c>
      <c r="S39" s="23" t="str">
        <f t="shared" si="1"/>
        <v/>
      </c>
      <c r="T39" s="23">
        <f>IF(ISERROR(VLOOKUP(S39,$N$25:$O$40,2,FALSE)),0,VLOOKUP(S39,$N$25:$O$40,2,FALSE))</f>
        <v>0</v>
      </c>
      <c r="U39" s="30"/>
      <c r="V39" s="151"/>
      <c r="W39" s="151"/>
    </row>
    <row r="40" spans="2:23">
      <c r="B40" s="250" t="s">
        <v>8</v>
      </c>
      <c r="C40" s="250" t="s">
        <v>544</v>
      </c>
      <c r="D40" s="251">
        <v>2</v>
      </c>
      <c r="L40" s="130">
        <f t="shared" si="3"/>
        <v>4</v>
      </c>
      <c r="M40" s="130">
        <f>IF(ISNA(IF(VLOOKUP($L40,$L$25:$L39,1,FALSE)=L40,L40+P40,0)),L40,(IF(VLOOKUP($L40,$L$25:$L39,1,FALSE)=L40,L40+P40,0)))</f>
        <v>4</v>
      </c>
      <c r="N40" s="29" t="str" vm="8">
        <f>CUBEMEMBER("cabcrmsqlrs1 CABReportingCubes Local Advice Event","[AIC Outcome].[AIC Part1].&amp;[Utilities &amp; communications]")</f>
        <v>Utilities &amp; communications</v>
      </c>
      <c r="O40" s="23" vm="999">
        <f t="shared" si="0"/>
        <v>18</v>
      </c>
      <c r="P40" s="23">
        <f>COUNTIF($L$25:$L40,$L40)-1</f>
        <v>0</v>
      </c>
      <c r="R40" s="23">
        <v>16</v>
      </c>
      <c r="S40" s="23" t="str">
        <f>IF(ISERROR(VLOOKUP(R40,$M$25:$N$40,2,FALSE)),"",VLOOKUP(R40,$M$25:$N$40,2,FALSE))</f>
        <v/>
      </c>
      <c r="T40" s="23">
        <f>IF(ISERROR(VLOOKUP(S40,$N$25:$O$40,2,FALSE)),0,VLOOKUP(S40,$N$25:$O$40,2,FALSE))</f>
        <v>0</v>
      </c>
      <c r="U40" s="30"/>
      <c r="V40" s="151"/>
      <c r="W40" s="151"/>
    </row>
    <row r="41" spans="2:23">
      <c r="B41" s="250" t="s">
        <v>8</v>
      </c>
      <c r="C41" s="250" t="s">
        <v>547</v>
      </c>
      <c r="D41" s="251">
        <v>1</v>
      </c>
      <c r="M41" s="130"/>
      <c r="N41" s="29" t="str" vm="3">
        <f>CUBEMEMBER("cabcrmsqlrs1 CABReportingCubes Local Advice Event","[AIC Outcome].[AIC Part1].[All]","Grand Total")</f>
        <v>Grand Total</v>
      </c>
      <c r="O41" s="23" vm="1055">
        <f t="shared" si="0"/>
        <v>313</v>
      </c>
      <c r="U41" s="30"/>
      <c r="V41" s="151"/>
      <c r="W41" s="151"/>
    </row>
    <row r="42" spans="2:23">
      <c r="B42" s="250" t="s">
        <v>8</v>
      </c>
      <c r="C42" s="250" t="s">
        <v>550</v>
      </c>
      <c r="D42" s="251">
        <v>2</v>
      </c>
      <c r="U42" s="29"/>
      <c r="V42" s="151"/>
      <c r="W42" s="151"/>
    </row>
    <row r="43" spans="2:23">
      <c r="B43" s="250" t="s">
        <v>9</v>
      </c>
      <c r="C43" s="250" t="s">
        <v>552</v>
      </c>
      <c r="D43" s="251">
        <v>1</v>
      </c>
      <c r="U43" s="30"/>
      <c r="V43" s="151"/>
      <c r="W43" s="151"/>
    </row>
    <row r="44" spans="2:23">
      <c r="B44" s="250" t="s">
        <v>9</v>
      </c>
      <c r="C44" s="250" t="s">
        <v>253</v>
      </c>
      <c r="D44" s="251">
        <v>1</v>
      </c>
      <c r="U44" s="30"/>
      <c r="V44" s="151"/>
      <c r="W44" s="151"/>
    </row>
    <row r="45" spans="2:23">
      <c r="B45" s="250" t="s">
        <v>9</v>
      </c>
      <c r="C45" s="250" t="s">
        <v>557</v>
      </c>
      <c r="D45" s="251">
        <v>1</v>
      </c>
      <c r="U45" s="30"/>
      <c r="V45" s="151"/>
      <c r="W45" s="151"/>
    </row>
    <row r="46" spans="2:23">
      <c r="B46" s="250" t="s">
        <v>9</v>
      </c>
      <c r="C46" s="250" t="s">
        <v>561</v>
      </c>
      <c r="D46" s="251">
        <v>2</v>
      </c>
      <c r="U46" s="30"/>
      <c r="V46" s="151"/>
      <c r="W46" s="151"/>
    </row>
    <row r="47" spans="2:23">
      <c r="B47" s="250" t="s">
        <v>9</v>
      </c>
      <c r="C47" s="250" t="s">
        <v>565</v>
      </c>
      <c r="D47" s="251">
        <v>1</v>
      </c>
      <c r="U47" s="30"/>
      <c r="V47" s="151"/>
      <c r="W47" s="151"/>
    </row>
    <row r="48" spans="2:23">
      <c r="B48" s="250" t="s">
        <v>9</v>
      </c>
      <c r="C48" s="250" t="s">
        <v>481</v>
      </c>
      <c r="D48" s="251">
        <v>1</v>
      </c>
      <c r="U48" s="30"/>
      <c r="V48" s="151"/>
      <c r="W48" s="151"/>
    </row>
    <row r="49" spans="2:23">
      <c r="B49" s="250" t="s">
        <v>9</v>
      </c>
      <c r="C49" s="250" t="s">
        <v>306</v>
      </c>
      <c r="D49" s="251">
        <v>3</v>
      </c>
      <c r="U49" s="30"/>
      <c r="V49" s="151"/>
      <c r="W49" s="151"/>
    </row>
    <row r="50" spans="2:23">
      <c r="B50" s="250" t="s">
        <v>257</v>
      </c>
      <c r="C50" s="250" t="s">
        <v>576</v>
      </c>
      <c r="D50" s="251">
        <v>1</v>
      </c>
      <c r="U50" s="30"/>
      <c r="V50" s="151"/>
      <c r="W50" s="151"/>
    </row>
    <row r="51" spans="2:23">
      <c r="B51" s="250" t="s">
        <v>257</v>
      </c>
      <c r="C51" s="250" t="s">
        <v>577</v>
      </c>
      <c r="D51" s="251">
        <v>4</v>
      </c>
      <c r="U51" s="30"/>
      <c r="V51" s="151"/>
      <c r="W51" s="151"/>
    </row>
    <row r="52" spans="2:23">
      <c r="B52" s="250" t="s">
        <v>257</v>
      </c>
      <c r="C52" s="250" t="s">
        <v>578</v>
      </c>
      <c r="D52" s="251">
        <v>5</v>
      </c>
      <c r="U52" s="30"/>
      <c r="V52" s="151"/>
      <c r="W52" s="151"/>
    </row>
    <row r="53" spans="2:23">
      <c r="B53" s="250" t="s">
        <v>257</v>
      </c>
      <c r="C53" s="250" t="s">
        <v>579</v>
      </c>
      <c r="D53" s="251">
        <v>1</v>
      </c>
      <c r="U53" s="30"/>
      <c r="V53" s="151"/>
      <c r="W53" s="151"/>
    </row>
    <row r="54" spans="2:23">
      <c r="B54" s="250" t="s">
        <v>257</v>
      </c>
      <c r="C54" s="250" t="s">
        <v>433</v>
      </c>
      <c r="D54" s="251">
        <v>3</v>
      </c>
      <c r="U54" s="30"/>
      <c r="V54" s="151"/>
      <c r="W54" s="151"/>
    </row>
    <row r="55" spans="2:23">
      <c r="B55" s="250" t="s">
        <v>259</v>
      </c>
      <c r="C55" s="250" t="s">
        <v>421</v>
      </c>
      <c r="D55" s="251">
        <v>1</v>
      </c>
      <c r="U55" s="30"/>
      <c r="V55" s="151"/>
      <c r="W55" s="151"/>
    </row>
    <row r="56" spans="2:23">
      <c r="B56" s="250" t="s">
        <v>10</v>
      </c>
      <c r="C56" s="250" t="s">
        <v>587</v>
      </c>
      <c r="D56" s="251">
        <v>2</v>
      </c>
      <c r="U56" s="30"/>
      <c r="V56" s="151"/>
      <c r="W56" s="151"/>
    </row>
    <row r="57" spans="2:23">
      <c r="B57" s="250" t="s">
        <v>10</v>
      </c>
      <c r="C57" s="250" t="s">
        <v>589</v>
      </c>
      <c r="D57" s="251">
        <v>10</v>
      </c>
      <c r="U57" s="30"/>
      <c r="V57" s="151"/>
      <c r="W57" s="151"/>
    </row>
    <row r="58" spans="2:23">
      <c r="B58" s="250" t="s">
        <v>10</v>
      </c>
      <c r="C58" s="250" t="s">
        <v>590</v>
      </c>
      <c r="D58" s="251">
        <v>10</v>
      </c>
      <c r="U58" s="30"/>
      <c r="V58" s="151"/>
      <c r="W58" s="151"/>
    </row>
    <row r="59" spans="2:23">
      <c r="B59" s="250" t="s">
        <v>10</v>
      </c>
      <c r="C59" s="250" t="s">
        <v>307</v>
      </c>
      <c r="D59" s="251">
        <v>9</v>
      </c>
      <c r="U59" s="30"/>
      <c r="V59" s="151"/>
      <c r="W59" s="151"/>
    </row>
    <row r="60" spans="2:23">
      <c r="B60" s="250" t="s">
        <v>10</v>
      </c>
      <c r="C60" s="250" t="s">
        <v>595</v>
      </c>
      <c r="D60" s="251">
        <v>2</v>
      </c>
      <c r="U60" s="30"/>
      <c r="V60" s="151"/>
      <c r="W60" s="151"/>
    </row>
    <row r="61" spans="2:23">
      <c r="B61" s="250" t="s">
        <v>10</v>
      </c>
      <c r="C61" s="250" t="s">
        <v>306</v>
      </c>
      <c r="D61" s="251">
        <v>1</v>
      </c>
      <c r="U61" s="30"/>
      <c r="V61" s="151"/>
      <c r="W61" s="151"/>
    </row>
    <row r="62" spans="2:23">
      <c r="B62" s="250" t="s">
        <v>615</v>
      </c>
      <c r="C62" s="250" t="s">
        <v>616</v>
      </c>
      <c r="D62" s="251">
        <v>1</v>
      </c>
      <c r="U62" s="30"/>
      <c r="V62" s="151"/>
      <c r="W62" s="151"/>
    </row>
    <row r="63" spans="2:23">
      <c r="B63" s="250" t="s">
        <v>615</v>
      </c>
      <c r="C63" s="250" t="s">
        <v>617</v>
      </c>
      <c r="D63" s="251">
        <v>1</v>
      </c>
      <c r="U63" s="29"/>
      <c r="V63" s="151"/>
      <c r="W63" s="151"/>
    </row>
    <row r="64" spans="2:23">
      <c r="B64" s="250" t="s">
        <v>615</v>
      </c>
      <c r="C64" s="250" t="s">
        <v>618</v>
      </c>
      <c r="D64" s="251">
        <v>1</v>
      </c>
      <c r="U64" s="30"/>
      <c r="V64" s="151"/>
      <c r="W64" s="151"/>
    </row>
    <row r="65" spans="2:23">
      <c r="B65" s="250" t="s">
        <v>615</v>
      </c>
      <c r="C65" s="250" t="s">
        <v>620</v>
      </c>
      <c r="D65" s="251">
        <v>2</v>
      </c>
      <c r="U65" s="30"/>
      <c r="V65" s="151"/>
      <c r="W65" s="151"/>
    </row>
    <row r="66" spans="2:23">
      <c r="B66" s="250" t="s">
        <v>615</v>
      </c>
      <c r="C66" s="250" t="s">
        <v>621</v>
      </c>
      <c r="D66" s="251">
        <v>6</v>
      </c>
      <c r="U66" s="30"/>
      <c r="V66" s="151"/>
      <c r="W66" s="151"/>
    </row>
    <row r="67" spans="2:23">
      <c r="B67" s="250" t="s">
        <v>615</v>
      </c>
      <c r="C67" s="250" t="s">
        <v>622</v>
      </c>
      <c r="D67" s="251">
        <v>1</v>
      </c>
      <c r="U67" s="30"/>
      <c r="V67" s="151"/>
      <c r="W67" s="151"/>
    </row>
    <row r="68" spans="2:23">
      <c r="B68" s="250" t="s">
        <v>615</v>
      </c>
      <c r="C68" s="250" t="s">
        <v>623</v>
      </c>
      <c r="D68" s="251">
        <v>1</v>
      </c>
      <c r="U68" s="30"/>
      <c r="V68" s="151"/>
      <c r="W68" s="151"/>
    </row>
    <row r="69" spans="2:23">
      <c r="B69" s="250" t="s">
        <v>615</v>
      </c>
      <c r="C69" s="250" t="s">
        <v>627</v>
      </c>
      <c r="D69" s="251">
        <v>1</v>
      </c>
      <c r="U69" s="30"/>
      <c r="V69" s="151"/>
      <c r="W69" s="151"/>
    </row>
    <row r="70" spans="2:23">
      <c r="B70" s="250" t="s">
        <v>615</v>
      </c>
      <c r="C70" s="250" t="s">
        <v>628</v>
      </c>
      <c r="D70" s="251">
        <v>1</v>
      </c>
      <c r="U70" s="30"/>
      <c r="V70" s="151"/>
      <c r="W70" s="151"/>
    </row>
    <row r="71" spans="2:23">
      <c r="B71" s="250" t="s">
        <v>615</v>
      </c>
      <c r="C71" s="250" t="s">
        <v>629</v>
      </c>
      <c r="D71" s="251">
        <v>2</v>
      </c>
      <c r="U71" s="30"/>
      <c r="V71" s="151"/>
      <c r="W71" s="151"/>
    </row>
    <row r="72" spans="2:23">
      <c r="B72" s="250" t="s">
        <v>11</v>
      </c>
      <c r="C72" s="250" t="s">
        <v>631</v>
      </c>
      <c r="D72" s="251">
        <v>1</v>
      </c>
      <c r="U72" s="30"/>
      <c r="V72" s="151"/>
      <c r="W72" s="151"/>
    </row>
    <row r="73" spans="2:23">
      <c r="B73" s="250" t="s">
        <v>11</v>
      </c>
      <c r="C73" s="250" t="s">
        <v>632</v>
      </c>
      <c r="D73" s="251">
        <v>1</v>
      </c>
      <c r="U73" s="30"/>
      <c r="V73" s="151"/>
      <c r="W73" s="151"/>
    </row>
    <row r="74" spans="2:23">
      <c r="B74" s="250" t="s">
        <v>11</v>
      </c>
      <c r="C74" s="250" t="s">
        <v>633</v>
      </c>
      <c r="D74" s="251">
        <v>1</v>
      </c>
      <c r="U74" s="30"/>
      <c r="V74" s="151"/>
      <c r="W74" s="151"/>
    </row>
    <row r="75" spans="2:23">
      <c r="B75" s="250" t="s">
        <v>11</v>
      </c>
      <c r="C75" s="250" t="s">
        <v>634</v>
      </c>
      <c r="D75" s="251">
        <v>2</v>
      </c>
      <c r="U75" s="30"/>
      <c r="V75" s="151"/>
      <c r="W75" s="151"/>
    </row>
    <row r="76" spans="2:23">
      <c r="B76" s="250" t="s">
        <v>11</v>
      </c>
      <c r="C76" s="250" t="s">
        <v>635</v>
      </c>
      <c r="D76" s="251">
        <v>1</v>
      </c>
      <c r="U76" s="30"/>
      <c r="V76" s="151"/>
      <c r="W76" s="151"/>
    </row>
    <row r="77" spans="2:23">
      <c r="B77" s="250" t="s">
        <v>11</v>
      </c>
      <c r="C77" s="250" t="s">
        <v>637</v>
      </c>
      <c r="D77" s="251">
        <v>10</v>
      </c>
      <c r="U77" s="30"/>
      <c r="V77" s="151"/>
      <c r="W77" s="151"/>
    </row>
    <row r="78" spans="2:23">
      <c r="B78" s="250" t="s">
        <v>11</v>
      </c>
      <c r="C78" s="250" t="s">
        <v>639</v>
      </c>
      <c r="D78" s="251">
        <v>1</v>
      </c>
      <c r="U78" s="30"/>
      <c r="V78" s="151"/>
      <c r="W78" s="151"/>
    </row>
    <row r="79" spans="2:23">
      <c r="B79" s="250" t="s">
        <v>11</v>
      </c>
      <c r="C79" s="250" t="s">
        <v>640</v>
      </c>
      <c r="D79" s="251">
        <v>3</v>
      </c>
      <c r="U79" s="30"/>
      <c r="V79" s="151"/>
      <c r="W79" s="151"/>
    </row>
    <row r="80" spans="2:23">
      <c r="B80" s="250" t="s">
        <v>12</v>
      </c>
      <c r="C80" s="250" t="s">
        <v>642</v>
      </c>
      <c r="D80" s="251">
        <v>2</v>
      </c>
      <c r="U80" s="30"/>
      <c r="V80" s="151"/>
      <c r="W80" s="151"/>
    </row>
    <row r="81" spans="2:23">
      <c r="B81" s="250" t="s">
        <v>12</v>
      </c>
      <c r="C81" s="250" t="s">
        <v>643</v>
      </c>
      <c r="D81" s="251">
        <v>1</v>
      </c>
      <c r="U81" s="30"/>
      <c r="V81" s="151"/>
      <c r="W81" s="151"/>
    </row>
    <row r="82" spans="2:23">
      <c r="B82" s="250" t="s">
        <v>12</v>
      </c>
      <c r="C82" s="250" t="s">
        <v>648</v>
      </c>
      <c r="D82" s="251">
        <v>3</v>
      </c>
      <c r="U82" s="30"/>
      <c r="V82" s="151"/>
      <c r="W82" s="151"/>
    </row>
    <row r="83" spans="2:23">
      <c r="B83" s="250" t="s">
        <v>308</v>
      </c>
      <c r="C83" s="250" t="s">
        <v>651</v>
      </c>
      <c r="D83" s="251">
        <v>3</v>
      </c>
      <c r="U83" s="30"/>
      <c r="V83" s="151"/>
      <c r="W83" s="151"/>
    </row>
    <row r="84" spans="2:23">
      <c r="B84" s="250" t="s">
        <v>308</v>
      </c>
      <c r="C84" s="250" t="s">
        <v>653</v>
      </c>
      <c r="D84" s="251">
        <v>1</v>
      </c>
      <c r="U84" s="30"/>
      <c r="V84" s="151"/>
      <c r="W84" s="151"/>
    </row>
    <row r="85" spans="2:23">
      <c r="B85" s="250" t="s">
        <v>308</v>
      </c>
      <c r="C85" s="250" t="s">
        <v>656</v>
      </c>
      <c r="D85" s="251">
        <v>2</v>
      </c>
      <c r="U85" s="30"/>
      <c r="V85" s="151"/>
      <c r="W85" s="151"/>
    </row>
    <row r="86" spans="2:23">
      <c r="B86" s="250" t="s">
        <v>308</v>
      </c>
      <c r="C86" s="250" t="s">
        <v>306</v>
      </c>
      <c r="D86" s="251">
        <v>1</v>
      </c>
      <c r="U86" s="30"/>
      <c r="V86" s="151"/>
      <c r="W86" s="151"/>
    </row>
    <row r="87" spans="2:23">
      <c r="B87" s="250" t="s">
        <v>13</v>
      </c>
      <c r="C87" s="250" t="s">
        <v>306</v>
      </c>
      <c r="D87" s="251">
        <v>1</v>
      </c>
      <c r="U87" s="30"/>
      <c r="V87" s="151"/>
      <c r="W87" s="151"/>
    </row>
    <row r="88" spans="2:23">
      <c r="B88" s="250" t="s">
        <v>310</v>
      </c>
      <c r="C88" s="250" t="s">
        <v>663</v>
      </c>
      <c r="D88" s="251">
        <v>1</v>
      </c>
      <c r="U88" s="30"/>
      <c r="V88" s="151"/>
      <c r="W88" s="151"/>
    </row>
    <row r="89" spans="2:23">
      <c r="B89" s="250" t="s">
        <v>422</v>
      </c>
      <c r="C89" s="250" t="s">
        <v>666</v>
      </c>
      <c r="D89" s="251">
        <v>4</v>
      </c>
      <c r="U89" s="30"/>
      <c r="V89" s="151"/>
      <c r="W89" s="151"/>
    </row>
    <row r="90" spans="2:23">
      <c r="B90" s="250" t="s">
        <v>422</v>
      </c>
      <c r="C90" s="250" t="s">
        <v>667</v>
      </c>
      <c r="D90" s="251">
        <v>3</v>
      </c>
      <c r="U90" s="30"/>
      <c r="V90" s="151"/>
      <c r="W90" s="151"/>
    </row>
    <row r="91" spans="2:23">
      <c r="B91" s="250" t="s">
        <v>668</v>
      </c>
      <c r="C91" s="250" t="s">
        <v>669</v>
      </c>
      <c r="D91" s="251">
        <v>2</v>
      </c>
      <c r="U91" s="30"/>
      <c r="V91" s="151"/>
      <c r="W91" s="151"/>
    </row>
    <row r="92" spans="2:23">
      <c r="B92" s="250" t="s">
        <v>668</v>
      </c>
      <c r="C92" s="250" t="s">
        <v>671</v>
      </c>
      <c r="D92" s="251">
        <v>1</v>
      </c>
      <c r="U92" s="29"/>
      <c r="V92" s="151"/>
      <c r="W92" s="151"/>
    </row>
    <row r="93" spans="2:23">
      <c r="B93" s="250" t="s">
        <v>668</v>
      </c>
      <c r="C93" s="250" t="s">
        <v>672</v>
      </c>
      <c r="D93" s="251">
        <v>2</v>
      </c>
      <c r="U93" s="30"/>
      <c r="V93" s="151"/>
      <c r="W93" s="151"/>
    </row>
    <row r="94" spans="2:23">
      <c r="B94" s="250" t="s">
        <v>676</v>
      </c>
      <c r="C94" s="250" t="s">
        <v>677</v>
      </c>
      <c r="D94" s="251">
        <v>15</v>
      </c>
      <c r="U94" s="30"/>
      <c r="V94" s="151"/>
      <c r="W94" s="151"/>
    </row>
    <row r="95" spans="2:23">
      <c r="B95" s="250" t="s">
        <v>676</v>
      </c>
      <c r="C95" s="250" t="s">
        <v>681</v>
      </c>
      <c r="D95" s="251">
        <v>1</v>
      </c>
      <c r="U95" s="30"/>
      <c r="V95" s="151"/>
      <c r="W95" s="151"/>
    </row>
    <row r="96" spans="2:23">
      <c r="B96" s="250" t="s">
        <v>676</v>
      </c>
      <c r="C96" s="250" t="s">
        <v>682</v>
      </c>
      <c r="D96" s="251">
        <v>2</v>
      </c>
      <c r="U96" s="30"/>
      <c r="V96" s="151"/>
      <c r="W96" s="151"/>
    </row>
    <row r="97" spans="2:23">
      <c r="B97" s="264" t="s">
        <v>34</v>
      </c>
      <c r="C97" s="264"/>
      <c r="D97" s="263">
        <v>313</v>
      </c>
      <c r="U97" s="30"/>
      <c r="V97" s="151"/>
      <c r="W97" s="151"/>
    </row>
    <row r="98" spans="2:23">
      <c r="B98"/>
      <c r="C98"/>
      <c r="D98"/>
      <c r="U98" s="30"/>
      <c r="V98" s="151"/>
      <c r="W98" s="151"/>
    </row>
    <row r="99" spans="2:23">
      <c r="B99"/>
      <c r="C99"/>
      <c r="D99"/>
      <c r="U99" s="30"/>
      <c r="V99" s="151"/>
      <c r="W99" s="151"/>
    </row>
    <row r="100" spans="2:23">
      <c r="B100"/>
      <c r="C100"/>
      <c r="D100"/>
      <c r="U100" s="29"/>
      <c r="V100" s="151"/>
      <c r="W100" s="151"/>
    </row>
    <row r="101" spans="2:23">
      <c r="B101"/>
      <c r="C101"/>
      <c r="D101"/>
      <c r="U101" s="30"/>
      <c r="V101" s="151"/>
      <c r="W101" s="151"/>
    </row>
    <row r="102" spans="2:23">
      <c r="B102"/>
      <c r="C102"/>
      <c r="D102"/>
      <c r="U102" s="30"/>
      <c r="V102" s="151"/>
      <c r="W102" s="151"/>
    </row>
    <row r="103" spans="2:23">
      <c r="B103"/>
      <c r="C103"/>
      <c r="D103"/>
      <c r="U103" s="30"/>
      <c r="V103" s="151"/>
      <c r="W103" s="151"/>
    </row>
    <row r="104" spans="2:23">
      <c r="B104"/>
      <c r="C104"/>
      <c r="D104"/>
      <c r="U104" s="30"/>
      <c r="V104" s="151"/>
      <c r="W104" s="151"/>
    </row>
    <row r="105" spans="2:23">
      <c r="B105"/>
      <c r="C105"/>
      <c r="D105"/>
      <c r="U105" s="30"/>
      <c r="V105" s="151"/>
      <c r="W105" s="151"/>
    </row>
    <row r="106" spans="2:23">
      <c r="B106"/>
      <c r="C106"/>
      <c r="D106"/>
      <c r="U106" s="30"/>
      <c r="V106" s="151"/>
      <c r="W106" s="151"/>
    </row>
    <row r="107" spans="2:23">
      <c r="B107"/>
      <c r="C107"/>
      <c r="D107"/>
      <c r="U107" s="30"/>
      <c r="V107" s="151"/>
      <c r="W107" s="151"/>
    </row>
    <row r="108" spans="2:23">
      <c r="B108"/>
      <c r="C108"/>
      <c r="D108"/>
      <c r="U108" s="30"/>
      <c r="V108" s="151"/>
      <c r="W108" s="151"/>
    </row>
    <row r="109" spans="2:23">
      <c r="B109"/>
      <c r="C109"/>
      <c r="D109"/>
      <c r="U109" s="30"/>
      <c r="V109" s="151"/>
      <c r="W109" s="151"/>
    </row>
    <row r="110" spans="2:23">
      <c r="B110"/>
      <c r="C110"/>
      <c r="D110"/>
      <c r="U110" s="30"/>
      <c r="V110" s="151"/>
      <c r="W110" s="151"/>
    </row>
    <row r="111" spans="2:23">
      <c r="B111"/>
      <c r="C111"/>
      <c r="D111"/>
      <c r="U111" s="30"/>
      <c r="V111" s="151"/>
      <c r="W111" s="151"/>
    </row>
    <row r="112" spans="2:23">
      <c r="B112"/>
      <c r="C112"/>
      <c r="D112"/>
      <c r="U112" s="30"/>
      <c r="V112" s="151"/>
      <c r="W112" s="151"/>
    </row>
    <row r="113" spans="2:23">
      <c r="B113"/>
      <c r="C113"/>
      <c r="D113"/>
      <c r="U113" s="30"/>
      <c r="V113" s="151"/>
      <c r="W113" s="151"/>
    </row>
    <row r="114" spans="2:23">
      <c r="B114"/>
      <c r="C114"/>
      <c r="D114"/>
      <c r="U114" s="30"/>
      <c r="V114" s="151"/>
      <c r="W114" s="151"/>
    </row>
    <row r="115" spans="2:23">
      <c r="B115"/>
      <c r="C115"/>
      <c r="D115"/>
      <c r="U115" s="30"/>
      <c r="V115" s="151"/>
      <c r="W115" s="151"/>
    </row>
    <row r="116" spans="2:23">
      <c r="B116"/>
      <c r="C116"/>
      <c r="D116"/>
      <c r="U116" s="29"/>
      <c r="V116" s="151"/>
      <c r="W116" s="151"/>
    </row>
    <row r="117" spans="2:23">
      <c r="B117"/>
      <c r="C117"/>
      <c r="D117"/>
      <c r="U117" s="30"/>
      <c r="V117" s="151"/>
      <c r="W117" s="151"/>
    </row>
    <row r="118" spans="2:23">
      <c r="B118"/>
      <c r="C118"/>
      <c r="D118"/>
      <c r="U118" s="30"/>
      <c r="V118" s="151"/>
      <c r="W118" s="151"/>
    </row>
    <row r="119" spans="2:23">
      <c r="B119"/>
      <c r="C119"/>
      <c r="D119"/>
      <c r="U119" s="30"/>
      <c r="V119" s="151"/>
      <c r="W119" s="151"/>
    </row>
    <row r="120" spans="2:23">
      <c r="B120"/>
      <c r="C120"/>
      <c r="D120"/>
      <c r="U120" s="30"/>
      <c r="V120" s="151"/>
      <c r="W120" s="151"/>
    </row>
    <row r="121" spans="2:23">
      <c r="B121"/>
      <c r="C121"/>
      <c r="D121"/>
      <c r="U121" s="30"/>
      <c r="V121" s="151"/>
      <c r="W121" s="151"/>
    </row>
    <row r="122" spans="2:23">
      <c r="B122"/>
      <c r="C122"/>
      <c r="D122"/>
      <c r="U122" s="30"/>
      <c r="V122" s="151"/>
      <c r="W122" s="151"/>
    </row>
    <row r="123" spans="2:23">
      <c r="B123"/>
      <c r="C123"/>
      <c r="D123"/>
      <c r="U123" s="30"/>
      <c r="V123" s="151"/>
      <c r="W123" s="151"/>
    </row>
    <row r="124" spans="2:23">
      <c r="B124"/>
      <c r="C124"/>
      <c r="D124"/>
      <c r="U124" s="30"/>
      <c r="V124" s="151"/>
      <c r="W124" s="151"/>
    </row>
    <row r="125" spans="2:23">
      <c r="B125"/>
      <c r="C125"/>
      <c r="D125"/>
      <c r="U125" s="30"/>
      <c r="V125" s="151"/>
      <c r="W125" s="151"/>
    </row>
    <row r="126" spans="2:23">
      <c r="B126"/>
      <c r="C126"/>
      <c r="D126"/>
      <c r="U126" s="30"/>
      <c r="V126" s="151"/>
      <c r="W126" s="151"/>
    </row>
    <row r="127" spans="2:23">
      <c r="B127"/>
      <c r="C127"/>
      <c r="D127"/>
      <c r="U127" s="30"/>
      <c r="V127" s="151"/>
      <c r="W127" s="151"/>
    </row>
    <row r="128" spans="2:23">
      <c r="B128"/>
      <c r="C128"/>
      <c r="D128"/>
      <c r="U128" s="30"/>
      <c r="V128" s="151"/>
      <c r="W128" s="151"/>
    </row>
    <row r="129" spans="2:23">
      <c r="B129"/>
      <c r="C129"/>
      <c r="D129"/>
      <c r="U129" s="30"/>
      <c r="V129" s="151"/>
      <c r="W129" s="151"/>
    </row>
    <row r="130" spans="2:23">
      <c r="B130"/>
      <c r="C130"/>
      <c r="D130"/>
      <c r="U130" s="30"/>
      <c r="V130" s="151"/>
      <c r="W130" s="151"/>
    </row>
    <row r="131" spans="2:23">
      <c r="B131"/>
      <c r="C131"/>
      <c r="D131"/>
      <c r="U131" s="30"/>
      <c r="V131" s="151"/>
      <c r="W131" s="151"/>
    </row>
    <row r="132" spans="2:23">
      <c r="B132"/>
      <c r="C132"/>
      <c r="D132"/>
      <c r="U132" s="30"/>
      <c r="V132" s="151"/>
      <c r="W132" s="151"/>
    </row>
    <row r="133" spans="2:23">
      <c r="B133"/>
      <c r="C133"/>
      <c r="D133"/>
      <c r="U133" s="30"/>
      <c r="V133" s="151"/>
      <c r="W133" s="151"/>
    </row>
    <row r="134" spans="2:23">
      <c r="B134"/>
      <c r="C134"/>
      <c r="D134"/>
      <c r="U134" s="30"/>
      <c r="V134" s="151"/>
      <c r="W134" s="151"/>
    </row>
    <row r="135" spans="2:23">
      <c r="B135"/>
      <c r="C135"/>
      <c r="D135"/>
      <c r="U135" s="30"/>
      <c r="V135" s="151"/>
      <c r="W135" s="151"/>
    </row>
    <row r="136" spans="2:23">
      <c r="B136"/>
      <c r="C136"/>
      <c r="D136"/>
      <c r="U136" s="30"/>
      <c r="V136" s="151"/>
      <c r="W136" s="151"/>
    </row>
    <row r="137" spans="2:23">
      <c r="B137"/>
      <c r="C137"/>
      <c r="D137"/>
      <c r="U137" s="30"/>
      <c r="V137" s="151"/>
      <c r="W137" s="151"/>
    </row>
    <row r="138" spans="2:23">
      <c r="B138"/>
      <c r="C138"/>
      <c r="D138"/>
      <c r="U138" s="29"/>
      <c r="V138" s="151"/>
      <c r="W138" s="151"/>
    </row>
    <row r="139" spans="2:23">
      <c r="B139"/>
      <c r="C139"/>
      <c r="D139"/>
      <c r="U139" s="30"/>
      <c r="V139" s="151"/>
      <c r="W139" s="151"/>
    </row>
    <row r="140" spans="2:23">
      <c r="B140"/>
      <c r="C140"/>
      <c r="D140"/>
      <c r="U140" s="30"/>
      <c r="V140" s="151"/>
      <c r="W140" s="151"/>
    </row>
    <row r="141" spans="2:23">
      <c r="B141"/>
      <c r="C141"/>
      <c r="D141"/>
      <c r="U141" s="30"/>
      <c r="V141" s="151"/>
      <c r="W141" s="151"/>
    </row>
    <row r="142" spans="2:23">
      <c r="B142"/>
      <c r="C142"/>
      <c r="D142"/>
      <c r="U142" s="30"/>
      <c r="V142" s="151"/>
      <c r="W142" s="151"/>
    </row>
    <row r="143" spans="2:23">
      <c r="B143"/>
      <c r="C143"/>
      <c r="D143"/>
      <c r="U143" s="30"/>
      <c r="V143" s="151"/>
      <c r="W143" s="151"/>
    </row>
    <row r="144" spans="2:23">
      <c r="B144"/>
      <c r="C144"/>
      <c r="D144"/>
      <c r="U144" s="30"/>
      <c r="V144" s="151"/>
      <c r="W144" s="151"/>
    </row>
    <row r="145" spans="2:23">
      <c r="B145"/>
      <c r="C145"/>
      <c r="D145"/>
      <c r="U145" s="30"/>
      <c r="V145" s="151"/>
      <c r="W145" s="151"/>
    </row>
    <row r="146" spans="2:23">
      <c r="B146"/>
      <c r="C146"/>
      <c r="D146"/>
      <c r="U146" s="30"/>
      <c r="V146" s="151"/>
      <c r="W146" s="151"/>
    </row>
    <row r="147" spans="2:23">
      <c r="B147"/>
      <c r="C147"/>
      <c r="D147"/>
      <c r="U147" s="30"/>
      <c r="V147" s="151"/>
      <c r="W147" s="151"/>
    </row>
    <row r="148" spans="2:23">
      <c r="B148"/>
      <c r="C148"/>
      <c r="D148"/>
      <c r="U148" s="30"/>
      <c r="V148" s="151"/>
      <c r="W148" s="151"/>
    </row>
    <row r="149" spans="2:23">
      <c r="B149"/>
      <c r="C149"/>
      <c r="D149"/>
      <c r="U149" s="30"/>
      <c r="V149" s="151"/>
      <c r="W149" s="151"/>
    </row>
    <row r="150" spans="2:23">
      <c r="B150"/>
      <c r="C150"/>
      <c r="D150"/>
      <c r="U150" s="30"/>
      <c r="V150" s="151"/>
      <c r="W150" s="151"/>
    </row>
    <row r="151" spans="2:23">
      <c r="B151"/>
      <c r="C151"/>
      <c r="D151"/>
      <c r="U151" s="30"/>
      <c r="V151" s="151"/>
      <c r="W151" s="151"/>
    </row>
    <row r="152" spans="2:23">
      <c r="B152"/>
      <c r="C152"/>
      <c r="D152"/>
      <c r="U152" s="30"/>
      <c r="V152" s="151"/>
      <c r="W152" s="151"/>
    </row>
    <row r="153" spans="2:23">
      <c r="B153"/>
      <c r="C153"/>
      <c r="D153"/>
      <c r="U153" s="30"/>
      <c r="V153" s="151"/>
      <c r="W153" s="151"/>
    </row>
    <row r="154" spans="2:23">
      <c r="B154"/>
      <c r="C154"/>
      <c r="D154"/>
      <c r="U154" s="29"/>
      <c r="V154" s="151"/>
      <c r="W154" s="151"/>
    </row>
    <row r="155" spans="2:23">
      <c r="B155"/>
      <c r="C155"/>
      <c r="D155"/>
      <c r="U155" s="30"/>
      <c r="V155" s="151"/>
      <c r="W155" s="151"/>
    </row>
    <row r="156" spans="2:23">
      <c r="B156"/>
      <c r="C156"/>
      <c r="D156"/>
      <c r="U156" s="30"/>
      <c r="V156" s="151"/>
      <c r="W156" s="151"/>
    </row>
    <row r="157" spans="2:23">
      <c r="B157"/>
      <c r="C157"/>
      <c r="D157"/>
      <c r="U157" s="30"/>
      <c r="V157" s="151"/>
      <c r="W157" s="151"/>
    </row>
    <row r="158" spans="2:23">
      <c r="B158"/>
      <c r="C158"/>
      <c r="D158"/>
      <c r="U158" s="30"/>
      <c r="V158" s="151"/>
      <c r="W158" s="151"/>
    </row>
    <row r="159" spans="2:23">
      <c r="B159"/>
      <c r="C159"/>
      <c r="D159"/>
      <c r="U159" s="30"/>
      <c r="V159" s="151"/>
      <c r="W159" s="151"/>
    </row>
    <row r="160" spans="2:23">
      <c r="B160"/>
      <c r="C160"/>
      <c r="D160"/>
      <c r="U160" s="30"/>
      <c r="V160" s="151"/>
      <c r="W160" s="151"/>
    </row>
    <row r="161" spans="2:23">
      <c r="B161"/>
      <c r="C161"/>
      <c r="D161"/>
      <c r="U161" s="30"/>
      <c r="V161" s="151"/>
      <c r="W161" s="151"/>
    </row>
    <row r="162" spans="2:23">
      <c r="B162"/>
      <c r="C162"/>
      <c r="D162"/>
      <c r="U162" s="30"/>
      <c r="V162" s="151"/>
      <c r="W162" s="151"/>
    </row>
    <row r="163" spans="2:23">
      <c r="B163"/>
      <c r="C163"/>
      <c r="D163"/>
      <c r="U163" s="30"/>
      <c r="V163" s="151"/>
      <c r="W163" s="151"/>
    </row>
    <row r="164" spans="2:23">
      <c r="B164"/>
      <c r="C164"/>
      <c r="D164"/>
      <c r="U164" s="30"/>
      <c r="V164" s="151"/>
      <c r="W164" s="151"/>
    </row>
    <row r="165" spans="2:23">
      <c r="B165"/>
      <c r="C165"/>
      <c r="D165"/>
      <c r="U165" s="30"/>
      <c r="V165" s="151"/>
      <c r="W165" s="151"/>
    </row>
    <row r="166" spans="2:23">
      <c r="B166"/>
      <c r="C166"/>
      <c r="D166"/>
      <c r="U166" s="29"/>
      <c r="V166" s="151"/>
      <c r="W166" s="151"/>
    </row>
    <row r="167" spans="2:23">
      <c r="B167"/>
      <c r="C167"/>
      <c r="D167"/>
      <c r="U167" s="30"/>
      <c r="V167" s="151"/>
      <c r="W167" s="151"/>
    </row>
    <row r="168" spans="2:23">
      <c r="B168"/>
      <c r="C168"/>
      <c r="D168"/>
      <c r="U168" s="30"/>
      <c r="V168" s="151"/>
      <c r="W168" s="151"/>
    </row>
    <row r="169" spans="2:23">
      <c r="B169"/>
      <c r="C169"/>
      <c r="D169"/>
      <c r="U169" s="30"/>
      <c r="V169" s="151"/>
      <c r="W169" s="151"/>
    </row>
    <row r="170" spans="2:23">
      <c r="B170"/>
      <c r="C170"/>
      <c r="D170"/>
      <c r="U170" s="30"/>
      <c r="V170" s="151"/>
      <c r="W170" s="151"/>
    </row>
    <row r="171" spans="2:23">
      <c r="B171"/>
      <c r="C171"/>
      <c r="D171"/>
      <c r="U171" s="30"/>
      <c r="V171" s="151"/>
      <c r="W171" s="151"/>
    </row>
    <row r="172" spans="2:23">
      <c r="B172"/>
      <c r="C172"/>
      <c r="D172"/>
      <c r="U172" s="30"/>
      <c r="V172" s="151"/>
      <c r="W172" s="151"/>
    </row>
    <row r="173" spans="2:23">
      <c r="B173"/>
      <c r="C173"/>
      <c r="D173"/>
      <c r="U173" s="30"/>
      <c r="V173" s="151"/>
      <c r="W173" s="151"/>
    </row>
    <row r="174" spans="2:23">
      <c r="B174"/>
      <c r="C174"/>
      <c r="D174"/>
      <c r="U174" s="30"/>
      <c r="V174" s="151"/>
      <c r="W174" s="151"/>
    </row>
    <row r="175" spans="2:23">
      <c r="B175"/>
      <c r="C175"/>
      <c r="D175"/>
      <c r="U175" s="30"/>
      <c r="V175" s="151"/>
      <c r="W175" s="151"/>
    </row>
    <row r="176" spans="2:23">
      <c r="B176"/>
      <c r="C176"/>
      <c r="D176"/>
      <c r="U176" s="30"/>
      <c r="V176" s="151"/>
      <c r="W176" s="151"/>
    </row>
    <row r="177" spans="2:23">
      <c r="B177"/>
      <c r="C177"/>
      <c r="D177"/>
      <c r="U177" s="29"/>
      <c r="V177" s="151"/>
      <c r="W177" s="151"/>
    </row>
    <row r="178" spans="2:23">
      <c r="B178"/>
      <c r="C178"/>
      <c r="D178"/>
      <c r="U178" s="30"/>
      <c r="V178" s="151"/>
      <c r="W178" s="151"/>
    </row>
    <row r="179" spans="2:23">
      <c r="B179"/>
      <c r="C179"/>
      <c r="D179"/>
      <c r="U179" s="30"/>
      <c r="V179" s="151"/>
      <c r="W179" s="151"/>
    </row>
    <row r="180" spans="2:23">
      <c r="B180"/>
      <c r="C180"/>
      <c r="D180"/>
      <c r="U180" s="30"/>
      <c r="V180" s="151"/>
      <c r="W180" s="151"/>
    </row>
    <row r="181" spans="2:23">
      <c r="B181"/>
      <c r="C181"/>
      <c r="D181"/>
      <c r="U181" s="30"/>
      <c r="V181" s="151"/>
      <c r="W181" s="151"/>
    </row>
    <row r="182" spans="2:23">
      <c r="B182"/>
      <c r="C182"/>
      <c r="D182"/>
      <c r="U182" s="30"/>
      <c r="V182" s="151"/>
      <c r="W182" s="151"/>
    </row>
    <row r="183" spans="2:23">
      <c r="B183"/>
      <c r="C183"/>
      <c r="D183"/>
      <c r="U183" s="30"/>
      <c r="V183" s="151"/>
      <c r="W183" s="151"/>
    </row>
    <row r="184" spans="2:23">
      <c r="B184"/>
      <c r="C184"/>
      <c r="D184"/>
      <c r="U184" s="30"/>
      <c r="V184" s="151"/>
      <c r="W184" s="151"/>
    </row>
    <row r="185" spans="2:23">
      <c r="B185"/>
      <c r="C185"/>
      <c r="D185"/>
      <c r="U185" s="30"/>
      <c r="V185" s="151"/>
      <c r="W185" s="151"/>
    </row>
    <row r="186" spans="2:23">
      <c r="B186"/>
      <c r="C186"/>
      <c r="D186"/>
      <c r="U186" s="30"/>
      <c r="V186" s="151"/>
      <c r="W186" s="151"/>
    </row>
    <row r="187" spans="2:23">
      <c r="B187"/>
      <c r="C187"/>
      <c r="D187"/>
      <c r="U187" s="30"/>
      <c r="V187" s="151"/>
      <c r="W187" s="151"/>
    </row>
    <row r="188" spans="2:23">
      <c r="B188"/>
      <c r="C188"/>
      <c r="D188"/>
      <c r="U188" s="30"/>
      <c r="V188" s="151"/>
      <c r="W188" s="151"/>
    </row>
    <row r="189" spans="2:23">
      <c r="B189"/>
      <c r="C189"/>
      <c r="D189"/>
      <c r="U189" s="30"/>
      <c r="V189" s="151"/>
      <c r="W189" s="151"/>
    </row>
    <row r="190" spans="2:23">
      <c r="B190"/>
      <c r="C190"/>
      <c r="D190"/>
      <c r="U190" s="29"/>
      <c r="V190" s="151"/>
      <c r="W190" s="151"/>
    </row>
    <row r="191" spans="2:23">
      <c r="B191"/>
      <c r="C191"/>
      <c r="D191"/>
      <c r="U191" s="30"/>
      <c r="V191" s="151"/>
      <c r="W191" s="151"/>
    </row>
    <row r="192" spans="2:23">
      <c r="B192"/>
      <c r="C192"/>
      <c r="D192"/>
      <c r="U192" s="29"/>
      <c r="V192" s="151"/>
      <c r="W192" s="151"/>
    </row>
    <row r="193" spans="2:23">
      <c r="B193"/>
      <c r="C193"/>
      <c r="D193"/>
      <c r="U193" s="30"/>
      <c r="V193" s="151"/>
      <c r="W193" s="151"/>
    </row>
    <row r="194" spans="2:23">
      <c r="B194"/>
      <c r="C194"/>
      <c r="D194"/>
      <c r="U194" s="30"/>
      <c r="V194" s="151"/>
      <c r="W194" s="151"/>
    </row>
    <row r="195" spans="2:23">
      <c r="B195"/>
      <c r="C195"/>
      <c r="D195"/>
      <c r="U195" s="30"/>
      <c r="V195" s="151"/>
      <c r="W195" s="151"/>
    </row>
    <row r="196" spans="2:23">
      <c r="B196"/>
      <c r="C196"/>
      <c r="D196"/>
      <c r="U196" s="30"/>
      <c r="V196" s="151"/>
      <c r="W196" s="151"/>
    </row>
    <row r="197" spans="2:23">
      <c r="B197"/>
      <c r="C197"/>
      <c r="D197"/>
      <c r="U197" s="30"/>
      <c r="V197" s="151"/>
      <c r="W197" s="151"/>
    </row>
    <row r="198" spans="2:23">
      <c r="B198"/>
      <c r="C198"/>
      <c r="D198"/>
      <c r="U198" s="30"/>
      <c r="V198" s="151"/>
      <c r="W198" s="151"/>
    </row>
    <row r="199" spans="2:23">
      <c r="B199"/>
      <c r="C199"/>
      <c r="D199"/>
      <c r="U199" s="29"/>
      <c r="V199" s="151"/>
      <c r="W199" s="151"/>
    </row>
    <row r="200" spans="2:23">
      <c r="B200"/>
      <c r="C200"/>
      <c r="D200"/>
      <c r="U200" s="30"/>
      <c r="V200" s="151"/>
      <c r="W200" s="151"/>
    </row>
    <row r="201" spans="2:23">
      <c r="B201"/>
      <c r="C201"/>
      <c r="D201"/>
      <c r="U201" s="30"/>
      <c r="V201" s="151"/>
      <c r="W201" s="151"/>
    </row>
    <row r="202" spans="2:23">
      <c r="B202"/>
      <c r="C202"/>
      <c r="D202"/>
      <c r="U202" s="30"/>
      <c r="V202" s="151"/>
      <c r="W202" s="151"/>
    </row>
    <row r="203" spans="2:23">
      <c r="B203"/>
      <c r="C203"/>
      <c r="D203"/>
      <c r="U203" s="30"/>
      <c r="V203" s="151"/>
      <c r="W203" s="151"/>
    </row>
    <row r="204" spans="2:23">
      <c r="B204"/>
      <c r="C204"/>
      <c r="D204"/>
      <c r="U204" s="30"/>
      <c r="V204" s="151"/>
      <c r="W204" s="151"/>
    </row>
    <row r="205" spans="2:23">
      <c r="B205"/>
      <c r="C205"/>
      <c r="D205"/>
      <c r="U205" s="30"/>
      <c r="V205" s="151"/>
      <c r="W205" s="151"/>
    </row>
    <row r="206" spans="2:23">
      <c r="B206"/>
      <c r="C206"/>
      <c r="D206"/>
      <c r="U206" s="30"/>
      <c r="V206" s="151"/>
      <c r="W206" s="151"/>
    </row>
    <row r="207" spans="2:23">
      <c r="B207"/>
      <c r="C207"/>
      <c r="D207"/>
      <c r="U207" s="30"/>
      <c r="V207" s="151"/>
      <c r="W207" s="151"/>
    </row>
    <row r="208" spans="2:23">
      <c r="B208"/>
      <c r="C208"/>
      <c r="D208"/>
      <c r="U208" s="30"/>
      <c r="V208" s="151"/>
      <c r="W208" s="151"/>
    </row>
    <row r="209" spans="2:23">
      <c r="B209"/>
      <c r="C209"/>
      <c r="D209"/>
      <c r="U209" s="30"/>
      <c r="V209" s="151"/>
      <c r="W209" s="151"/>
    </row>
    <row r="210" spans="2:23">
      <c r="B210"/>
      <c r="C210"/>
      <c r="D210"/>
      <c r="U210" s="30"/>
      <c r="V210" s="151"/>
      <c r="W210" s="151"/>
    </row>
    <row r="211" spans="2:23">
      <c r="B211"/>
      <c r="C211"/>
      <c r="D211"/>
      <c r="U211" s="30"/>
      <c r="V211" s="151"/>
      <c r="W211" s="151"/>
    </row>
    <row r="212" spans="2:23">
      <c r="B212"/>
      <c r="C212"/>
      <c r="D212"/>
      <c r="U212" s="29"/>
      <c r="V212" s="151"/>
      <c r="W212" s="151"/>
    </row>
    <row r="213" spans="2:23">
      <c r="B213"/>
      <c r="C213"/>
      <c r="D213"/>
      <c r="U213" s="30"/>
      <c r="V213" s="151"/>
      <c r="W213" s="151"/>
    </row>
    <row r="214" spans="2:23">
      <c r="B214"/>
      <c r="C214"/>
      <c r="D214"/>
      <c r="U214" s="30"/>
      <c r="V214" s="151"/>
      <c r="W214" s="151"/>
    </row>
    <row r="215" spans="2:23">
      <c r="B215"/>
      <c r="C215"/>
      <c r="D215"/>
      <c r="U215" s="30"/>
      <c r="V215" s="151"/>
      <c r="W215" s="151"/>
    </row>
    <row r="216" spans="2:23">
      <c r="B216"/>
      <c r="C216"/>
      <c r="D216"/>
      <c r="U216" s="30"/>
      <c r="V216" s="151"/>
      <c r="W216" s="151"/>
    </row>
    <row r="217" spans="2:23">
      <c r="B217"/>
      <c r="C217"/>
      <c r="D217"/>
      <c r="U217" s="29"/>
      <c r="V217" s="151"/>
      <c r="W217" s="151"/>
    </row>
    <row r="218" spans="2:23">
      <c r="B218"/>
      <c r="C218"/>
      <c r="D218"/>
      <c r="U218" s="30"/>
      <c r="V218" s="151"/>
      <c r="W218" s="151"/>
    </row>
    <row r="219" spans="2:23">
      <c r="B219"/>
      <c r="C219"/>
      <c r="D219"/>
      <c r="U219" s="30"/>
      <c r="V219" s="151"/>
      <c r="W219" s="151"/>
    </row>
    <row r="220" spans="2:23">
      <c r="B220"/>
      <c r="C220"/>
      <c r="D220"/>
      <c r="U220" s="30"/>
      <c r="V220" s="151"/>
      <c r="W220" s="151"/>
    </row>
    <row r="221" spans="2:23">
      <c r="B221"/>
      <c r="C221"/>
      <c r="D221"/>
      <c r="U221" s="30"/>
      <c r="V221" s="151"/>
      <c r="W221" s="151"/>
    </row>
    <row r="222" spans="2:23">
      <c r="B222"/>
      <c r="C222"/>
      <c r="D222"/>
      <c r="U222" s="30"/>
      <c r="V222" s="151"/>
      <c r="W222" s="151"/>
    </row>
    <row r="223" spans="2:23">
      <c r="B223"/>
      <c r="C223"/>
      <c r="D223"/>
      <c r="U223" s="30"/>
      <c r="V223" s="151"/>
      <c r="W223" s="151"/>
    </row>
    <row r="224" spans="2:23">
      <c r="B224"/>
      <c r="C224"/>
      <c r="D224"/>
      <c r="U224" s="30"/>
      <c r="V224" s="151"/>
      <c r="W224" s="151"/>
    </row>
    <row r="225" spans="2:23">
      <c r="B225"/>
      <c r="C225"/>
      <c r="D225"/>
      <c r="U225" s="30"/>
      <c r="V225" s="151"/>
      <c r="W225" s="151"/>
    </row>
    <row r="226" spans="2:23">
      <c r="B226"/>
      <c r="C226"/>
      <c r="D226"/>
      <c r="U226" s="30"/>
      <c r="V226" s="151"/>
      <c r="W226" s="151"/>
    </row>
    <row r="227" spans="2:23">
      <c r="B227"/>
      <c r="C227"/>
      <c r="D227"/>
      <c r="U227" s="29"/>
      <c r="V227" s="151"/>
      <c r="W227" s="151"/>
    </row>
    <row r="228" spans="2:23">
      <c r="B228"/>
      <c r="C228"/>
      <c r="D228"/>
      <c r="U228" s="30"/>
      <c r="V228" s="151"/>
      <c r="W228" s="151"/>
    </row>
    <row r="229" spans="2:23">
      <c r="B229"/>
      <c r="C229"/>
      <c r="D229"/>
      <c r="U229" s="30"/>
      <c r="V229" s="151"/>
      <c r="W229" s="151"/>
    </row>
    <row r="230" spans="2:23">
      <c r="B230"/>
      <c r="C230"/>
      <c r="D230"/>
      <c r="U230" s="30"/>
      <c r="V230" s="151"/>
      <c r="W230" s="151"/>
    </row>
    <row r="231" spans="2:23">
      <c r="B231"/>
      <c r="C231"/>
      <c r="D231"/>
      <c r="U231" s="30"/>
      <c r="V231" s="151"/>
      <c r="W231" s="151"/>
    </row>
    <row r="232" spans="2:23">
      <c r="B232"/>
      <c r="C232"/>
      <c r="D232"/>
      <c r="U232" s="30"/>
      <c r="V232" s="151"/>
      <c r="W232" s="151"/>
    </row>
    <row r="233" spans="2:23">
      <c r="B233"/>
      <c r="C233"/>
      <c r="D233"/>
      <c r="U233" s="30"/>
      <c r="V233" s="151"/>
      <c r="W233" s="151"/>
    </row>
    <row r="234" spans="2:23">
      <c r="B234"/>
      <c r="C234"/>
      <c r="D234"/>
      <c r="U234" s="30"/>
      <c r="V234" s="151"/>
      <c r="W234" s="151"/>
    </row>
    <row r="235" spans="2:23">
      <c r="B235"/>
      <c r="C235"/>
      <c r="D235"/>
      <c r="U235" s="30"/>
      <c r="V235" s="151"/>
      <c r="W235" s="151"/>
    </row>
    <row r="236" spans="2:23">
      <c r="B236"/>
      <c r="C236"/>
      <c r="D236"/>
      <c r="U236" s="29"/>
      <c r="V236" s="151"/>
      <c r="W236" s="151"/>
    </row>
    <row r="237" spans="2:23">
      <c r="B237"/>
      <c r="C237"/>
      <c r="D237"/>
    </row>
    <row r="238" spans="2:23">
      <c r="B238"/>
      <c r="C238"/>
      <c r="D238"/>
    </row>
    <row r="239" spans="2:23">
      <c r="B239"/>
      <c r="C239"/>
      <c r="D239"/>
    </row>
    <row r="240" spans="2:23">
      <c r="B240"/>
      <c r="C240"/>
      <c r="D240"/>
    </row>
    <row r="241" spans="2:4">
      <c r="B241"/>
      <c r="C241"/>
      <c r="D241"/>
    </row>
    <row r="242" spans="2:4">
      <c r="B242"/>
      <c r="C242"/>
      <c r="D242"/>
    </row>
    <row r="243" spans="2:4">
      <c r="B243"/>
      <c r="C243"/>
      <c r="D243"/>
    </row>
  </sheetData>
  <conditionalFormatting sqref="G26">
    <cfRule type="cellIs" dxfId="163" priority="1" operator="lessThan">
      <formula>0.01</formula>
    </cfRule>
    <cfRule type="cellIs" dxfId="162" priority="2" operator="greaterThan">
      <formula>0.0099</formula>
    </cfRule>
  </conditionalFormatting>
  <pageMargins left="0.70866141732283472" right="0.70866141732283472" top="0.74803149606299213" bottom="0.74803149606299213" header="0.31496062992125984" footer="0.31496062992125984"/>
  <pageSetup paperSize="9" scale="70" orientation="landscape" r:id="rId2"/>
  <headerFooter>
    <oddHeader>&amp;RPage &amp;P&amp;C&amp;A</oddHeader>
    <oddFooter>&amp;CPage &amp;P of &amp;N</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BF09F"/>
    <pageSetUpPr fitToPage="1"/>
  </sheetPr>
  <dimension ref="A1:AH9176"/>
  <sheetViews>
    <sheetView showGridLines="0" showRowColHeaders="0" topLeftCell="A4" zoomScale="90" zoomScaleNormal="90" workbookViewId="0">
      <pane ySplit="8" topLeftCell="A14" activePane="bottomLeft" state="frozen"/>
      <selection activeCell="A4" sqref="A4"/>
      <selection pane="bottomLeft" activeCell="A4" sqref="A4"/>
    </sheetView>
  </sheetViews>
  <sheetFormatPr defaultColWidth="0" defaultRowHeight="15" zeroHeight="1"/>
  <cols>
    <col min="1" max="1" width="3.08984375" style="23" customWidth="1"/>
    <col min="2" max="2" width="34.453125" style="23" customWidth="1"/>
    <col min="3" max="3" width="12.453125" style="23" customWidth="1"/>
    <col min="4" max="4" width="9.6328125" style="23" customWidth="1"/>
    <col min="5" max="5" width="7.1796875" style="23" bestFit="1" customWidth="1"/>
    <col min="6" max="6" width="3.08984375" style="23" customWidth="1"/>
    <col min="7" max="7" width="2.90625" style="23" customWidth="1"/>
    <col min="8" max="8" width="27.1796875" style="23" customWidth="1"/>
    <col min="9" max="9" width="47.54296875" style="23" bestFit="1" customWidth="1"/>
    <col min="10" max="10" width="10.81640625" style="23" customWidth="1"/>
    <col min="11" max="11" width="7.1796875" style="23" customWidth="1"/>
    <col min="12" max="12" width="7.1796875" style="23" bestFit="1" customWidth="1"/>
    <col min="13" max="13" width="2.36328125" style="23" customWidth="1"/>
    <col min="14" max="17" width="27.36328125" style="23" hidden="1" customWidth="1"/>
    <col min="18" max="18" width="27.54296875" style="23" hidden="1" customWidth="1"/>
    <col min="19" max="19" width="23.08984375" style="23" hidden="1" customWidth="1"/>
    <col min="20" max="20" width="18.36328125" style="23" hidden="1" customWidth="1"/>
    <col min="21" max="21" width="22.81640625" style="23" hidden="1" customWidth="1"/>
    <col min="22" max="22" width="18.36328125" style="23" hidden="1" customWidth="1"/>
    <col min="23" max="23" width="22.81640625" style="23" hidden="1" customWidth="1"/>
    <col min="24" max="24" width="18.36328125" style="23" hidden="1" customWidth="1"/>
    <col min="25" max="25" width="22.81640625" style="23" hidden="1" customWidth="1"/>
    <col min="26" max="26" width="18.36328125" style="23" hidden="1" customWidth="1"/>
    <col min="27" max="27" width="22.81640625" style="23" hidden="1" customWidth="1"/>
    <col min="28" max="28" width="18.36328125" style="23" hidden="1" customWidth="1"/>
    <col min="29" max="29" width="22.81640625" style="23" hidden="1" customWidth="1"/>
    <col min="30" max="30" width="18.36328125" style="23" hidden="1" customWidth="1"/>
    <col min="31" max="31" width="24" style="23" hidden="1" customWidth="1"/>
    <col min="32" max="32" width="18.36328125" style="23" hidden="1" customWidth="1"/>
    <col min="33" max="33" width="27.54296875" style="23" hidden="1" customWidth="1"/>
    <col min="34" max="34" width="23.08984375" style="23" hidden="1" customWidth="1"/>
    <col min="35" max="16384" width="8.90625" style="23" hidden="1"/>
  </cols>
  <sheetData>
    <row r="1" spans="2:20" hidden="1">
      <c r="F1" s="145"/>
      <c r="G1" s="145"/>
    </row>
    <row r="2" spans="2:20" hidden="1">
      <c r="F2" s="145"/>
      <c r="G2" s="145"/>
    </row>
    <row r="3" spans="2:20" hidden="1">
      <c r="F3" s="145"/>
      <c r="G3" s="145"/>
      <c r="Q3" s="71"/>
      <c r="R3" s="71"/>
      <c r="S3" s="71"/>
      <c r="T3" s="71"/>
    </row>
    <row r="4" spans="2:20" ht="9" customHeight="1">
      <c r="B4" s="133"/>
      <c r="C4" s="133"/>
      <c r="D4" s="133"/>
      <c r="E4" s="133"/>
      <c r="F4" s="167"/>
      <c r="G4" s="167"/>
      <c r="H4" s="133"/>
      <c r="I4" s="133"/>
      <c r="J4" s="167"/>
      <c r="K4" s="167"/>
      <c r="L4" s="133"/>
      <c r="R4" s="71"/>
      <c r="S4" s="71"/>
      <c r="T4" s="71"/>
    </row>
    <row r="5" spans="2:20" ht="12" customHeight="1">
      <c r="B5" s="133"/>
      <c r="C5" s="133"/>
      <c r="D5" s="133"/>
      <c r="E5" s="133"/>
      <c r="F5" s="167"/>
      <c r="G5" s="167"/>
      <c r="H5" s="133"/>
      <c r="I5" s="133"/>
      <c r="J5" s="167"/>
      <c r="K5" s="167"/>
      <c r="L5" s="133"/>
      <c r="R5" s="71"/>
      <c r="S5" s="71"/>
      <c r="T5" s="71"/>
    </row>
    <row r="6" spans="2:20">
      <c r="B6" s="133"/>
      <c r="C6" s="133"/>
      <c r="D6" s="133"/>
      <c r="E6" s="133"/>
      <c r="F6" s="167"/>
      <c r="G6" s="167"/>
      <c r="H6" s="133"/>
      <c r="I6" s="133"/>
      <c r="J6" s="167"/>
      <c r="K6" s="167"/>
      <c r="L6" s="133"/>
      <c r="R6" s="71"/>
    </row>
    <row r="7" spans="2:20">
      <c r="B7" s="133"/>
      <c r="C7" s="133"/>
      <c r="D7" s="133"/>
      <c r="E7" s="133"/>
      <c r="F7" s="167"/>
      <c r="G7" s="167"/>
      <c r="H7" s="133"/>
      <c r="I7" s="133"/>
      <c r="J7" s="167"/>
      <c r="K7" s="167"/>
      <c r="L7" s="133"/>
      <c r="R7" s="71"/>
    </row>
    <row r="8" spans="2:20" ht="7.5" customHeight="1">
      <c r="B8" s="133"/>
      <c r="C8" s="133"/>
      <c r="D8" s="133"/>
      <c r="E8" s="133"/>
      <c r="F8" s="167"/>
      <c r="G8" s="167"/>
      <c r="H8" s="133"/>
      <c r="I8" s="133"/>
      <c r="J8" s="167"/>
      <c r="K8" s="167"/>
      <c r="L8" s="133"/>
      <c r="R8" s="71"/>
    </row>
    <row r="9" spans="2:20" ht="7.5" customHeight="1">
      <c r="B9" s="133"/>
      <c r="C9" s="133"/>
      <c r="D9" s="133"/>
      <c r="E9" s="133"/>
      <c r="F9" s="167"/>
      <c r="G9" s="167"/>
      <c r="H9" s="133"/>
      <c r="I9" s="133"/>
      <c r="J9" s="167"/>
      <c r="K9" s="167"/>
      <c r="L9" s="133"/>
      <c r="R9" s="71"/>
    </row>
    <row r="10" spans="2:20">
      <c r="B10" s="133" t="s">
        <v>274</v>
      </c>
      <c r="C10" s="133"/>
      <c r="D10" s="133"/>
      <c r="E10" s="133"/>
      <c r="F10" s="167"/>
      <c r="G10" s="167"/>
      <c r="H10" s="133"/>
      <c r="I10" s="133"/>
      <c r="J10" s="167"/>
      <c r="K10" s="167"/>
      <c r="L10" s="133"/>
      <c r="R10" s="71"/>
    </row>
    <row r="11" spans="2:20" ht="14.25" customHeight="1">
      <c r="B11" s="133" t="s">
        <v>275</v>
      </c>
      <c r="C11" s="133"/>
      <c r="D11" s="133"/>
      <c r="E11" s="133"/>
      <c r="F11" s="167"/>
      <c r="G11" s="167"/>
      <c r="H11" s="133"/>
      <c r="I11" s="133"/>
      <c r="J11" s="167"/>
      <c r="K11" s="167"/>
      <c r="L11" s="133"/>
      <c r="R11" s="71"/>
    </row>
    <row r="12" spans="2:20" ht="12.75" customHeight="1">
      <c r="B12" s="133"/>
      <c r="C12" s="133"/>
      <c r="D12" s="133"/>
      <c r="E12" s="133"/>
      <c r="F12" s="167"/>
      <c r="G12" s="167"/>
      <c r="H12" s="133"/>
      <c r="I12" s="133"/>
      <c r="J12" s="167"/>
      <c r="K12" s="167"/>
      <c r="L12" s="133"/>
      <c r="R12" s="71"/>
    </row>
    <row r="13" spans="2:20" ht="5.25" customHeight="1"/>
    <row r="14" spans="2:20" ht="28.2">
      <c r="B14" s="211" t="s">
        <v>221</v>
      </c>
      <c r="H14" s="211" t="s">
        <v>222</v>
      </c>
    </row>
    <row r="15" spans="2:20" hidden="1"/>
    <row r="16" spans="2:20" hidden="1"/>
    <row r="17" spans="2:19" hidden="1"/>
    <row r="18" spans="2:19" hidden="1"/>
    <row r="19" spans="2:19" hidden="1">
      <c r="B19" s="249" t="s">
        <v>143</v>
      </c>
      <c r="C19" s="250" t="s" vm="959">
        <v>516</v>
      </c>
      <c r="H19" s="249" t="s">
        <v>143</v>
      </c>
      <c r="I19" s="250" t="s" vm="959">
        <v>516</v>
      </c>
    </row>
    <row r="20" spans="2:19" hidden="1">
      <c r="B20" s="249" t="s">
        <v>3</v>
      </c>
      <c r="C20" s="250" t="s" vm="949">
        <v>405</v>
      </c>
      <c r="H20" s="249" t="s">
        <v>3</v>
      </c>
      <c r="I20" s="250" t="s" vm="949">
        <v>405</v>
      </c>
    </row>
    <row r="21" spans="2:19" hidden="1">
      <c r="B21" s="249" t="s">
        <v>21</v>
      </c>
      <c r="C21" s="250" t="s" vm="941">
        <v>1</v>
      </c>
      <c r="H21" s="249" t="s">
        <v>21</v>
      </c>
      <c r="I21" s="250" t="s" vm="941">
        <v>1</v>
      </c>
    </row>
    <row r="22" spans="2:19" hidden="1">
      <c r="B22" s="249" t="s">
        <v>0</v>
      </c>
      <c r="C22" s="250" t="s" vm="1">
        <v>2</v>
      </c>
      <c r="H22" s="249" t="s">
        <v>0</v>
      </c>
      <c r="I22" s="250" t="s" vm="1">
        <v>2</v>
      </c>
    </row>
    <row r="23" spans="2:19" ht="9.75" customHeight="1"/>
    <row r="24" spans="2:19" s="157" customFormat="1" ht="45">
      <c r="B24" s="253" t="s">
        <v>109</v>
      </c>
      <c r="C24" s="254" t="s">
        <v>110</v>
      </c>
      <c r="D24" s="254" t="s">
        <v>6</v>
      </c>
      <c r="E24" s="254" t="s">
        <v>111</v>
      </c>
      <c r="H24" s="258" t="s">
        <v>140</v>
      </c>
      <c r="I24" s="258" t="s">
        <v>141</v>
      </c>
      <c r="J24" s="262" t="s">
        <v>110</v>
      </c>
      <c r="K24" s="254" t="s">
        <v>6</v>
      </c>
      <c r="L24" s="262" t="s">
        <v>111</v>
      </c>
      <c r="M24" s="23"/>
      <c r="N24" s="23"/>
      <c r="O24" s="23"/>
      <c r="P24" s="23"/>
      <c r="Q24" s="23"/>
      <c r="R24" s="23"/>
      <c r="S24" s="23"/>
    </row>
    <row r="25" spans="2:19">
      <c r="B25" s="265" t="s">
        <v>1420</v>
      </c>
      <c r="C25" s="251">
        <v>2</v>
      </c>
      <c r="D25" s="251">
        <v>1</v>
      </c>
      <c r="E25" s="252">
        <v>1.3916916011411871E-4</v>
      </c>
      <c r="H25" s="250" t="s">
        <v>1420</v>
      </c>
      <c r="I25" s="250" t="s">
        <v>1451</v>
      </c>
      <c r="J25" s="251">
        <v>2</v>
      </c>
      <c r="K25" s="251">
        <v>1</v>
      </c>
      <c r="L25" s="252">
        <v>1.3916916011411871E-4</v>
      </c>
    </row>
    <row r="26" spans="2:19">
      <c r="B26" s="265" t="s">
        <v>1421</v>
      </c>
      <c r="C26" s="251">
        <v>2</v>
      </c>
      <c r="D26" s="251">
        <v>1</v>
      </c>
      <c r="E26" s="252">
        <v>1.3916916011411871E-4</v>
      </c>
      <c r="H26" s="250" t="s">
        <v>1421</v>
      </c>
      <c r="I26" s="250" t="s">
        <v>1452</v>
      </c>
      <c r="J26" s="251">
        <v>2</v>
      </c>
      <c r="K26" s="251">
        <v>1</v>
      </c>
      <c r="L26" s="252">
        <v>1.3916916011411871E-4</v>
      </c>
    </row>
    <row r="27" spans="2:19">
      <c r="B27" s="265" t="s">
        <v>1422</v>
      </c>
      <c r="C27" s="251">
        <v>1</v>
      </c>
      <c r="D27" s="251">
        <v>1</v>
      </c>
      <c r="E27" s="252">
        <v>6.9584580057059354E-5</v>
      </c>
      <c r="H27" s="250" t="s">
        <v>1422</v>
      </c>
      <c r="I27" s="250" t="s">
        <v>1453</v>
      </c>
      <c r="J27" s="251">
        <v>1</v>
      </c>
      <c r="K27" s="251">
        <v>1</v>
      </c>
      <c r="L27" s="252">
        <v>6.9584580057059354E-5</v>
      </c>
    </row>
    <row r="28" spans="2:19">
      <c r="B28" s="265" t="s">
        <v>1423</v>
      </c>
      <c r="C28" s="251">
        <v>1</v>
      </c>
      <c r="D28" s="251">
        <v>1</v>
      </c>
      <c r="E28" s="252">
        <v>6.9584580057059354E-5</v>
      </c>
      <c r="H28" s="250" t="s">
        <v>1423</v>
      </c>
      <c r="I28" s="250" t="s">
        <v>1454</v>
      </c>
      <c r="J28" s="251">
        <v>1</v>
      </c>
      <c r="K28" s="251">
        <v>1</v>
      </c>
      <c r="L28" s="252">
        <v>6.9584580057059354E-5</v>
      </c>
    </row>
    <row r="29" spans="2:19">
      <c r="B29" s="265" t="s">
        <v>1424</v>
      </c>
      <c r="C29" s="251">
        <v>10</v>
      </c>
      <c r="D29" s="251">
        <v>1</v>
      </c>
      <c r="E29" s="252">
        <v>6.958458005705936E-4</v>
      </c>
      <c r="H29" s="250" t="s">
        <v>1424</v>
      </c>
      <c r="I29" s="250" t="s">
        <v>1455</v>
      </c>
      <c r="J29" s="251">
        <v>10</v>
      </c>
      <c r="K29" s="251">
        <v>1</v>
      </c>
      <c r="L29" s="252">
        <v>6.958458005705936E-4</v>
      </c>
    </row>
    <row r="30" spans="2:19">
      <c r="B30" s="265" t="s">
        <v>1425</v>
      </c>
      <c r="C30" s="251">
        <v>1</v>
      </c>
      <c r="D30" s="251">
        <v>1</v>
      </c>
      <c r="E30" s="252">
        <v>6.9584580057059354E-5</v>
      </c>
      <c r="H30" s="250" t="s">
        <v>1425</v>
      </c>
      <c r="I30" s="250" t="s">
        <v>1456</v>
      </c>
      <c r="J30" s="251">
        <v>1</v>
      </c>
      <c r="K30" s="251">
        <v>1</v>
      </c>
      <c r="L30" s="252">
        <v>6.9584580057059354E-5</v>
      </c>
    </row>
    <row r="31" spans="2:19">
      <c r="B31" s="265" t="s">
        <v>1426</v>
      </c>
      <c r="C31" s="251">
        <v>2</v>
      </c>
      <c r="D31" s="251">
        <v>1</v>
      </c>
      <c r="E31" s="252">
        <v>1.3916916011411871E-4</v>
      </c>
      <c r="H31" s="250" t="s">
        <v>1426</v>
      </c>
      <c r="I31" s="250" t="s">
        <v>1457</v>
      </c>
      <c r="J31" s="251">
        <v>2</v>
      </c>
      <c r="K31" s="251">
        <v>1</v>
      </c>
      <c r="L31" s="252">
        <v>1.3916916011411871E-4</v>
      </c>
    </row>
    <row r="32" spans="2:19">
      <c r="B32" s="265" t="s">
        <v>1427</v>
      </c>
      <c r="C32" s="251">
        <v>1</v>
      </c>
      <c r="D32" s="251">
        <v>1</v>
      </c>
      <c r="E32" s="252">
        <v>6.9584580057059354E-5</v>
      </c>
      <c r="H32" s="250" t="s">
        <v>1427</v>
      </c>
      <c r="I32" s="250" t="s">
        <v>1458</v>
      </c>
      <c r="J32" s="251">
        <v>1</v>
      </c>
      <c r="K32" s="251">
        <v>1</v>
      </c>
      <c r="L32" s="252">
        <v>6.9584580057059354E-5</v>
      </c>
    </row>
    <row r="33" spans="2:12">
      <c r="B33" s="265" t="s">
        <v>1428</v>
      </c>
      <c r="C33" s="251">
        <v>30</v>
      </c>
      <c r="D33" s="251">
        <v>26</v>
      </c>
      <c r="E33" s="252">
        <v>2.0875374017117806E-3</v>
      </c>
      <c r="H33" s="250" t="s">
        <v>1428</v>
      </c>
      <c r="I33" s="250" t="s">
        <v>1459</v>
      </c>
      <c r="J33" s="251">
        <v>1</v>
      </c>
      <c r="K33" s="251">
        <v>1</v>
      </c>
      <c r="L33" s="252">
        <v>6.9584580057059354E-5</v>
      </c>
    </row>
    <row r="34" spans="2:12">
      <c r="B34" s="265" t="s">
        <v>1360</v>
      </c>
      <c r="C34" s="251">
        <v>2</v>
      </c>
      <c r="D34" s="251">
        <v>1</v>
      </c>
      <c r="E34" s="252">
        <v>1.3916916011411871E-4</v>
      </c>
      <c r="H34" s="250" t="s">
        <v>1428</v>
      </c>
      <c r="I34" s="250" t="s">
        <v>1460</v>
      </c>
      <c r="J34" s="251">
        <v>1</v>
      </c>
      <c r="K34" s="251">
        <v>1</v>
      </c>
      <c r="L34" s="252">
        <v>6.9584580057059354E-5</v>
      </c>
    </row>
    <row r="35" spans="2:12">
      <c r="B35" s="265" t="s">
        <v>1429</v>
      </c>
      <c r="C35" s="251">
        <v>1</v>
      </c>
      <c r="D35" s="251">
        <v>1</v>
      </c>
      <c r="E35" s="252">
        <v>6.9584580057059354E-5</v>
      </c>
      <c r="H35" s="250" t="s">
        <v>1428</v>
      </c>
      <c r="I35" s="250" t="s">
        <v>1461</v>
      </c>
      <c r="J35" s="251">
        <v>3</v>
      </c>
      <c r="K35" s="251">
        <v>3</v>
      </c>
      <c r="L35" s="252">
        <v>2.0875374017117806E-4</v>
      </c>
    </row>
    <row r="36" spans="2:12">
      <c r="B36" s="265" t="s">
        <v>1430</v>
      </c>
      <c r="C36" s="251">
        <v>260</v>
      </c>
      <c r="D36" s="251">
        <v>161</v>
      </c>
      <c r="E36" s="252">
        <v>1.8091990814835434E-2</v>
      </c>
      <c r="H36" s="250" t="s">
        <v>1428</v>
      </c>
      <c r="I36" s="250" t="s">
        <v>1462</v>
      </c>
      <c r="J36" s="251">
        <v>1</v>
      </c>
      <c r="K36" s="251">
        <v>1</v>
      </c>
      <c r="L36" s="252">
        <v>6.9584580057059354E-5</v>
      </c>
    </row>
    <row r="37" spans="2:12">
      <c r="B37" s="265" t="s">
        <v>1364</v>
      </c>
      <c r="C37" s="251">
        <v>16</v>
      </c>
      <c r="D37" s="251">
        <v>1</v>
      </c>
      <c r="E37" s="252">
        <v>1.1133532809129497E-3</v>
      </c>
      <c r="H37" s="250" t="s">
        <v>1428</v>
      </c>
      <c r="I37" s="250" t="s">
        <v>1463</v>
      </c>
      <c r="J37" s="251">
        <v>1</v>
      </c>
      <c r="K37" s="251">
        <v>1</v>
      </c>
      <c r="L37" s="252">
        <v>6.9584580057059354E-5</v>
      </c>
    </row>
    <row r="38" spans="2:12">
      <c r="B38" s="265" t="s">
        <v>1431</v>
      </c>
      <c r="C38" s="251">
        <v>116</v>
      </c>
      <c r="D38" s="251">
        <v>70</v>
      </c>
      <c r="E38" s="252">
        <v>8.0718112866188848E-3</v>
      </c>
      <c r="H38" s="250" t="s">
        <v>1428</v>
      </c>
      <c r="I38" s="250" t="s">
        <v>1464</v>
      </c>
      <c r="J38" s="251">
        <v>2</v>
      </c>
      <c r="K38" s="251">
        <v>2</v>
      </c>
      <c r="L38" s="252">
        <v>1.3916916011411871E-4</v>
      </c>
    </row>
    <row r="39" spans="2:12">
      <c r="B39" s="265" t="s">
        <v>1432</v>
      </c>
      <c r="C39" s="251">
        <v>119</v>
      </c>
      <c r="D39" s="251">
        <v>83</v>
      </c>
      <c r="E39" s="252">
        <v>8.2805650267900634E-3</v>
      </c>
      <c r="H39" s="250" t="s">
        <v>1428</v>
      </c>
      <c r="I39" s="250" t="s">
        <v>1465</v>
      </c>
      <c r="J39" s="251">
        <v>4</v>
      </c>
      <c r="K39" s="251">
        <v>3</v>
      </c>
      <c r="L39" s="252">
        <v>2.7833832022823742E-4</v>
      </c>
    </row>
    <row r="40" spans="2:12">
      <c r="B40" s="265" t="s">
        <v>1433</v>
      </c>
      <c r="C40" s="251">
        <v>4</v>
      </c>
      <c r="D40" s="251">
        <v>1</v>
      </c>
      <c r="E40" s="252">
        <v>2.7833832022823742E-4</v>
      </c>
      <c r="H40" s="250" t="s">
        <v>1428</v>
      </c>
      <c r="I40" s="250" t="s">
        <v>1466</v>
      </c>
      <c r="J40" s="251">
        <v>2</v>
      </c>
      <c r="K40" s="251">
        <v>2</v>
      </c>
      <c r="L40" s="252">
        <v>1.3916916011411871E-4</v>
      </c>
    </row>
    <row r="41" spans="2:12">
      <c r="B41" s="265" t="s">
        <v>1434</v>
      </c>
      <c r="C41" s="251">
        <v>133</v>
      </c>
      <c r="D41" s="251">
        <v>101</v>
      </c>
      <c r="E41" s="252">
        <v>9.2547491475888938E-3</v>
      </c>
      <c r="H41" s="250" t="s">
        <v>1428</v>
      </c>
      <c r="I41" s="250" t="s">
        <v>1467</v>
      </c>
      <c r="J41" s="251">
        <v>1</v>
      </c>
      <c r="K41" s="251">
        <v>1</v>
      </c>
      <c r="L41" s="252">
        <v>6.9584580057059354E-5</v>
      </c>
    </row>
    <row r="42" spans="2:12">
      <c r="B42" s="265" t="s">
        <v>502</v>
      </c>
      <c r="C42" s="251">
        <v>12</v>
      </c>
      <c r="D42" s="251">
        <v>5</v>
      </c>
      <c r="E42" s="252">
        <v>8.3501496068471225E-4</v>
      </c>
      <c r="H42" s="250" t="s">
        <v>1428</v>
      </c>
      <c r="I42" s="250" t="s">
        <v>1468</v>
      </c>
      <c r="J42" s="251">
        <v>5</v>
      </c>
      <c r="K42" s="251">
        <v>4</v>
      </c>
      <c r="L42" s="252">
        <v>3.479229002852968E-4</v>
      </c>
    </row>
    <row r="43" spans="2:12">
      <c r="B43" s="265" t="s">
        <v>1373</v>
      </c>
      <c r="C43" s="251">
        <v>1</v>
      </c>
      <c r="D43" s="251">
        <v>1</v>
      </c>
      <c r="E43" s="252">
        <v>6.9584580057059354E-5</v>
      </c>
      <c r="H43" s="250" t="s">
        <v>1428</v>
      </c>
      <c r="I43" s="250" t="s">
        <v>1469</v>
      </c>
      <c r="J43" s="251">
        <v>2</v>
      </c>
      <c r="K43" s="251">
        <v>2</v>
      </c>
      <c r="L43" s="252">
        <v>1.3916916011411871E-4</v>
      </c>
    </row>
    <row r="44" spans="2:12">
      <c r="B44" s="265" t="s">
        <v>1435</v>
      </c>
      <c r="C44" s="251">
        <v>1</v>
      </c>
      <c r="D44" s="251">
        <v>1</v>
      </c>
      <c r="E44" s="252">
        <v>6.9584580057059354E-5</v>
      </c>
      <c r="H44" s="250" t="s">
        <v>1428</v>
      </c>
      <c r="I44" s="250" t="s">
        <v>1470</v>
      </c>
      <c r="J44" s="251">
        <v>1</v>
      </c>
      <c r="K44" s="251">
        <v>1</v>
      </c>
      <c r="L44" s="252">
        <v>6.9584580057059354E-5</v>
      </c>
    </row>
    <row r="45" spans="2:12">
      <c r="B45" s="265" t="s">
        <v>1436</v>
      </c>
      <c r="C45" s="251">
        <v>1</v>
      </c>
      <c r="D45" s="251">
        <v>1</v>
      </c>
      <c r="E45" s="252">
        <v>6.9584580057059354E-5</v>
      </c>
      <c r="H45" s="250" t="s">
        <v>1428</v>
      </c>
      <c r="I45" s="250" t="s">
        <v>1471</v>
      </c>
      <c r="J45" s="251">
        <v>6</v>
      </c>
      <c r="K45" s="251">
        <v>4</v>
      </c>
      <c r="L45" s="252">
        <v>4.1750748034235613E-4</v>
      </c>
    </row>
    <row r="46" spans="2:12">
      <c r="B46" s="265" t="s">
        <v>1379</v>
      </c>
      <c r="C46" s="251">
        <v>2</v>
      </c>
      <c r="D46" s="251">
        <v>1</v>
      </c>
      <c r="E46" s="252">
        <v>1.3916916011411871E-4</v>
      </c>
      <c r="H46" s="250" t="s">
        <v>1360</v>
      </c>
      <c r="I46" s="250" t="s">
        <v>1472</v>
      </c>
      <c r="J46" s="251">
        <v>2</v>
      </c>
      <c r="K46" s="251">
        <v>1</v>
      </c>
      <c r="L46" s="252">
        <v>1.3916916011411871E-4</v>
      </c>
    </row>
    <row r="47" spans="2:12">
      <c r="B47" s="265" t="s">
        <v>1380</v>
      </c>
      <c r="C47" s="251">
        <v>7</v>
      </c>
      <c r="D47" s="251">
        <v>2</v>
      </c>
      <c r="E47" s="252">
        <v>4.8709206039941551E-4</v>
      </c>
      <c r="H47" s="250" t="s">
        <v>1429</v>
      </c>
      <c r="I47" s="250" t="s">
        <v>1473</v>
      </c>
      <c r="J47" s="251">
        <v>1</v>
      </c>
      <c r="K47" s="251">
        <v>1</v>
      </c>
      <c r="L47" s="252">
        <v>6.9584580057059354E-5</v>
      </c>
    </row>
    <row r="48" spans="2:12">
      <c r="B48" s="265" t="s">
        <v>14</v>
      </c>
      <c r="C48" s="251">
        <v>1845</v>
      </c>
      <c r="D48" s="251">
        <v>103</v>
      </c>
      <c r="E48" s="252">
        <v>0.1283835502052745</v>
      </c>
      <c r="H48" s="250" t="s">
        <v>1430</v>
      </c>
      <c r="I48" s="250" t="s">
        <v>1474</v>
      </c>
      <c r="J48" s="251">
        <v>8</v>
      </c>
      <c r="K48" s="251">
        <v>7</v>
      </c>
      <c r="L48" s="252">
        <v>5.5667664045647484E-4</v>
      </c>
    </row>
    <row r="49" spans="2:12">
      <c r="B49" s="265" t="s">
        <v>1437</v>
      </c>
      <c r="C49" s="251">
        <v>2</v>
      </c>
      <c r="D49" s="251">
        <v>1</v>
      </c>
      <c r="E49" s="252">
        <v>1.3916916011411871E-4</v>
      </c>
      <c r="H49" s="250" t="s">
        <v>1430</v>
      </c>
      <c r="I49" s="250" t="s">
        <v>1475</v>
      </c>
      <c r="J49" s="251">
        <v>10</v>
      </c>
      <c r="K49" s="251">
        <v>8</v>
      </c>
      <c r="L49" s="252">
        <v>6.958458005705936E-4</v>
      </c>
    </row>
    <row r="50" spans="2:12">
      <c r="B50" s="265" t="s">
        <v>1382</v>
      </c>
      <c r="C50" s="251">
        <v>1</v>
      </c>
      <c r="D50" s="251">
        <v>1</v>
      </c>
      <c r="E50" s="252">
        <v>6.9584580057059354E-5</v>
      </c>
      <c r="H50" s="250" t="s">
        <v>1430</v>
      </c>
      <c r="I50" s="250" t="s">
        <v>1476</v>
      </c>
      <c r="J50" s="251">
        <v>5</v>
      </c>
      <c r="K50" s="251">
        <v>4</v>
      </c>
      <c r="L50" s="252">
        <v>3.479229002852968E-4</v>
      </c>
    </row>
    <row r="51" spans="2:12">
      <c r="B51" s="265" t="s">
        <v>1438</v>
      </c>
      <c r="C51" s="251">
        <v>1</v>
      </c>
      <c r="D51" s="251">
        <v>1</v>
      </c>
      <c r="E51" s="252">
        <v>6.9584580057059354E-5</v>
      </c>
      <c r="H51" s="250" t="s">
        <v>1430</v>
      </c>
      <c r="I51" s="250" t="s">
        <v>1477</v>
      </c>
      <c r="J51" s="251">
        <v>18</v>
      </c>
      <c r="K51" s="251">
        <v>15</v>
      </c>
      <c r="L51" s="252">
        <v>1.2525224410270684E-3</v>
      </c>
    </row>
    <row r="52" spans="2:12">
      <c r="B52" s="265" t="s">
        <v>1439</v>
      </c>
      <c r="C52" s="251">
        <v>1</v>
      </c>
      <c r="D52" s="251">
        <v>1</v>
      </c>
      <c r="E52" s="252">
        <v>6.9584580057059354E-5</v>
      </c>
      <c r="H52" s="250" t="s">
        <v>1430</v>
      </c>
      <c r="I52" s="250" t="s">
        <v>1478</v>
      </c>
      <c r="J52" s="251">
        <v>7</v>
      </c>
      <c r="K52" s="251">
        <v>5</v>
      </c>
      <c r="L52" s="252">
        <v>4.8709206039941551E-4</v>
      </c>
    </row>
    <row r="53" spans="2:12">
      <c r="B53" s="265" t="s">
        <v>1440</v>
      </c>
      <c r="C53" s="251">
        <v>1</v>
      </c>
      <c r="D53" s="251">
        <v>1</v>
      </c>
      <c r="E53" s="252">
        <v>6.9584580057059354E-5</v>
      </c>
      <c r="H53" s="250" t="s">
        <v>1430</v>
      </c>
      <c r="I53" s="250" t="s">
        <v>1479</v>
      </c>
      <c r="J53" s="251">
        <v>10</v>
      </c>
      <c r="K53" s="251">
        <v>8</v>
      </c>
      <c r="L53" s="252">
        <v>6.958458005705936E-4</v>
      </c>
    </row>
    <row r="54" spans="2:12">
      <c r="B54" s="265" t="s">
        <v>1441</v>
      </c>
      <c r="C54" s="251">
        <v>42</v>
      </c>
      <c r="D54" s="251">
        <v>32</v>
      </c>
      <c r="E54" s="252">
        <v>2.9225523623964927E-3</v>
      </c>
      <c r="H54" s="250" t="s">
        <v>1430</v>
      </c>
      <c r="I54" s="250" t="s">
        <v>1480</v>
      </c>
      <c r="J54" s="251">
        <v>9</v>
      </c>
      <c r="K54" s="251">
        <v>7</v>
      </c>
      <c r="L54" s="252">
        <v>6.2626122051353422E-4</v>
      </c>
    </row>
    <row r="55" spans="2:12">
      <c r="B55" s="265" t="s">
        <v>1387</v>
      </c>
      <c r="C55" s="251">
        <v>1</v>
      </c>
      <c r="D55" s="251">
        <v>1</v>
      </c>
      <c r="E55" s="252">
        <v>6.9584580057059354E-5</v>
      </c>
      <c r="H55" s="250" t="s">
        <v>1430</v>
      </c>
      <c r="I55" s="250" t="s">
        <v>1481</v>
      </c>
      <c r="J55" s="251">
        <v>9</v>
      </c>
      <c r="K55" s="251">
        <v>5</v>
      </c>
      <c r="L55" s="252">
        <v>6.2626122051353422E-4</v>
      </c>
    </row>
    <row r="56" spans="2:12">
      <c r="B56" s="265" t="s">
        <v>1442</v>
      </c>
      <c r="C56" s="251">
        <v>64</v>
      </c>
      <c r="D56" s="251">
        <v>45</v>
      </c>
      <c r="E56" s="252">
        <v>4.4534131236517987E-3</v>
      </c>
      <c r="H56" s="250" t="s">
        <v>1430</v>
      </c>
      <c r="I56" s="250" t="s">
        <v>1482</v>
      </c>
      <c r="J56" s="251">
        <v>1</v>
      </c>
      <c r="K56" s="251">
        <v>1</v>
      </c>
      <c r="L56" s="252">
        <v>6.9584580057059354E-5</v>
      </c>
    </row>
    <row r="57" spans="2:12">
      <c r="B57" s="265" t="s">
        <v>1443</v>
      </c>
      <c r="C57" s="251">
        <v>99</v>
      </c>
      <c r="D57" s="251">
        <v>74</v>
      </c>
      <c r="E57" s="252">
        <v>6.8888734256488766E-3</v>
      </c>
      <c r="H57" s="250" t="s">
        <v>1430</v>
      </c>
      <c r="I57" s="250" t="s">
        <v>1483</v>
      </c>
      <c r="J57" s="251">
        <v>12</v>
      </c>
      <c r="K57" s="251">
        <v>6</v>
      </c>
      <c r="L57" s="252">
        <v>8.3501496068471225E-4</v>
      </c>
    </row>
    <row r="58" spans="2:12">
      <c r="B58" s="265" t="s">
        <v>1444</v>
      </c>
      <c r="C58" s="251">
        <v>201</v>
      </c>
      <c r="D58" s="251">
        <v>108</v>
      </c>
      <c r="E58" s="252">
        <v>1.398650059146893E-2</v>
      </c>
      <c r="H58" s="250" t="s">
        <v>1430</v>
      </c>
      <c r="I58" s="250" t="s">
        <v>1484</v>
      </c>
      <c r="J58" s="251">
        <v>9</v>
      </c>
      <c r="K58" s="251">
        <v>7</v>
      </c>
      <c r="L58" s="252">
        <v>6.2626122051353422E-4</v>
      </c>
    </row>
    <row r="59" spans="2:12">
      <c r="B59" s="265" t="s">
        <v>1445</v>
      </c>
      <c r="C59" s="251">
        <v>3</v>
      </c>
      <c r="D59" s="251">
        <v>1</v>
      </c>
      <c r="E59" s="252">
        <v>2.0875374017117806E-4</v>
      </c>
      <c r="H59" s="250" t="s">
        <v>1430</v>
      </c>
      <c r="I59" s="250" t="s">
        <v>1485</v>
      </c>
      <c r="J59" s="251">
        <v>3</v>
      </c>
      <c r="K59" s="251">
        <v>3</v>
      </c>
      <c r="L59" s="252">
        <v>2.0875374017117806E-4</v>
      </c>
    </row>
    <row r="60" spans="2:12">
      <c r="B60" s="265" t="s">
        <v>1446</v>
      </c>
      <c r="C60" s="251">
        <v>1</v>
      </c>
      <c r="D60" s="251">
        <v>1</v>
      </c>
      <c r="E60" s="252">
        <v>6.9584580057059354E-5</v>
      </c>
      <c r="H60" s="250" t="s">
        <v>1430</v>
      </c>
      <c r="I60" s="250" t="s">
        <v>1486</v>
      </c>
      <c r="J60" s="251">
        <v>6</v>
      </c>
      <c r="K60" s="251">
        <v>5</v>
      </c>
      <c r="L60" s="252">
        <v>4.1750748034235613E-4</v>
      </c>
    </row>
    <row r="61" spans="2:12">
      <c r="B61" s="265" t="s">
        <v>1395</v>
      </c>
      <c r="C61" s="251">
        <v>1</v>
      </c>
      <c r="D61" s="251">
        <v>1</v>
      </c>
      <c r="E61" s="252">
        <v>6.9584580057059354E-5</v>
      </c>
      <c r="H61" s="250" t="s">
        <v>1430</v>
      </c>
      <c r="I61" s="250" t="s">
        <v>1487</v>
      </c>
      <c r="J61" s="251">
        <v>6</v>
      </c>
      <c r="K61" s="251">
        <v>5</v>
      </c>
      <c r="L61" s="252">
        <v>4.1750748034235613E-4</v>
      </c>
    </row>
    <row r="62" spans="2:12">
      <c r="B62" s="265" t="s">
        <v>1447</v>
      </c>
      <c r="C62" s="251">
        <v>1</v>
      </c>
      <c r="D62" s="251">
        <v>1</v>
      </c>
      <c r="E62" s="252">
        <v>6.9584580057059354E-5</v>
      </c>
      <c r="H62" s="250" t="s">
        <v>1430</v>
      </c>
      <c r="I62" s="250" t="s">
        <v>1488</v>
      </c>
      <c r="J62" s="251">
        <v>6</v>
      </c>
      <c r="K62" s="251">
        <v>6</v>
      </c>
      <c r="L62" s="252">
        <v>4.1750748034235613E-4</v>
      </c>
    </row>
    <row r="63" spans="2:12">
      <c r="B63" s="265" t="s">
        <v>1448</v>
      </c>
      <c r="C63" s="251">
        <v>1</v>
      </c>
      <c r="D63" s="251">
        <v>1</v>
      </c>
      <c r="E63" s="252">
        <v>6.9584580057059354E-5</v>
      </c>
      <c r="H63" s="250" t="s">
        <v>1430</v>
      </c>
      <c r="I63" s="250" t="s">
        <v>1489</v>
      </c>
      <c r="J63" s="251">
        <v>14</v>
      </c>
      <c r="K63" s="251">
        <v>8</v>
      </c>
      <c r="L63" s="252">
        <v>9.7418412079883102E-4</v>
      </c>
    </row>
    <row r="64" spans="2:12">
      <c r="B64" s="265" t="s">
        <v>503</v>
      </c>
      <c r="C64" s="251">
        <v>1</v>
      </c>
      <c r="D64" s="251">
        <v>1</v>
      </c>
      <c r="E64" s="252">
        <v>6.9584580057059354E-5</v>
      </c>
      <c r="H64" s="250" t="s">
        <v>1430</v>
      </c>
      <c r="I64" s="250" t="s">
        <v>1490</v>
      </c>
      <c r="J64" s="251">
        <v>53</v>
      </c>
      <c r="K64" s="251">
        <v>21</v>
      </c>
      <c r="L64" s="252">
        <v>3.6879827430241459E-3</v>
      </c>
    </row>
    <row r="65" spans="2:12">
      <c r="B65" s="265" t="s">
        <v>1449</v>
      </c>
      <c r="C65" s="251">
        <v>5</v>
      </c>
      <c r="D65" s="251">
        <v>4</v>
      </c>
      <c r="E65" s="252">
        <v>3.479229002852968E-4</v>
      </c>
      <c r="H65" s="250" t="s">
        <v>1430</v>
      </c>
      <c r="I65" s="250" t="s">
        <v>1491</v>
      </c>
      <c r="J65" s="251">
        <v>13</v>
      </c>
      <c r="K65" s="251">
        <v>8</v>
      </c>
      <c r="L65" s="252">
        <v>9.0459954074177164E-4</v>
      </c>
    </row>
    <row r="66" spans="2:12">
      <c r="B66" s="265" t="s">
        <v>1450</v>
      </c>
      <c r="C66" s="251">
        <v>11375</v>
      </c>
      <c r="D66" s="251">
        <v>2913</v>
      </c>
      <c r="E66" s="252">
        <v>0.79152459814905018</v>
      </c>
      <c r="H66" s="250" t="s">
        <v>1430</v>
      </c>
      <c r="I66" s="250" t="s">
        <v>1492</v>
      </c>
      <c r="J66" s="251">
        <v>18</v>
      </c>
      <c r="K66" s="251">
        <v>10</v>
      </c>
      <c r="L66" s="252">
        <v>1.2525224410270684E-3</v>
      </c>
    </row>
    <row r="67" spans="2:12">
      <c r="B67" s="268" t="s">
        <v>34</v>
      </c>
      <c r="C67" s="266">
        <v>14371</v>
      </c>
      <c r="D67" s="266">
        <v>3747</v>
      </c>
      <c r="E67" s="267">
        <v>1</v>
      </c>
      <c r="H67" s="250" t="s">
        <v>1430</v>
      </c>
      <c r="I67" s="250" t="s">
        <v>1493</v>
      </c>
      <c r="J67" s="251">
        <v>7</v>
      </c>
      <c r="K67" s="251">
        <v>5</v>
      </c>
      <c r="L67" s="252">
        <v>4.8709206039941551E-4</v>
      </c>
    </row>
    <row r="68" spans="2:12">
      <c r="B68"/>
      <c r="C68"/>
      <c r="D68"/>
      <c r="E68"/>
      <c r="H68" s="250" t="s">
        <v>1430</v>
      </c>
      <c r="I68" s="250" t="s">
        <v>1494</v>
      </c>
      <c r="J68" s="251">
        <v>4</v>
      </c>
      <c r="K68" s="251">
        <v>3</v>
      </c>
      <c r="L68" s="252">
        <v>2.7833832022823742E-4</v>
      </c>
    </row>
    <row r="69" spans="2:12">
      <c r="B69"/>
      <c r="C69"/>
      <c r="D69"/>
      <c r="E69"/>
      <c r="H69" s="250" t="s">
        <v>1430</v>
      </c>
      <c r="I69" s="250" t="s">
        <v>1495</v>
      </c>
      <c r="J69" s="251">
        <v>3</v>
      </c>
      <c r="K69" s="251">
        <v>1</v>
      </c>
      <c r="L69" s="252">
        <v>2.0875374017117806E-4</v>
      </c>
    </row>
    <row r="70" spans="2:12">
      <c r="B70"/>
      <c r="C70"/>
      <c r="D70"/>
      <c r="E70"/>
      <c r="H70" s="250" t="s">
        <v>1430</v>
      </c>
      <c r="I70" s="250" t="s">
        <v>1496</v>
      </c>
      <c r="J70" s="251">
        <v>29</v>
      </c>
      <c r="K70" s="251">
        <v>13</v>
      </c>
      <c r="L70" s="252">
        <v>2.0179528216547212E-3</v>
      </c>
    </row>
    <row r="71" spans="2:12">
      <c r="B71"/>
      <c r="C71"/>
      <c r="D71"/>
      <c r="E71"/>
      <c r="H71" s="250" t="s">
        <v>1364</v>
      </c>
      <c r="I71" s="250" t="s">
        <v>1497</v>
      </c>
      <c r="J71" s="251">
        <v>16</v>
      </c>
      <c r="K71" s="251">
        <v>1</v>
      </c>
      <c r="L71" s="252">
        <v>1.1133532809129497E-3</v>
      </c>
    </row>
    <row r="72" spans="2:12">
      <c r="B72"/>
      <c r="C72"/>
      <c r="D72"/>
      <c r="E72"/>
      <c r="H72" s="250" t="s">
        <v>1431</v>
      </c>
      <c r="I72" s="250" t="s">
        <v>1498</v>
      </c>
      <c r="J72" s="251">
        <v>2</v>
      </c>
      <c r="K72" s="251">
        <v>2</v>
      </c>
      <c r="L72" s="252">
        <v>1.3916916011411871E-4</v>
      </c>
    </row>
    <row r="73" spans="2:12">
      <c r="B73"/>
      <c r="C73"/>
      <c r="D73"/>
      <c r="E73"/>
      <c r="H73" s="250" t="s">
        <v>1431</v>
      </c>
      <c r="I73" s="250" t="s">
        <v>1499</v>
      </c>
      <c r="J73" s="251">
        <v>2</v>
      </c>
      <c r="K73" s="251">
        <v>1</v>
      </c>
      <c r="L73" s="252">
        <v>1.3916916011411871E-4</v>
      </c>
    </row>
    <row r="74" spans="2:12">
      <c r="B74"/>
      <c r="C74"/>
      <c r="D74"/>
      <c r="E74"/>
      <c r="H74" s="250" t="s">
        <v>1431</v>
      </c>
      <c r="I74" s="250" t="s">
        <v>1500</v>
      </c>
      <c r="J74" s="251">
        <v>2</v>
      </c>
      <c r="K74" s="251">
        <v>2</v>
      </c>
      <c r="L74" s="252">
        <v>1.3916916011411871E-4</v>
      </c>
    </row>
    <row r="75" spans="2:12">
      <c r="B75"/>
      <c r="C75"/>
      <c r="D75"/>
      <c r="E75"/>
      <c r="H75" s="250" t="s">
        <v>1431</v>
      </c>
      <c r="I75" s="250" t="s">
        <v>1501</v>
      </c>
      <c r="J75" s="251">
        <v>39</v>
      </c>
      <c r="K75" s="251">
        <v>21</v>
      </c>
      <c r="L75" s="252">
        <v>2.713798622225315E-3</v>
      </c>
    </row>
    <row r="76" spans="2:12">
      <c r="B76"/>
      <c r="C76"/>
      <c r="D76"/>
      <c r="E76"/>
      <c r="H76" s="250" t="s">
        <v>1431</v>
      </c>
      <c r="I76" s="250" t="s">
        <v>1502</v>
      </c>
      <c r="J76" s="251">
        <v>7</v>
      </c>
      <c r="K76" s="251">
        <v>7</v>
      </c>
      <c r="L76" s="252">
        <v>4.8709206039941551E-4</v>
      </c>
    </row>
    <row r="77" spans="2:12">
      <c r="B77"/>
      <c r="C77"/>
      <c r="D77"/>
      <c r="E77"/>
      <c r="H77" s="250" t="s">
        <v>1431</v>
      </c>
      <c r="I77" s="250" t="s">
        <v>1503</v>
      </c>
      <c r="J77" s="251">
        <v>5</v>
      </c>
      <c r="K77" s="251">
        <v>3</v>
      </c>
      <c r="L77" s="252">
        <v>3.479229002852968E-4</v>
      </c>
    </row>
    <row r="78" spans="2:12">
      <c r="B78"/>
      <c r="C78"/>
      <c r="D78"/>
      <c r="E78"/>
      <c r="H78" s="250" t="s">
        <v>1431</v>
      </c>
      <c r="I78" s="250" t="s">
        <v>1504</v>
      </c>
      <c r="J78" s="251">
        <v>2</v>
      </c>
      <c r="K78" s="251">
        <v>1</v>
      </c>
      <c r="L78" s="252">
        <v>1.3916916011411871E-4</v>
      </c>
    </row>
    <row r="79" spans="2:12">
      <c r="B79"/>
      <c r="C79"/>
      <c r="D79"/>
      <c r="E79"/>
      <c r="H79" s="250" t="s">
        <v>1431</v>
      </c>
      <c r="I79" s="250" t="s">
        <v>1505</v>
      </c>
      <c r="J79" s="251">
        <v>6</v>
      </c>
      <c r="K79" s="251">
        <v>4</v>
      </c>
      <c r="L79" s="252">
        <v>4.1750748034235613E-4</v>
      </c>
    </row>
    <row r="80" spans="2:12">
      <c r="B80"/>
      <c r="C80"/>
      <c r="D80"/>
      <c r="E80"/>
      <c r="H80" s="250" t="s">
        <v>1431</v>
      </c>
      <c r="I80" s="250" t="s">
        <v>1506</v>
      </c>
      <c r="J80" s="251">
        <v>4</v>
      </c>
      <c r="K80" s="251">
        <v>3</v>
      </c>
      <c r="L80" s="252">
        <v>2.7833832022823742E-4</v>
      </c>
    </row>
    <row r="81" spans="2:12">
      <c r="B81"/>
      <c r="C81"/>
      <c r="D81"/>
      <c r="E81"/>
      <c r="H81" s="250" t="s">
        <v>1431</v>
      </c>
      <c r="I81" s="250" t="s">
        <v>1507</v>
      </c>
      <c r="J81" s="251">
        <v>3</v>
      </c>
      <c r="K81" s="251">
        <v>2</v>
      </c>
      <c r="L81" s="252">
        <v>2.0875374017117806E-4</v>
      </c>
    </row>
    <row r="82" spans="2:12">
      <c r="B82"/>
      <c r="C82"/>
      <c r="D82"/>
      <c r="E82"/>
      <c r="H82" s="250" t="s">
        <v>1431</v>
      </c>
      <c r="I82" s="250" t="s">
        <v>1508</v>
      </c>
      <c r="J82" s="251">
        <v>7</v>
      </c>
      <c r="K82" s="251">
        <v>5</v>
      </c>
      <c r="L82" s="252">
        <v>4.8709206039941551E-4</v>
      </c>
    </row>
    <row r="83" spans="2:12">
      <c r="B83"/>
      <c r="C83"/>
      <c r="D83"/>
      <c r="E83"/>
      <c r="H83" s="250" t="s">
        <v>1431</v>
      </c>
      <c r="I83" s="250" t="s">
        <v>1509</v>
      </c>
      <c r="J83" s="251">
        <v>2</v>
      </c>
      <c r="K83" s="251">
        <v>2</v>
      </c>
      <c r="L83" s="252">
        <v>1.3916916011411871E-4</v>
      </c>
    </row>
    <row r="84" spans="2:12">
      <c r="B84"/>
      <c r="C84"/>
      <c r="D84"/>
      <c r="E84"/>
      <c r="H84" s="250" t="s">
        <v>1431</v>
      </c>
      <c r="I84" s="250" t="s">
        <v>1510</v>
      </c>
      <c r="J84" s="251">
        <v>15</v>
      </c>
      <c r="K84" s="251">
        <v>6</v>
      </c>
      <c r="L84" s="252">
        <v>1.0437687008558903E-3</v>
      </c>
    </row>
    <row r="85" spans="2:12">
      <c r="B85"/>
      <c r="C85"/>
      <c r="D85"/>
      <c r="E85"/>
      <c r="H85" s="250" t="s">
        <v>1431</v>
      </c>
      <c r="I85" s="250" t="s">
        <v>1511</v>
      </c>
      <c r="J85" s="251">
        <v>2</v>
      </c>
      <c r="K85" s="251">
        <v>2</v>
      </c>
      <c r="L85" s="252">
        <v>1.3916916011411871E-4</v>
      </c>
    </row>
    <row r="86" spans="2:12">
      <c r="B86"/>
      <c r="C86"/>
      <c r="D86"/>
      <c r="E86"/>
      <c r="H86" s="250" t="s">
        <v>1431</v>
      </c>
      <c r="I86" s="250" t="s">
        <v>1512</v>
      </c>
      <c r="J86" s="251">
        <v>2</v>
      </c>
      <c r="K86" s="251">
        <v>1</v>
      </c>
      <c r="L86" s="252">
        <v>1.3916916011411871E-4</v>
      </c>
    </row>
    <row r="87" spans="2:12">
      <c r="B87"/>
      <c r="C87"/>
      <c r="D87"/>
      <c r="E87"/>
      <c r="H87" s="250" t="s">
        <v>1431</v>
      </c>
      <c r="I87" s="250" t="s">
        <v>1513</v>
      </c>
      <c r="J87" s="251">
        <v>16</v>
      </c>
      <c r="K87" s="251">
        <v>8</v>
      </c>
      <c r="L87" s="252">
        <v>1.1133532809129497E-3</v>
      </c>
    </row>
    <row r="88" spans="2:12">
      <c r="B88"/>
      <c r="C88"/>
      <c r="D88"/>
      <c r="E88"/>
      <c r="H88" s="250" t="s">
        <v>1432</v>
      </c>
      <c r="I88" s="250" t="s">
        <v>1514</v>
      </c>
      <c r="J88" s="251">
        <v>6</v>
      </c>
      <c r="K88" s="251">
        <v>4</v>
      </c>
      <c r="L88" s="252">
        <v>4.1750748034235613E-4</v>
      </c>
    </row>
    <row r="89" spans="2:12">
      <c r="B89"/>
      <c r="C89"/>
      <c r="D89"/>
      <c r="E89"/>
      <c r="H89" s="250" t="s">
        <v>1432</v>
      </c>
      <c r="I89" s="250" t="s">
        <v>1515</v>
      </c>
      <c r="J89" s="251">
        <v>4</v>
      </c>
      <c r="K89" s="251">
        <v>1</v>
      </c>
      <c r="L89" s="252">
        <v>2.7833832022823742E-4</v>
      </c>
    </row>
    <row r="90" spans="2:12">
      <c r="B90"/>
      <c r="C90"/>
      <c r="D90"/>
      <c r="E90"/>
      <c r="H90" s="250" t="s">
        <v>1432</v>
      </c>
      <c r="I90" s="250" t="s">
        <v>1516</v>
      </c>
      <c r="J90" s="251">
        <v>9</v>
      </c>
      <c r="K90" s="251">
        <v>4</v>
      </c>
      <c r="L90" s="252">
        <v>6.2626122051353422E-4</v>
      </c>
    </row>
    <row r="91" spans="2:12">
      <c r="B91"/>
      <c r="C91"/>
      <c r="D91"/>
      <c r="E91"/>
      <c r="H91" s="250" t="s">
        <v>1432</v>
      </c>
      <c r="I91" s="250" t="s">
        <v>1517</v>
      </c>
      <c r="J91" s="251">
        <v>4</v>
      </c>
      <c r="K91" s="251">
        <v>4</v>
      </c>
      <c r="L91" s="252">
        <v>2.7833832022823742E-4</v>
      </c>
    </row>
    <row r="92" spans="2:12">
      <c r="B92"/>
      <c r="C92"/>
      <c r="D92"/>
      <c r="E92"/>
      <c r="H92" s="250" t="s">
        <v>1432</v>
      </c>
      <c r="I92" s="250" t="s">
        <v>1518</v>
      </c>
      <c r="J92" s="251">
        <v>6</v>
      </c>
      <c r="K92" s="251">
        <v>4</v>
      </c>
      <c r="L92" s="252">
        <v>4.1750748034235613E-4</v>
      </c>
    </row>
    <row r="93" spans="2:12">
      <c r="B93"/>
      <c r="C93"/>
      <c r="D93"/>
      <c r="E93"/>
      <c r="H93" s="250" t="s">
        <v>1432</v>
      </c>
      <c r="I93" s="250" t="s">
        <v>1519</v>
      </c>
      <c r="J93" s="251">
        <v>4</v>
      </c>
      <c r="K93" s="251">
        <v>4</v>
      </c>
      <c r="L93" s="252">
        <v>2.7833832022823742E-4</v>
      </c>
    </row>
    <row r="94" spans="2:12">
      <c r="B94"/>
      <c r="C94"/>
      <c r="D94"/>
      <c r="E94"/>
      <c r="H94" s="250" t="s">
        <v>1432</v>
      </c>
      <c r="I94" s="250" t="s">
        <v>1520</v>
      </c>
      <c r="J94" s="251">
        <v>4</v>
      </c>
      <c r="K94" s="251">
        <v>1</v>
      </c>
      <c r="L94" s="252">
        <v>2.7833832022823742E-4</v>
      </c>
    </row>
    <row r="95" spans="2:12">
      <c r="B95"/>
      <c r="C95"/>
      <c r="D95"/>
      <c r="E95"/>
      <c r="H95" s="250" t="s">
        <v>1432</v>
      </c>
      <c r="I95" s="250" t="s">
        <v>1521</v>
      </c>
      <c r="J95" s="251">
        <v>3</v>
      </c>
      <c r="K95" s="251">
        <v>1</v>
      </c>
      <c r="L95" s="252">
        <v>2.0875374017117806E-4</v>
      </c>
    </row>
    <row r="96" spans="2:12">
      <c r="B96"/>
      <c r="C96"/>
      <c r="D96"/>
      <c r="E96"/>
      <c r="H96" s="250" t="s">
        <v>1432</v>
      </c>
      <c r="I96" s="250" t="s">
        <v>1522</v>
      </c>
      <c r="J96" s="251">
        <v>4</v>
      </c>
      <c r="K96" s="251">
        <v>3</v>
      </c>
      <c r="L96" s="252">
        <v>2.7833832022823742E-4</v>
      </c>
    </row>
    <row r="97" spans="2:12">
      <c r="B97"/>
      <c r="C97"/>
      <c r="D97"/>
      <c r="E97"/>
      <c r="H97" s="250" t="s">
        <v>1432</v>
      </c>
      <c r="I97" s="250" t="s">
        <v>1523</v>
      </c>
      <c r="J97" s="251">
        <v>3</v>
      </c>
      <c r="K97" s="251">
        <v>3</v>
      </c>
      <c r="L97" s="252">
        <v>2.0875374017117806E-4</v>
      </c>
    </row>
    <row r="98" spans="2:12">
      <c r="B98"/>
      <c r="C98"/>
      <c r="D98"/>
      <c r="E98"/>
      <c r="H98" s="250" t="s">
        <v>1432</v>
      </c>
      <c r="I98" s="250" t="s">
        <v>1524</v>
      </c>
      <c r="J98" s="251">
        <v>3</v>
      </c>
      <c r="K98" s="251">
        <v>3</v>
      </c>
      <c r="L98" s="252">
        <v>2.0875374017117806E-4</v>
      </c>
    </row>
    <row r="99" spans="2:12">
      <c r="B99"/>
      <c r="C99"/>
      <c r="D99"/>
      <c r="E99"/>
      <c r="H99" s="250" t="s">
        <v>1432</v>
      </c>
      <c r="I99" s="250" t="s">
        <v>1525</v>
      </c>
      <c r="J99" s="251">
        <v>6</v>
      </c>
      <c r="K99" s="251">
        <v>5</v>
      </c>
      <c r="L99" s="252">
        <v>4.1750748034235613E-4</v>
      </c>
    </row>
    <row r="100" spans="2:12">
      <c r="B100"/>
      <c r="C100"/>
      <c r="D100"/>
      <c r="E100"/>
      <c r="H100" s="250" t="s">
        <v>1432</v>
      </c>
      <c r="I100" s="250" t="s">
        <v>1526</v>
      </c>
      <c r="J100" s="251">
        <v>1</v>
      </c>
      <c r="K100" s="251">
        <v>1</v>
      </c>
      <c r="L100" s="252">
        <v>6.9584580057059354E-5</v>
      </c>
    </row>
    <row r="101" spans="2:12">
      <c r="B101"/>
      <c r="C101"/>
      <c r="D101"/>
      <c r="E101"/>
      <c r="H101" s="250" t="s">
        <v>1432</v>
      </c>
      <c r="I101" s="250" t="s">
        <v>1527</v>
      </c>
      <c r="J101" s="251">
        <v>4</v>
      </c>
      <c r="K101" s="251">
        <v>4</v>
      </c>
      <c r="L101" s="252">
        <v>2.7833832022823742E-4</v>
      </c>
    </row>
    <row r="102" spans="2:12">
      <c r="B102"/>
      <c r="C102"/>
      <c r="D102"/>
      <c r="E102"/>
      <c r="H102" s="250" t="s">
        <v>1432</v>
      </c>
      <c r="I102" s="250" t="s">
        <v>1528</v>
      </c>
      <c r="J102" s="251">
        <v>2</v>
      </c>
      <c r="K102" s="251">
        <v>2</v>
      </c>
      <c r="L102" s="252">
        <v>1.3916916011411871E-4</v>
      </c>
    </row>
    <row r="103" spans="2:12">
      <c r="B103"/>
      <c r="C103"/>
      <c r="D103"/>
      <c r="E103"/>
      <c r="H103" s="250" t="s">
        <v>1432</v>
      </c>
      <c r="I103" s="250" t="s">
        <v>1529</v>
      </c>
      <c r="J103" s="251">
        <v>1</v>
      </c>
      <c r="K103" s="251">
        <v>1</v>
      </c>
      <c r="L103" s="252">
        <v>6.9584580057059354E-5</v>
      </c>
    </row>
    <row r="104" spans="2:12">
      <c r="B104"/>
      <c r="C104"/>
      <c r="D104"/>
      <c r="E104"/>
      <c r="H104" s="250" t="s">
        <v>1432</v>
      </c>
      <c r="I104" s="250" t="s">
        <v>1530</v>
      </c>
      <c r="J104" s="251">
        <v>9</v>
      </c>
      <c r="K104" s="251">
        <v>5</v>
      </c>
      <c r="L104" s="252">
        <v>6.2626122051353422E-4</v>
      </c>
    </row>
    <row r="105" spans="2:12">
      <c r="B105"/>
      <c r="C105"/>
      <c r="D105"/>
      <c r="E105"/>
      <c r="H105" s="250" t="s">
        <v>1432</v>
      </c>
      <c r="I105" s="250" t="s">
        <v>1531</v>
      </c>
      <c r="J105" s="251">
        <v>3</v>
      </c>
      <c r="K105" s="251">
        <v>3</v>
      </c>
      <c r="L105" s="252">
        <v>2.0875374017117806E-4</v>
      </c>
    </row>
    <row r="106" spans="2:12">
      <c r="B106"/>
      <c r="C106"/>
      <c r="D106"/>
      <c r="E106"/>
      <c r="H106" s="250" t="s">
        <v>1432</v>
      </c>
      <c r="I106" s="250" t="s">
        <v>1532</v>
      </c>
      <c r="J106" s="251">
        <v>7</v>
      </c>
      <c r="K106" s="251">
        <v>3</v>
      </c>
      <c r="L106" s="252">
        <v>4.8709206039941551E-4</v>
      </c>
    </row>
    <row r="107" spans="2:12">
      <c r="B107"/>
      <c r="C107"/>
      <c r="D107"/>
      <c r="E107"/>
      <c r="H107" s="250" t="s">
        <v>1432</v>
      </c>
      <c r="I107" s="250" t="s">
        <v>1533</v>
      </c>
      <c r="J107" s="251">
        <v>8</v>
      </c>
      <c r="K107" s="251">
        <v>7</v>
      </c>
      <c r="L107" s="252">
        <v>5.5667664045647484E-4</v>
      </c>
    </row>
    <row r="108" spans="2:12">
      <c r="B108"/>
      <c r="C108"/>
      <c r="D108"/>
      <c r="E108"/>
      <c r="H108" s="250" t="s">
        <v>1432</v>
      </c>
      <c r="I108" s="250" t="s">
        <v>1534</v>
      </c>
      <c r="J108" s="251">
        <v>1</v>
      </c>
      <c r="K108" s="251">
        <v>1</v>
      </c>
      <c r="L108" s="252">
        <v>6.9584580057059354E-5</v>
      </c>
    </row>
    <row r="109" spans="2:12">
      <c r="B109"/>
      <c r="C109"/>
      <c r="D109"/>
      <c r="E109"/>
      <c r="H109" s="250" t="s">
        <v>1432</v>
      </c>
      <c r="I109" s="250" t="s">
        <v>1535</v>
      </c>
      <c r="J109" s="251">
        <v>2</v>
      </c>
      <c r="K109" s="251">
        <v>2</v>
      </c>
      <c r="L109" s="252">
        <v>1.3916916011411871E-4</v>
      </c>
    </row>
    <row r="110" spans="2:12">
      <c r="B110"/>
      <c r="C110"/>
      <c r="D110"/>
      <c r="E110"/>
      <c r="H110" s="250" t="s">
        <v>1432</v>
      </c>
      <c r="I110" s="250" t="s">
        <v>1536</v>
      </c>
      <c r="J110" s="251">
        <v>9</v>
      </c>
      <c r="K110" s="251">
        <v>5</v>
      </c>
      <c r="L110" s="252">
        <v>6.2626122051353422E-4</v>
      </c>
    </row>
    <row r="111" spans="2:12">
      <c r="B111"/>
      <c r="C111"/>
      <c r="D111"/>
      <c r="E111"/>
      <c r="H111" s="250" t="s">
        <v>1432</v>
      </c>
      <c r="I111" s="250" t="s">
        <v>1537</v>
      </c>
      <c r="J111" s="251">
        <v>6</v>
      </c>
      <c r="K111" s="251">
        <v>5</v>
      </c>
      <c r="L111" s="252">
        <v>4.1750748034235613E-4</v>
      </c>
    </row>
    <row r="112" spans="2:12">
      <c r="B112"/>
      <c r="C112"/>
      <c r="D112"/>
      <c r="E112"/>
      <c r="H112" s="250" t="s">
        <v>1432</v>
      </c>
      <c r="I112" s="250" t="s">
        <v>1538</v>
      </c>
      <c r="J112" s="251">
        <v>4</v>
      </c>
      <c r="K112" s="251">
        <v>3</v>
      </c>
      <c r="L112" s="252">
        <v>2.7833832022823742E-4</v>
      </c>
    </row>
    <row r="113" spans="2:12">
      <c r="B113"/>
      <c r="C113"/>
      <c r="D113"/>
      <c r="E113"/>
      <c r="H113" s="250" t="s">
        <v>1432</v>
      </c>
      <c r="I113" s="250" t="s">
        <v>1539</v>
      </c>
      <c r="J113" s="251">
        <v>1</v>
      </c>
      <c r="K113" s="251">
        <v>1</v>
      </c>
      <c r="L113" s="252">
        <v>6.9584580057059354E-5</v>
      </c>
    </row>
    <row r="114" spans="2:12">
      <c r="B114"/>
      <c r="C114"/>
      <c r="D114"/>
      <c r="E114"/>
      <c r="H114" s="250" t="s">
        <v>1432</v>
      </c>
      <c r="I114" s="250" t="s">
        <v>1540</v>
      </c>
      <c r="J114" s="251">
        <v>5</v>
      </c>
      <c r="K114" s="251">
        <v>3</v>
      </c>
      <c r="L114" s="252">
        <v>3.479229002852968E-4</v>
      </c>
    </row>
    <row r="115" spans="2:12">
      <c r="B115"/>
      <c r="C115"/>
      <c r="D115"/>
      <c r="E115"/>
      <c r="H115" s="250" t="s">
        <v>1433</v>
      </c>
      <c r="I115" s="250" t="s">
        <v>1541</v>
      </c>
      <c r="J115" s="251">
        <v>4</v>
      </c>
      <c r="K115" s="251">
        <v>1</v>
      </c>
      <c r="L115" s="252">
        <v>2.7833832022823742E-4</v>
      </c>
    </row>
    <row r="116" spans="2:12">
      <c r="B116"/>
      <c r="C116"/>
      <c r="D116"/>
      <c r="E116"/>
      <c r="H116" s="250" t="s">
        <v>1434</v>
      </c>
      <c r="I116" s="250" t="s">
        <v>1542</v>
      </c>
      <c r="J116" s="251">
        <v>5</v>
      </c>
      <c r="K116" s="251">
        <v>4</v>
      </c>
      <c r="L116" s="252">
        <v>3.479229002852968E-4</v>
      </c>
    </row>
    <row r="117" spans="2:12">
      <c r="B117"/>
      <c r="C117"/>
      <c r="D117"/>
      <c r="E117"/>
      <c r="H117" s="250" t="s">
        <v>1434</v>
      </c>
      <c r="I117" s="250" t="s">
        <v>1543</v>
      </c>
      <c r="J117" s="251">
        <v>3</v>
      </c>
      <c r="K117" s="251">
        <v>3</v>
      </c>
      <c r="L117" s="252">
        <v>2.0875374017117806E-4</v>
      </c>
    </row>
    <row r="118" spans="2:12">
      <c r="B118"/>
      <c r="C118"/>
      <c r="D118"/>
      <c r="E118"/>
      <c r="H118" s="250" t="s">
        <v>1434</v>
      </c>
      <c r="I118" s="250" t="s">
        <v>1544</v>
      </c>
      <c r="J118" s="251">
        <v>4</v>
      </c>
      <c r="K118" s="251">
        <v>4</v>
      </c>
      <c r="L118" s="252">
        <v>2.7833832022823742E-4</v>
      </c>
    </row>
    <row r="119" spans="2:12">
      <c r="B119"/>
      <c r="C119"/>
      <c r="D119"/>
      <c r="E119"/>
      <c r="H119" s="250" t="s">
        <v>1434</v>
      </c>
      <c r="I119" s="250" t="s">
        <v>1545</v>
      </c>
      <c r="J119" s="251">
        <v>5</v>
      </c>
      <c r="K119" s="251">
        <v>3</v>
      </c>
      <c r="L119" s="252">
        <v>3.479229002852968E-4</v>
      </c>
    </row>
    <row r="120" spans="2:12">
      <c r="B120"/>
      <c r="C120"/>
      <c r="D120"/>
      <c r="E120"/>
      <c r="H120" s="250" t="s">
        <v>1434</v>
      </c>
      <c r="I120" s="250" t="s">
        <v>1546</v>
      </c>
      <c r="J120" s="251">
        <v>5</v>
      </c>
      <c r="K120" s="251">
        <v>3</v>
      </c>
      <c r="L120" s="252">
        <v>3.479229002852968E-4</v>
      </c>
    </row>
    <row r="121" spans="2:12">
      <c r="B121"/>
      <c r="C121"/>
      <c r="D121"/>
      <c r="E121"/>
      <c r="H121" s="250" t="s">
        <v>1434</v>
      </c>
      <c r="I121" s="250" t="s">
        <v>1547</v>
      </c>
      <c r="J121" s="251">
        <v>5</v>
      </c>
      <c r="K121" s="251">
        <v>4</v>
      </c>
      <c r="L121" s="252">
        <v>3.479229002852968E-4</v>
      </c>
    </row>
    <row r="122" spans="2:12">
      <c r="B122"/>
      <c r="C122"/>
      <c r="D122"/>
      <c r="E122"/>
      <c r="H122" s="250" t="s">
        <v>1434</v>
      </c>
      <c r="I122" s="250" t="s">
        <v>1548</v>
      </c>
      <c r="J122" s="251">
        <v>6</v>
      </c>
      <c r="K122" s="251">
        <v>4</v>
      </c>
      <c r="L122" s="252">
        <v>4.1750748034235613E-4</v>
      </c>
    </row>
    <row r="123" spans="2:12">
      <c r="B123"/>
      <c r="C123"/>
      <c r="D123"/>
      <c r="E123"/>
      <c r="H123" s="250" t="s">
        <v>1434</v>
      </c>
      <c r="I123" s="250" t="s">
        <v>1549</v>
      </c>
      <c r="J123" s="251">
        <v>6</v>
      </c>
      <c r="K123" s="251">
        <v>4</v>
      </c>
      <c r="L123" s="252">
        <v>4.1750748034235613E-4</v>
      </c>
    </row>
    <row r="124" spans="2:12">
      <c r="B124"/>
      <c r="C124"/>
      <c r="D124"/>
      <c r="E124"/>
      <c r="H124" s="250" t="s">
        <v>1434</v>
      </c>
      <c r="I124" s="250" t="s">
        <v>1550</v>
      </c>
      <c r="J124" s="251">
        <v>4</v>
      </c>
      <c r="K124" s="251">
        <v>2</v>
      </c>
      <c r="L124" s="252">
        <v>2.7833832022823742E-4</v>
      </c>
    </row>
    <row r="125" spans="2:12">
      <c r="B125"/>
      <c r="C125"/>
      <c r="D125"/>
      <c r="E125"/>
      <c r="H125" s="250" t="s">
        <v>1434</v>
      </c>
      <c r="I125" s="250" t="s">
        <v>1551</v>
      </c>
      <c r="J125" s="251">
        <v>10</v>
      </c>
      <c r="K125" s="251">
        <v>6</v>
      </c>
      <c r="L125" s="252">
        <v>6.958458005705936E-4</v>
      </c>
    </row>
    <row r="126" spans="2:12">
      <c r="B126"/>
      <c r="C126"/>
      <c r="D126"/>
      <c r="E126"/>
      <c r="H126" s="250" t="s">
        <v>1434</v>
      </c>
      <c r="I126" s="250" t="s">
        <v>1552</v>
      </c>
      <c r="J126" s="251">
        <v>8</v>
      </c>
      <c r="K126" s="251">
        <v>6</v>
      </c>
      <c r="L126" s="252">
        <v>5.5667664045647484E-4</v>
      </c>
    </row>
    <row r="127" spans="2:12">
      <c r="B127"/>
      <c r="C127"/>
      <c r="D127"/>
      <c r="E127"/>
      <c r="H127" s="250" t="s">
        <v>1434</v>
      </c>
      <c r="I127" s="250" t="s">
        <v>1553</v>
      </c>
      <c r="J127" s="251">
        <v>10</v>
      </c>
      <c r="K127" s="251">
        <v>7</v>
      </c>
      <c r="L127" s="252">
        <v>6.958458005705936E-4</v>
      </c>
    </row>
    <row r="128" spans="2:12">
      <c r="B128"/>
      <c r="C128"/>
      <c r="D128"/>
      <c r="E128"/>
      <c r="H128" s="250" t="s">
        <v>1434</v>
      </c>
      <c r="I128" s="250" t="s">
        <v>1554</v>
      </c>
      <c r="J128" s="251">
        <v>5</v>
      </c>
      <c r="K128" s="251">
        <v>4</v>
      </c>
      <c r="L128" s="252">
        <v>3.479229002852968E-4</v>
      </c>
    </row>
    <row r="129" spans="2:12">
      <c r="B129"/>
      <c r="C129"/>
      <c r="D129"/>
      <c r="E129"/>
      <c r="H129" s="250" t="s">
        <v>1434</v>
      </c>
      <c r="I129" s="250" t="s">
        <v>1555</v>
      </c>
      <c r="J129" s="251">
        <v>5</v>
      </c>
      <c r="K129" s="251">
        <v>5</v>
      </c>
      <c r="L129" s="252">
        <v>3.479229002852968E-4</v>
      </c>
    </row>
    <row r="130" spans="2:12">
      <c r="B130"/>
      <c r="C130"/>
      <c r="D130"/>
      <c r="E130"/>
      <c r="H130" s="250" t="s">
        <v>1434</v>
      </c>
      <c r="I130" s="250" t="s">
        <v>1556</v>
      </c>
      <c r="J130" s="251">
        <v>2</v>
      </c>
      <c r="K130" s="251">
        <v>2</v>
      </c>
      <c r="L130" s="252">
        <v>1.3916916011411871E-4</v>
      </c>
    </row>
    <row r="131" spans="2:12">
      <c r="B131"/>
      <c r="C131"/>
      <c r="D131"/>
      <c r="E131"/>
      <c r="H131" s="250" t="s">
        <v>1434</v>
      </c>
      <c r="I131" s="250" t="s">
        <v>1557</v>
      </c>
      <c r="J131" s="251">
        <v>10</v>
      </c>
      <c r="K131" s="251">
        <v>8</v>
      </c>
      <c r="L131" s="252">
        <v>6.958458005705936E-4</v>
      </c>
    </row>
    <row r="132" spans="2:12">
      <c r="B132"/>
      <c r="C132"/>
      <c r="D132"/>
      <c r="E132"/>
      <c r="H132" s="250" t="s">
        <v>1434</v>
      </c>
      <c r="I132" s="250" t="s">
        <v>1558</v>
      </c>
      <c r="J132" s="251">
        <v>7</v>
      </c>
      <c r="K132" s="251">
        <v>6</v>
      </c>
      <c r="L132" s="252">
        <v>4.8709206039941551E-4</v>
      </c>
    </row>
    <row r="133" spans="2:12">
      <c r="B133"/>
      <c r="C133"/>
      <c r="D133"/>
      <c r="E133"/>
      <c r="H133" s="250" t="s">
        <v>1434</v>
      </c>
      <c r="I133" s="250" t="s">
        <v>1559</v>
      </c>
      <c r="J133" s="251">
        <v>5</v>
      </c>
      <c r="K133" s="251">
        <v>5</v>
      </c>
      <c r="L133" s="252">
        <v>3.479229002852968E-4</v>
      </c>
    </row>
    <row r="134" spans="2:12">
      <c r="B134"/>
      <c r="C134"/>
      <c r="D134"/>
      <c r="E134"/>
      <c r="H134" s="250" t="s">
        <v>1434</v>
      </c>
      <c r="I134" s="250" t="s">
        <v>1560</v>
      </c>
      <c r="J134" s="251">
        <v>6</v>
      </c>
      <c r="K134" s="251">
        <v>3</v>
      </c>
      <c r="L134" s="252">
        <v>4.1750748034235613E-4</v>
      </c>
    </row>
    <row r="135" spans="2:12">
      <c r="B135"/>
      <c r="C135"/>
      <c r="D135"/>
      <c r="E135"/>
      <c r="H135" s="250" t="s">
        <v>1434</v>
      </c>
      <c r="I135" s="250" t="s">
        <v>1561</v>
      </c>
      <c r="J135" s="251">
        <v>9</v>
      </c>
      <c r="K135" s="251">
        <v>7</v>
      </c>
      <c r="L135" s="252">
        <v>6.2626122051353422E-4</v>
      </c>
    </row>
    <row r="136" spans="2:12">
      <c r="B136"/>
      <c r="C136"/>
      <c r="D136"/>
      <c r="E136"/>
      <c r="H136" s="250" t="s">
        <v>1434</v>
      </c>
      <c r="I136" s="250" t="s">
        <v>1447</v>
      </c>
      <c r="J136" s="251">
        <v>10</v>
      </c>
      <c r="K136" s="251">
        <v>8</v>
      </c>
      <c r="L136" s="252">
        <v>6.958458005705936E-4</v>
      </c>
    </row>
    <row r="137" spans="2:12">
      <c r="B137"/>
      <c r="C137"/>
      <c r="D137"/>
      <c r="E137"/>
      <c r="H137" s="250" t="s">
        <v>1434</v>
      </c>
      <c r="I137" s="250" t="s">
        <v>1562</v>
      </c>
      <c r="J137" s="251">
        <v>3</v>
      </c>
      <c r="K137" s="251">
        <v>3</v>
      </c>
      <c r="L137" s="252">
        <v>2.0875374017117806E-4</v>
      </c>
    </row>
    <row r="138" spans="2:12">
      <c r="B138"/>
      <c r="C138"/>
      <c r="D138"/>
      <c r="E138"/>
      <c r="H138" s="250" t="s">
        <v>502</v>
      </c>
      <c r="I138" s="250" t="s">
        <v>1563</v>
      </c>
      <c r="J138" s="251">
        <v>1</v>
      </c>
      <c r="K138" s="251">
        <v>1</v>
      </c>
      <c r="L138" s="252">
        <v>6.9584580057059354E-5</v>
      </c>
    </row>
    <row r="139" spans="2:12">
      <c r="B139"/>
      <c r="C139"/>
      <c r="D139"/>
      <c r="E139"/>
      <c r="H139" s="250" t="s">
        <v>502</v>
      </c>
      <c r="I139" s="250" t="s">
        <v>1564</v>
      </c>
      <c r="J139" s="251">
        <v>1</v>
      </c>
      <c r="K139" s="251">
        <v>1</v>
      </c>
      <c r="L139" s="252">
        <v>6.9584580057059354E-5</v>
      </c>
    </row>
    <row r="140" spans="2:12">
      <c r="B140"/>
      <c r="C140"/>
      <c r="D140"/>
      <c r="E140"/>
      <c r="H140" s="250" t="s">
        <v>502</v>
      </c>
      <c r="I140" s="250" t="s">
        <v>1565</v>
      </c>
      <c r="J140" s="251">
        <v>8</v>
      </c>
      <c r="K140" s="251">
        <v>1</v>
      </c>
      <c r="L140" s="252">
        <v>5.5667664045647484E-4</v>
      </c>
    </row>
    <row r="141" spans="2:12">
      <c r="B141"/>
      <c r="C141"/>
      <c r="D141"/>
      <c r="E141"/>
      <c r="H141" s="250" t="s">
        <v>502</v>
      </c>
      <c r="I141" s="250" t="s">
        <v>1566</v>
      </c>
      <c r="J141" s="251">
        <v>2</v>
      </c>
      <c r="K141" s="251">
        <v>2</v>
      </c>
      <c r="L141" s="252">
        <v>1.3916916011411871E-4</v>
      </c>
    </row>
    <row r="142" spans="2:12">
      <c r="B142"/>
      <c r="C142"/>
      <c r="D142"/>
      <c r="E142"/>
      <c r="H142" s="250" t="s">
        <v>1373</v>
      </c>
      <c r="I142" s="250" t="s">
        <v>1567</v>
      </c>
      <c r="J142" s="251">
        <v>1</v>
      </c>
      <c r="K142" s="251">
        <v>1</v>
      </c>
      <c r="L142" s="252">
        <v>6.9584580057059354E-5</v>
      </c>
    </row>
    <row r="143" spans="2:12">
      <c r="B143"/>
      <c r="C143"/>
      <c r="D143"/>
      <c r="E143"/>
      <c r="H143" s="250" t="s">
        <v>1435</v>
      </c>
      <c r="I143" s="250" t="s">
        <v>1568</v>
      </c>
      <c r="J143" s="251">
        <v>1</v>
      </c>
      <c r="K143" s="251">
        <v>1</v>
      </c>
      <c r="L143" s="252">
        <v>6.9584580057059354E-5</v>
      </c>
    </row>
    <row r="144" spans="2:12">
      <c r="B144"/>
      <c r="C144"/>
      <c r="D144"/>
      <c r="E144"/>
      <c r="H144" s="250" t="s">
        <v>1436</v>
      </c>
      <c r="I144" s="250" t="s">
        <v>1569</v>
      </c>
      <c r="J144" s="251">
        <v>1</v>
      </c>
      <c r="K144" s="251">
        <v>1</v>
      </c>
      <c r="L144" s="252">
        <v>6.9584580057059354E-5</v>
      </c>
    </row>
    <row r="145" spans="2:12">
      <c r="B145"/>
      <c r="C145"/>
      <c r="D145"/>
      <c r="E145"/>
      <c r="H145" s="250" t="s">
        <v>1379</v>
      </c>
      <c r="I145" s="250" t="s">
        <v>1570</v>
      </c>
      <c r="J145" s="251">
        <v>2</v>
      </c>
      <c r="K145" s="251">
        <v>1</v>
      </c>
      <c r="L145" s="252">
        <v>1.3916916011411871E-4</v>
      </c>
    </row>
    <row r="146" spans="2:12">
      <c r="B146"/>
      <c r="C146"/>
      <c r="D146"/>
      <c r="E146"/>
      <c r="H146" s="250" t="s">
        <v>1380</v>
      </c>
      <c r="I146" s="250" t="s">
        <v>1571</v>
      </c>
      <c r="J146" s="251">
        <v>4</v>
      </c>
      <c r="K146" s="251">
        <v>1</v>
      </c>
      <c r="L146" s="252">
        <v>2.7833832022823742E-4</v>
      </c>
    </row>
    <row r="147" spans="2:12">
      <c r="B147"/>
      <c r="C147"/>
      <c r="D147"/>
      <c r="E147"/>
      <c r="H147" s="250" t="s">
        <v>1380</v>
      </c>
      <c r="I147" s="250" t="s">
        <v>1572</v>
      </c>
      <c r="J147" s="251">
        <v>3</v>
      </c>
      <c r="K147" s="251">
        <v>1</v>
      </c>
      <c r="L147" s="252">
        <v>2.0875374017117806E-4</v>
      </c>
    </row>
    <row r="148" spans="2:12">
      <c r="B148"/>
      <c r="C148"/>
      <c r="D148"/>
      <c r="E148"/>
      <c r="H148" s="250" t="s">
        <v>14</v>
      </c>
      <c r="I148" s="250" t="s">
        <v>14</v>
      </c>
      <c r="J148" s="251">
        <v>1845</v>
      </c>
      <c r="K148" s="251">
        <v>103</v>
      </c>
      <c r="L148" s="252">
        <v>0.1283835502052745</v>
      </c>
    </row>
    <row r="149" spans="2:12">
      <c r="B149"/>
      <c r="C149"/>
      <c r="D149"/>
      <c r="E149"/>
      <c r="H149" s="250" t="s">
        <v>1437</v>
      </c>
      <c r="I149" s="250" t="s">
        <v>1573</v>
      </c>
      <c r="J149" s="251">
        <v>2</v>
      </c>
      <c r="K149" s="251">
        <v>1</v>
      </c>
      <c r="L149" s="252">
        <v>1.3916916011411871E-4</v>
      </c>
    </row>
    <row r="150" spans="2:12">
      <c r="B150"/>
      <c r="C150"/>
      <c r="D150"/>
      <c r="E150"/>
      <c r="H150" s="250" t="s">
        <v>1382</v>
      </c>
      <c r="I150" s="250" t="s">
        <v>1574</v>
      </c>
      <c r="J150" s="251">
        <v>1</v>
      </c>
      <c r="K150" s="251">
        <v>1</v>
      </c>
      <c r="L150" s="252">
        <v>6.9584580057059354E-5</v>
      </c>
    </row>
    <row r="151" spans="2:12">
      <c r="B151"/>
      <c r="C151"/>
      <c r="D151"/>
      <c r="E151"/>
      <c r="H151" s="250" t="s">
        <v>1438</v>
      </c>
      <c r="I151" s="250" t="s">
        <v>1575</v>
      </c>
      <c r="J151" s="251">
        <v>1</v>
      </c>
      <c r="K151" s="251">
        <v>1</v>
      </c>
      <c r="L151" s="252">
        <v>6.9584580057059354E-5</v>
      </c>
    </row>
    <row r="152" spans="2:12">
      <c r="B152"/>
      <c r="C152"/>
      <c r="D152"/>
      <c r="E152"/>
      <c r="H152" s="250" t="s">
        <v>1439</v>
      </c>
      <c r="I152" s="250" t="s">
        <v>1576</v>
      </c>
      <c r="J152" s="251">
        <v>1</v>
      </c>
      <c r="K152" s="251">
        <v>1</v>
      </c>
      <c r="L152" s="252">
        <v>6.9584580057059354E-5</v>
      </c>
    </row>
    <row r="153" spans="2:12">
      <c r="B153"/>
      <c r="C153"/>
      <c r="D153"/>
      <c r="E153"/>
      <c r="H153" s="250" t="s">
        <v>1440</v>
      </c>
      <c r="I153" s="250" t="s">
        <v>1577</v>
      </c>
      <c r="J153" s="251">
        <v>1</v>
      </c>
      <c r="K153" s="251">
        <v>1</v>
      </c>
      <c r="L153" s="252">
        <v>6.9584580057059354E-5</v>
      </c>
    </row>
    <row r="154" spans="2:12">
      <c r="B154"/>
      <c r="C154"/>
      <c r="D154"/>
      <c r="E154"/>
      <c r="H154" s="250" t="s">
        <v>1441</v>
      </c>
      <c r="I154" s="250" t="s">
        <v>1578</v>
      </c>
      <c r="J154" s="251">
        <v>2</v>
      </c>
      <c r="K154" s="251">
        <v>1</v>
      </c>
      <c r="L154" s="252">
        <v>1.3916916011411871E-4</v>
      </c>
    </row>
    <row r="155" spans="2:12">
      <c r="B155"/>
      <c r="C155"/>
      <c r="D155"/>
      <c r="E155"/>
      <c r="H155" s="250" t="s">
        <v>1441</v>
      </c>
      <c r="I155" s="250" t="s">
        <v>1579</v>
      </c>
      <c r="J155" s="251">
        <v>5</v>
      </c>
      <c r="K155" s="251">
        <v>4</v>
      </c>
      <c r="L155" s="252">
        <v>3.479229002852968E-4</v>
      </c>
    </row>
    <row r="156" spans="2:12">
      <c r="B156"/>
      <c r="C156"/>
      <c r="D156"/>
      <c r="E156"/>
      <c r="H156" s="250" t="s">
        <v>1441</v>
      </c>
      <c r="I156" s="250" t="s">
        <v>1580</v>
      </c>
      <c r="J156" s="251">
        <v>7</v>
      </c>
      <c r="K156" s="251">
        <v>5</v>
      </c>
      <c r="L156" s="252">
        <v>4.8709206039941551E-4</v>
      </c>
    </row>
    <row r="157" spans="2:12">
      <c r="B157"/>
      <c r="C157"/>
      <c r="D157"/>
      <c r="E157"/>
      <c r="H157" s="250" t="s">
        <v>1441</v>
      </c>
      <c r="I157" s="250" t="s">
        <v>1581</v>
      </c>
      <c r="J157" s="251">
        <v>1</v>
      </c>
      <c r="K157" s="251">
        <v>1</v>
      </c>
      <c r="L157" s="252">
        <v>6.9584580057059354E-5</v>
      </c>
    </row>
    <row r="158" spans="2:12">
      <c r="B158"/>
      <c r="C158"/>
      <c r="D158"/>
      <c r="E158"/>
      <c r="H158" s="250" t="s">
        <v>1441</v>
      </c>
      <c r="I158" s="250" t="s">
        <v>1582</v>
      </c>
      <c r="J158" s="251">
        <v>1</v>
      </c>
      <c r="K158" s="251">
        <v>1</v>
      </c>
      <c r="L158" s="252">
        <v>6.9584580057059354E-5</v>
      </c>
    </row>
    <row r="159" spans="2:12">
      <c r="B159"/>
      <c r="C159"/>
      <c r="D159"/>
      <c r="E159"/>
      <c r="H159" s="250" t="s">
        <v>1441</v>
      </c>
      <c r="I159" s="250" t="s">
        <v>1583</v>
      </c>
      <c r="J159" s="251">
        <v>5</v>
      </c>
      <c r="K159" s="251">
        <v>4</v>
      </c>
      <c r="L159" s="252">
        <v>3.479229002852968E-4</v>
      </c>
    </row>
    <row r="160" spans="2:12">
      <c r="B160"/>
      <c r="C160"/>
      <c r="D160"/>
      <c r="E160"/>
      <c r="H160" s="250" t="s">
        <v>1441</v>
      </c>
      <c r="I160" s="250" t="s">
        <v>1584</v>
      </c>
      <c r="J160" s="251">
        <v>2</v>
      </c>
      <c r="K160" s="251">
        <v>2</v>
      </c>
      <c r="L160" s="252">
        <v>1.3916916011411871E-4</v>
      </c>
    </row>
    <row r="161" spans="2:12">
      <c r="B161"/>
      <c r="C161"/>
      <c r="D161"/>
      <c r="E161"/>
      <c r="H161" s="250" t="s">
        <v>1441</v>
      </c>
      <c r="I161" s="250" t="s">
        <v>1585</v>
      </c>
      <c r="J161" s="251">
        <v>2</v>
      </c>
      <c r="K161" s="251">
        <v>1</v>
      </c>
      <c r="L161" s="252">
        <v>1.3916916011411871E-4</v>
      </c>
    </row>
    <row r="162" spans="2:12">
      <c r="B162"/>
      <c r="C162"/>
      <c r="D162"/>
      <c r="E162"/>
      <c r="H162" s="250" t="s">
        <v>1441</v>
      </c>
      <c r="I162" s="250" t="s">
        <v>1586</v>
      </c>
      <c r="J162" s="251">
        <v>3</v>
      </c>
      <c r="K162" s="251">
        <v>1</v>
      </c>
      <c r="L162" s="252">
        <v>2.0875374017117806E-4</v>
      </c>
    </row>
    <row r="163" spans="2:12">
      <c r="B163"/>
      <c r="C163"/>
      <c r="D163"/>
      <c r="E163"/>
      <c r="H163" s="250" t="s">
        <v>1441</v>
      </c>
      <c r="I163" s="250" t="s">
        <v>1587</v>
      </c>
      <c r="J163" s="251">
        <v>2</v>
      </c>
      <c r="K163" s="251">
        <v>1</v>
      </c>
      <c r="L163" s="252">
        <v>1.3916916011411871E-4</v>
      </c>
    </row>
    <row r="164" spans="2:12">
      <c r="B164"/>
      <c r="C164"/>
      <c r="D164"/>
      <c r="E164"/>
      <c r="H164" s="250" t="s">
        <v>1441</v>
      </c>
      <c r="I164" s="250" t="s">
        <v>1588</v>
      </c>
      <c r="J164" s="251">
        <v>1</v>
      </c>
      <c r="K164" s="251">
        <v>1</v>
      </c>
      <c r="L164" s="252">
        <v>6.9584580057059354E-5</v>
      </c>
    </row>
    <row r="165" spans="2:12">
      <c r="B165"/>
      <c r="C165"/>
      <c r="D165"/>
      <c r="E165"/>
      <c r="H165" s="250" t="s">
        <v>1441</v>
      </c>
      <c r="I165" s="250" t="s">
        <v>1589</v>
      </c>
      <c r="J165" s="251">
        <v>3</v>
      </c>
      <c r="K165" s="251">
        <v>3</v>
      </c>
      <c r="L165" s="252">
        <v>2.0875374017117806E-4</v>
      </c>
    </row>
    <row r="166" spans="2:12">
      <c r="B166"/>
      <c r="C166"/>
      <c r="D166"/>
      <c r="E166"/>
      <c r="H166" s="250" t="s">
        <v>1441</v>
      </c>
      <c r="I166" s="250" t="s">
        <v>1590</v>
      </c>
      <c r="J166" s="251">
        <v>1</v>
      </c>
      <c r="K166" s="251">
        <v>1</v>
      </c>
      <c r="L166" s="252">
        <v>6.9584580057059354E-5</v>
      </c>
    </row>
    <row r="167" spans="2:12">
      <c r="B167"/>
      <c r="C167"/>
      <c r="D167"/>
      <c r="E167"/>
      <c r="H167" s="250" t="s">
        <v>1441</v>
      </c>
      <c r="I167" s="250" t="s">
        <v>1591</v>
      </c>
      <c r="J167" s="251">
        <v>3</v>
      </c>
      <c r="K167" s="251">
        <v>2</v>
      </c>
      <c r="L167" s="252">
        <v>2.0875374017117806E-4</v>
      </c>
    </row>
    <row r="168" spans="2:12">
      <c r="B168"/>
      <c r="C168"/>
      <c r="D168"/>
      <c r="E168"/>
      <c r="H168" s="250" t="s">
        <v>1441</v>
      </c>
      <c r="I168" s="250" t="s">
        <v>1592</v>
      </c>
      <c r="J168" s="251">
        <v>4</v>
      </c>
      <c r="K168" s="251">
        <v>4</v>
      </c>
      <c r="L168" s="252">
        <v>2.7833832022823742E-4</v>
      </c>
    </row>
    <row r="169" spans="2:12">
      <c r="B169"/>
      <c r="C169"/>
      <c r="D169"/>
      <c r="E169"/>
      <c r="H169" s="250" t="s">
        <v>1387</v>
      </c>
      <c r="I169" s="250" t="s">
        <v>1593</v>
      </c>
      <c r="J169" s="251">
        <v>1</v>
      </c>
      <c r="K169" s="251">
        <v>1</v>
      </c>
      <c r="L169" s="252">
        <v>6.9584580057059354E-5</v>
      </c>
    </row>
    <row r="170" spans="2:12">
      <c r="B170"/>
      <c r="C170"/>
      <c r="D170"/>
      <c r="E170"/>
      <c r="H170" s="250" t="s">
        <v>1442</v>
      </c>
      <c r="I170" s="250" t="s">
        <v>1594</v>
      </c>
      <c r="J170" s="251">
        <v>1</v>
      </c>
      <c r="K170" s="251">
        <v>1</v>
      </c>
      <c r="L170" s="252">
        <v>6.9584580057059354E-5</v>
      </c>
    </row>
    <row r="171" spans="2:12">
      <c r="B171"/>
      <c r="C171"/>
      <c r="D171"/>
      <c r="E171"/>
      <c r="H171" s="250" t="s">
        <v>1442</v>
      </c>
      <c r="I171" s="250" t="s">
        <v>1595</v>
      </c>
      <c r="J171" s="251">
        <v>1</v>
      </c>
      <c r="K171" s="251">
        <v>1</v>
      </c>
      <c r="L171" s="252">
        <v>6.9584580057059354E-5</v>
      </c>
    </row>
    <row r="172" spans="2:12">
      <c r="B172"/>
      <c r="C172"/>
      <c r="D172"/>
      <c r="E172"/>
      <c r="H172" s="250" t="s">
        <v>1442</v>
      </c>
      <c r="I172" s="250" t="s">
        <v>1596</v>
      </c>
      <c r="J172" s="251">
        <v>6</v>
      </c>
      <c r="K172" s="251">
        <v>4</v>
      </c>
      <c r="L172" s="252">
        <v>4.1750748034235613E-4</v>
      </c>
    </row>
    <row r="173" spans="2:12">
      <c r="B173"/>
      <c r="C173"/>
      <c r="D173"/>
      <c r="E173"/>
      <c r="H173" s="250" t="s">
        <v>1442</v>
      </c>
      <c r="I173" s="250" t="s">
        <v>1597</v>
      </c>
      <c r="J173" s="251">
        <v>4</v>
      </c>
      <c r="K173" s="251">
        <v>2</v>
      </c>
      <c r="L173" s="252">
        <v>2.7833832022823742E-4</v>
      </c>
    </row>
    <row r="174" spans="2:12">
      <c r="B174"/>
      <c r="C174"/>
      <c r="D174"/>
      <c r="E174"/>
      <c r="H174" s="250" t="s">
        <v>1442</v>
      </c>
      <c r="I174" s="250" t="s">
        <v>1598</v>
      </c>
      <c r="J174" s="251">
        <v>3</v>
      </c>
      <c r="K174" s="251">
        <v>3</v>
      </c>
      <c r="L174" s="252">
        <v>2.0875374017117806E-4</v>
      </c>
    </row>
    <row r="175" spans="2:12">
      <c r="B175"/>
      <c r="C175"/>
      <c r="D175"/>
      <c r="E175"/>
      <c r="H175" s="250" t="s">
        <v>1442</v>
      </c>
      <c r="I175" s="250" t="s">
        <v>1599</v>
      </c>
      <c r="J175" s="251">
        <v>4</v>
      </c>
      <c r="K175" s="251">
        <v>3</v>
      </c>
      <c r="L175" s="252">
        <v>2.7833832022823742E-4</v>
      </c>
    </row>
    <row r="176" spans="2:12">
      <c r="B176"/>
      <c r="C176"/>
      <c r="D176"/>
      <c r="E176"/>
      <c r="H176" s="250" t="s">
        <v>1442</v>
      </c>
      <c r="I176" s="250" t="s">
        <v>1600</v>
      </c>
      <c r="J176" s="251">
        <v>9</v>
      </c>
      <c r="K176" s="251">
        <v>7</v>
      </c>
      <c r="L176" s="252">
        <v>6.2626122051353422E-4</v>
      </c>
    </row>
    <row r="177" spans="2:12">
      <c r="B177"/>
      <c r="C177"/>
      <c r="D177"/>
      <c r="E177"/>
      <c r="H177" s="250" t="s">
        <v>1442</v>
      </c>
      <c r="I177" s="250" t="s">
        <v>1601</v>
      </c>
      <c r="J177" s="251">
        <v>13</v>
      </c>
      <c r="K177" s="251">
        <v>8</v>
      </c>
      <c r="L177" s="252">
        <v>9.0459954074177164E-4</v>
      </c>
    </row>
    <row r="178" spans="2:12">
      <c r="B178"/>
      <c r="C178"/>
      <c r="D178"/>
      <c r="E178"/>
      <c r="H178" s="250" t="s">
        <v>1442</v>
      </c>
      <c r="I178" s="250" t="s">
        <v>1602</v>
      </c>
      <c r="J178" s="251">
        <v>2</v>
      </c>
      <c r="K178" s="251">
        <v>2</v>
      </c>
      <c r="L178" s="252">
        <v>1.3916916011411871E-4</v>
      </c>
    </row>
    <row r="179" spans="2:12">
      <c r="B179"/>
      <c r="C179"/>
      <c r="D179"/>
      <c r="E179"/>
      <c r="H179" s="250" t="s">
        <v>1442</v>
      </c>
      <c r="I179" s="250" t="s">
        <v>1603</v>
      </c>
      <c r="J179" s="251">
        <v>3</v>
      </c>
      <c r="K179" s="251">
        <v>3</v>
      </c>
      <c r="L179" s="252">
        <v>2.0875374017117806E-4</v>
      </c>
    </row>
    <row r="180" spans="2:12">
      <c r="B180"/>
      <c r="C180"/>
      <c r="D180"/>
      <c r="E180"/>
      <c r="H180" s="250" t="s">
        <v>1442</v>
      </c>
      <c r="I180" s="250" t="s">
        <v>1604</v>
      </c>
      <c r="J180" s="251">
        <v>4</v>
      </c>
      <c r="K180" s="251">
        <v>4</v>
      </c>
      <c r="L180" s="252">
        <v>2.7833832022823742E-4</v>
      </c>
    </row>
    <row r="181" spans="2:12">
      <c r="B181"/>
      <c r="C181"/>
      <c r="D181"/>
      <c r="E181"/>
      <c r="H181" s="250" t="s">
        <v>1442</v>
      </c>
      <c r="I181" s="250" t="s">
        <v>1605</v>
      </c>
      <c r="J181" s="251">
        <v>3</v>
      </c>
      <c r="K181" s="251">
        <v>1</v>
      </c>
      <c r="L181" s="252">
        <v>2.0875374017117806E-4</v>
      </c>
    </row>
    <row r="182" spans="2:12">
      <c r="B182"/>
      <c r="C182"/>
      <c r="D182"/>
      <c r="E182"/>
      <c r="H182" s="250" t="s">
        <v>1442</v>
      </c>
      <c r="I182" s="250" t="s">
        <v>1606</v>
      </c>
      <c r="J182" s="251">
        <v>2</v>
      </c>
      <c r="K182" s="251">
        <v>2</v>
      </c>
      <c r="L182" s="252">
        <v>1.3916916011411871E-4</v>
      </c>
    </row>
    <row r="183" spans="2:12">
      <c r="B183"/>
      <c r="C183"/>
      <c r="D183"/>
      <c r="E183"/>
      <c r="H183" s="250" t="s">
        <v>1442</v>
      </c>
      <c r="I183" s="250" t="s">
        <v>1607</v>
      </c>
      <c r="J183" s="251">
        <v>8</v>
      </c>
      <c r="K183" s="251">
        <v>3</v>
      </c>
      <c r="L183" s="252">
        <v>5.5667664045647484E-4</v>
      </c>
    </row>
    <row r="184" spans="2:12">
      <c r="B184"/>
      <c r="C184"/>
      <c r="D184"/>
      <c r="E184"/>
      <c r="H184" s="250" t="s">
        <v>1442</v>
      </c>
      <c r="I184" s="250" t="s">
        <v>1608</v>
      </c>
      <c r="J184" s="251">
        <v>1</v>
      </c>
      <c r="K184" s="251">
        <v>1</v>
      </c>
      <c r="L184" s="252">
        <v>6.9584580057059354E-5</v>
      </c>
    </row>
    <row r="185" spans="2:12">
      <c r="B185"/>
      <c r="C185"/>
      <c r="D185"/>
      <c r="E185"/>
      <c r="H185" s="250" t="s">
        <v>1443</v>
      </c>
      <c r="I185" s="250" t="s">
        <v>1609</v>
      </c>
      <c r="J185" s="251">
        <v>4</v>
      </c>
      <c r="K185" s="251">
        <v>3</v>
      </c>
      <c r="L185" s="252">
        <v>2.7833832022823742E-4</v>
      </c>
    </row>
    <row r="186" spans="2:12">
      <c r="B186"/>
      <c r="C186"/>
      <c r="D186"/>
      <c r="E186"/>
      <c r="H186" s="250" t="s">
        <v>1443</v>
      </c>
      <c r="I186" s="250" t="s">
        <v>1610</v>
      </c>
      <c r="J186" s="251">
        <v>4</v>
      </c>
      <c r="K186" s="251">
        <v>3</v>
      </c>
      <c r="L186" s="252">
        <v>2.7833832022823742E-4</v>
      </c>
    </row>
    <row r="187" spans="2:12">
      <c r="B187"/>
      <c r="C187"/>
      <c r="D187"/>
      <c r="E187"/>
      <c r="H187" s="250" t="s">
        <v>1443</v>
      </c>
      <c r="I187" s="250" t="s">
        <v>504</v>
      </c>
      <c r="J187" s="251">
        <v>5</v>
      </c>
      <c r="K187" s="251">
        <v>4</v>
      </c>
      <c r="L187" s="252">
        <v>3.479229002852968E-4</v>
      </c>
    </row>
    <row r="188" spans="2:12">
      <c r="B188"/>
      <c r="C188"/>
      <c r="D188"/>
      <c r="E188"/>
      <c r="H188" s="250" t="s">
        <v>1443</v>
      </c>
      <c r="I188" s="250" t="s">
        <v>1611</v>
      </c>
      <c r="J188" s="251">
        <v>2</v>
      </c>
      <c r="K188" s="251">
        <v>1</v>
      </c>
      <c r="L188" s="252">
        <v>1.3916916011411871E-4</v>
      </c>
    </row>
    <row r="189" spans="2:12">
      <c r="B189"/>
      <c r="C189"/>
      <c r="D189"/>
      <c r="E189"/>
      <c r="H189" s="250" t="s">
        <v>1443</v>
      </c>
      <c r="I189" s="250" t="s">
        <v>1612</v>
      </c>
      <c r="J189" s="251">
        <v>8</v>
      </c>
      <c r="K189" s="251">
        <v>5</v>
      </c>
      <c r="L189" s="252">
        <v>5.5667664045647484E-4</v>
      </c>
    </row>
    <row r="190" spans="2:12">
      <c r="B190"/>
      <c r="C190"/>
      <c r="D190"/>
      <c r="E190"/>
      <c r="H190" s="250" t="s">
        <v>1443</v>
      </c>
      <c r="I190" s="250" t="s">
        <v>1613</v>
      </c>
      <c r="J190" s="251">
        <v>4</v>
      </c>
      <c r="K190" s="251">
        <v>3</v>
      </c>
      <c r="L190" s="252">
        <v>2.7833832022823742E-4</v>
      </c>
    </row>
    <row r="191" spans="2:12">
      <c r="B191"/>
      <c r="C191"/>
      <c r="D191"/>
      <c r="E191"/>
      <c r="H191" s="250" t="s">
        <v>1443</v>
      </c>
      <c r="I191" s="250" t="s">
        <v>1614</v>
      </c>
      <c r="J191" s="251">
        <v>6</v>
      </c>
      <c r="K191" s="251">
        <v>5</v>
      </c>
      <c r="L191" s="252">
        <v>4.1750748034235613E-4</v>
      </c>
    </row>
    <row r="192" spans="2:12">
      <c r="B192"/>
      <c r="C192"/>
      <c r="D192"/>
      <c r="E192"/>
      <c r="H192" s="250" t="s">
        <v>1443</v>
      </c>
      <c r="I192" s="250" t="s">
        <v>1615</v>
      </c>
      <c r="J192" s="251">
        <v>9</v>
      </c>
      <c r="K192" s="251">
        <v>7</v>
      </c>
      <c r="L192" s="252">
        <v>6.2626122051353422E-4</v>
      </c>
    </row>
    <row r="193" spans="2:12">
      <c r="B193"/>
      <c r="C193"/>
      <c r="D193"/>
      <c r="E193"/>
      <c r="H193" s="250" t="s">
        <v>1443</v>
      </c>
      <c r="I193" s="250" t="s">
        <v>1616</v>
      </c>
      <c r="J193" s="251">
        <v>9</v>
      </c>
      <c r="K193" s="251">
        <v>5</v>
      </c>
      <c r="L193" s="252">
        <v>6.2626122051353422E-4</v>
      </c>
    </row>
    <row r="194" spans="2:12">
      <c r="B194"/>
      <c r="C194"/>
      <c r="D194"/>
      <c r="E194"/>
      <c r="H194" s="250" t="s">
        <v>1443</v>
      </c>
      <c r="I194" s="250" t="s">
        <v>1617</v>
      </c>
      <c r="J194" s="251">
        <v>1</v>
      </c>
      <c r="K194" s="251">
        <v>1</v>
      </c>
      <c r="L194" s="252">
        <v>6.9584580057059354E-5</v>
      </c>
    </row>
    <row r="195" spans="2:12">
      <c r="B195"/>
      <c r="C195"/>
      <c r="D195"/>
      <c r="E195"/>
      <c r="H195" s="250" t="s">
        <v>1443</v>
      </c>
      <c r="I195" s="250" t="s">
        <v>1618</v>
      </c>
      <c r="J195" s="251">
        <v>4</v>
      </c>
      <c r="K195" s="251">
        <v>2</v>
      </c>
      <c r="L195" s="252">
        <v>2.7833832022823742E-4</v>
      </c>
    </row>
    <row r="196" spans="2:12">
      <c r="B196"/>
      <c r="C196"/>
      <c r="D196"/>
      <c r="E196"/>
      <c r="H196" s="250" t="s">
        <v>1443</v>
      </c>
      <c r="I196" s="250" t="s">
        <v>1619</v>
      </c>
      <c r="J196" s="251">
        <v>5</v>
      </c>
      <c r="K196" s="251">
        <v>5</v>
      </c>
      <c r="L196" s="252">
        <v>3.479229002852968E-4</v>
      </c>
    </row>
    <row r="197" spans="2:12">
      <c r="B197"/>
      <c r="C197"/>
      <c r="D197"/>
      <c r="E197"/>
      <c r="H197" s="250" t="s">
        <v>1443</v>
      </c>
      <c r="I197" s="250" t="s">
        <v>1528</v>
      </c>
      <c r="J197" s="251">
        <v>7</v>
      </c>
      <c r="K197" s="251">
        <v>7</v>
      </c>
      <c r="L197" s="252">
        <v>4.8709206039941551E-4</v>
      </c>
    </row>
    <row r="198" spans="2:12">
      <c r="B198"/>
      <c r="C198"/>
      <c r="D198"/>
      <c r="E198"/>
      <c r="H198" s="250" t="s">
        <v>1443</v>
      </c>
      <c r="I198" s="250" t="s">
        <v>1620</v>
      </c>
      <c r="J198" s="251">
        <v>1</v>
      </c>
      <c r="K198" s="251">
        <v>1</v>
      </c>
      <c r="L198" s="252">
        <v>6.9584580057059354E-5</v>
      </c>
    </row>
    <row r="199" spans="2:12">
      <c r="B199"/>
      <c r="C199"/>
      <c r="D199"/>
      <c r="E199"/>
      <c r="H199" s="250" t="s">
        <v>1443</v>
      </c>
      <c r="I199" s="250" t="s">
        <v>1621</v>
      </c>
      <c r="J199" s="251">
        <v>3</v>
      </c>
      <c r="K199" s="251">
        <v>3</v>
      </c>
      <c r="L199" s="252">
        <v>2.0875374017117806E-4</v>
      </c>
    </row>
    <row r="200" spans="2:12">
      <c r="B200"/>
      <c r="C200"/>
      <c r="D200"/>
      <c r="E200"/>
      <c r="H200" s="250" t="s">
        <v>1443</v>
      </c>
      <c r="I200" s="250" t="s">
        <v>1622</v>
      </c>
      <c r="J200" s="251">
        <v>6</v>
      </c>
      <c r="K200" s="251">
        <v>5</v>
      </c>
      <c r="L200" s="252">
        <v>4.1750748034235613E-4</v>
      </c>
    </row>
    <row r="201" spans="2:12">
      <c r="B201"/>
      <c r="C201"/>
      <c r="D201"/>
      <c r="E201"/>
      <c r="H201" s="250" t="s">
        <v>1443</v>
      </c>
      <c r="I201" s="250" t="s">
        <v>1623</v>
      </c>
      <c r="J201" s="251">
        <v>2</v>
      </c>
      <c r="K201" s="251">
        <v>1</v>
      </c>
      <c r="L201" s="252">
        <v>1.3916916011411871E-4</v>
      </c>
    </row>
    <row r="202" spans="2:12">
      <c r="B202"/>
      <c r="C202"/>
      <c r="D202"/>
      <c r="E202"/>
      <c r="H202" s="250" t="s">
        <v>1443</v>
      </c>
      <c r="I202" s="250" t="s">
        <v>1624</v>
      </c>
      <c r="J202" s="251">
        <v>1</v>
      </c>
      <c r="K202" s="251">
        <v>1</v>
      </c>
      <c r="L202" s="252">
        <v>6.9584580057059354E-5</v>
      </c>
    </row>
    <row r="203" spans="2:12">
      <c r="B203"/>
      <c r="C203"/>
      <c r="D203"/>
      <c r="E203"/>
      <c r="H203" s="250" t="s">
        <v>1443</v>
      </c>
      <c r="I203" s="250" t="s">
        <v>1625</v>
      </c>
      <c r="J203" s="251">
        <v>6</v>
      </c>
      <c r="K203" s="251">
        <v>4</v>
      </c>
      <c r="L203" s="252">
        <v>4.1750748034235613E-4</v>
      </c>
    </row>
    <row r="204" spans="2:12">
      <c r="B204"/>
      <c r="C204"/>
      <c r="D204"/>
      <c r="E204"/>
      <c r="H204" s="250" t="s">
        <v>1443</v>
      </c>
      <c r="I204" s="250" t="s">
        <v>1626</v>
      </c>
      <c r="J204" s="251">
        <v>2</v>
      </c>
      <c r="K204" s="251">
        <v>2</v>
      </c>
      <c r="L204" s="252">
        <v>1.3916916011411871E-4</v>
      </c>
    </row>
    <row r="205" spans="2:12">
      <c r="B205"/>
      <c r="C205"/>
      <c r="D205"/>
      <c r="E205"/>
      <c r="H205" s="250" t="s">
        <v>1443</v>
      </c>
      <c r="I205" s="250" t="s">
        <v>1627</v>
      </c>
      <c r="J205" s="251">
        <v>3</v>
      </c>
      <c r="K205" s="251">
        <v>2</v>
      </c>
      <c r="L205" s="252">
        <v>2.0875374017117806E-4</v>
      </c>
    </row>
    <row r="206" spans="2:12">
      <c r="B206"/>
      <c r="C206"/>
      <c r="D206"/>
      <c r="E206"/>
      <c r="H206" s="250" t="s">
        <v>1443</v>
      </c>
      <c r="I206" s="250" t="s">
        <v>1628</v>
      </c>
      <c r="J206" s="251">
        <v>5</v>
      </c>
      <c r="K206" s="251">
        <v>2</v>
      </c>
      <c r="L206" s="252">
        <v>3.479229002852968E-4</v>
      </c>
    </row>
    <row r="207" spans="2:12">
      <c r="B207"/>
      <c r="C207"/>
      <c r="D207"/>
      <c r="E207"/>
      <c r="H207" s="250" t="s">
        <v>1443</v>
      </c>
      <c r="I207" s="250" t="s">
        <v>1629</v>
      </c>
      <c r="J207" s="251">
        <v>2</v>
      </c>
      <c r="K207" s="251">
        <v>2</v>
      </c>
      <c r="L207" s="252">
        <v>1.3916916011411871E-4</v>
      </c>
    </row>
    <row r="208" spans="2:12">
      <c r="B208"/>
      <c r="C208"/>
      <c r="D208"/>
      <c r="E208"/>
      <c r="H208" s="250" t="s">
        <v>1444</v>
      </c>
      <c r="I208" s="250" t="s">
        <v>1630</v>
      </c>
      <c r="J208" s="251">
        <v>20</v>
      </c>
      <c r="K208" s="251">
        <v>11</v>
      </c>
      <c r="L208" s="252">
        <v>1.3916916011411872E-3</v>
      </c>
    </row>
    <row r="209" spans="2:12">
      <c r="B209"/>
      <c r="C209"/>
      <c r="D209"/>
      <c r="E209"/>
      <c r="H209" s="250" t="s">
        <v>1444</v>
      </c>
      <c r="I209" s="250" t="s">
        <v>1631</v>
      </c>
      <c r="J209" s="251">
        <v>9</v>
      </c>
      <c r="K209" s="251">
        <v>4</v>
      </c>
      <c r="L209" s="252">
        <v>6.2626122051353422E-4</v>
      </c>
    </row>
    <row r="210" spans="2:12">
      <c r="B210"/>
      <c r="C210"/>
      <c r="D210"/>
      <c r="E210"/>
      <c r="H210" s="250" t="s">
        <v>1444</v>
      </c>
      <c r="I210" s="250" t="s">
        <v>1632</v>
      </c>
      <c r="J210" s="251">
        <v>19</v>
      </c>
      <c r="K210" s="251">
        <v>9</v>
      </c>
      <c r="L210" s="252">
        <v>1.3221070210841278E-3</v>
      </c>
    </row>
    <row r="211" spans="2:12">
      <c r="B211"/>
      <c r="C211"/>
      <c r="D211"/>
      <c r="E211"/>
      <c r="H211" s="250" t="s">
        <v>1444</v>
      </c>
      <c r="I211" s="250" t="s">
        <v>1633</v>
      </c>
      <c r="J211" s="251">
        <v>4</v>
      </c>
      <c r="K211" s="251">
        <v>2</v>
      </c>
      <c r="L211" s="252">
        <v>2.7833832022823742E-4</v>
      </c>
    </row>
    <row r="212" spans="2:12">
      <c r="B212"/>
      <c r="C212"/>
      <c r="D212"/>
      <c r="E212"/>
      <c r="H212" s="250" t="s">
        <v>1444</v>
      </c>
      <c r="I212" s="250" t="s">
        <v>1634</v>
      </c>
      <c r="J212" s="251">
        <v>5</v>
      </c>
      <c r="K212" s="251">
        <v>4</v>
      </c>
      <c r="L212" s="252">
        <v>3.479229002852968E-4</v>
      </c>
    </row>
    <row r="213" spans="2:12">
      <c r="B213"/>
      <c r="C213"/>
      <c r="D213"/>
      <c r="E213"/>
      <c r="H213" s="250" t="s">
        <v>1444</v>
      </c>
      <c r="I213" s="250" t="s">
        <v>1635</v>
      </c>
      <c r="J213" s="251">
        <v>5</v>
      </c>
      <c r="K213" s="251">
        <v>3</v>
      </c>
      <c r="L213" s="252">
        <v>3.479229002852968E-4</v>
      </c>
    </row>
    <row r="214" spans="2:12">
      <c r="B214"/>
      <c r="C214"/>
      <c r="D214"/>
      <c r="E214"/>
      <c r="H214" s="250" t="s">
        <v>1444</v>
      </c>
      <c r="I214" s="250" t="s">
        <v>1596</v>
      </c>
      <c r="J214" s="251">
        <v>3</v>
      </c>
      <c r="K214" s="251">
        <v>2</v>
      </c>
      <c r="L214" s="252">
        <v>2.0875374017117806E-4</v>
      </c>
    </row>
    <row r="215" spans="2:12">
      <c r="B215"/>
      <c r="C215"/>
      <c r="D215"/>
      <c r="E215"/>
      <c r="H215" s="250" t="s">
        <v>1444</v>
      </c>
      <c r="I215" s="250" t="s">
        <v>1636</v>
      </c>
      <c r="J215" s="251">
        <v>5</v>
      </c>
      <c r="K215" s="251">
        <v>2</v>
      </c>
      <c r="L215" s="252">
        <v>3.479229002852968E-4</v>
      </c>
    </row>
    <row r="216" spans="2:12">
      <c r="B216"/>
      <c r="C216"/>
      <c r="D216"/>
      <c r="E216"/>
      <c r="H216" s="250" t="s">
        <v>1444</v>
      </c>
      <c r="I216" s="250" t="s">
        <v>1637</v>
      </c>
      <c r="J216" s="251">
        <v>17</v>
      </c>
      <c r="K216" s="251">
        <v>3</v>
      </c>
      <c r="L216" s="252">
        <v>1.1829378609700091E-3</v>
      </c>
    </row>
    <row r="217" spans="2:12">
      <c r="B217"/>
      <c r="C217"/>
      <c r="D217"/>
      <c r="E217"/>
      <c r="H217" s="250" t="s">
        <v>1444</v>
      </c>
      <c r="I217" s="250" t="s">
        <v>1638</v>
      </c>
      <c r="J217" s="251">
        <v>1</v>
      </c>
      <c r="K217" s="251">
        <v>1</v>
      </c>
      <c r="L217" s="252">
        <v>6.9584580057059354E-5</v>
      </c>
    </row>
    <row r="218" spans="2:12">
      <c r="B218"/>
      <c r="C218"/>
      <c r="D218"/>
      <c r="E218"/>
      <c r="H218" s="250" t="s">
        <v>1444</v>
      </c>
      <c r="I218" s="250" t="s">
        <v>1639</v>
      </c>
      <c r="J218" s="251">
        <v>5</v>
      </c>
      <c r="K218" s="251">
        <v>5</v>
      </c>
      <c r="L218" s="252">
        <v>3.479229002852968E-4</v>
      </c>
    </row>
    <row r="219" spans="2:12">
      <c r="B219"/>
      <c r="C219"/>
      <c r="D219"/>
      <c r="E219"/>
      <c r="H219" s="250" t="s">
        <v>1444</v>
      </c>
      <c r="I219" s="250" t="s">
        <v>1640</v>
      </c>
      <c r="J219" s="251">
        <v>19</v>
      </c>
      <c r="K219" s="251">
        <v>14</v>
      </c>
      <c r="L219" s="252">
        <v>1.3221070210841278E-3</v>
      </c>
    </row>
    <row r="220" spans="2:12">
      <c r="B220"/>
      <c r="C220"/>
      <c r="D220"/>
      <c r="E220"/>
      <c r="H220" s="250" t="s">
        <v>1444</v>
      </c>
      <c r="I220" s="250" t="s">
        <v>1641</v>
      </c>
      <c r="J220" s="251">
        <v>35</v>
      </c>
      <c r="K220" s="251">
        <v>25</v>
      </c>
      <c r="L220" s="252">
        <v>2.4354603019970775E-3</v>
      </c>
    </row>
    <row r="221" spans="2:12">
      <c r="B221"/>
      <c r="C221"/>
      <c r="D221"/>
      <c r="E221"/>
      <c r="H221" s="250" t="s">
        <v>1444</v>
      </c>
      <c r="I221" s="250" t="s">
        <v>1642</v>
      </c>
      <c r="J221" s="251">
        <v>16</v>
      </c>
      <c r="K221" s="251">
        <v>9</v>
      </c>
      <c r="L221" s="252">
        <v>1.1133532809129497E-3</v>
      </c>
    </row>
    <row r="222" spans="2:12">
      <c r="B222"/>
      <c r="C222"/>
      <c r="D222"/>
      <c r="E222"/>
      <c r="H222" s="250" t="s">
        <v>1444</v>
      </c>
      <c r="I222" s="250" t="s">
        <v>1643</v>
      </c>
      <c r="J222" s="251">
        <v>4</v>
      </c>
      <c r="K222" s="251">
        <v>3</v>
      </c>
      <c r="L222" s="252">
        <v>2.7833832022823742E-4</v>
      </c>
    </row>
    <row r="223" spans="2:12">
      <c r="B223"/>
      <c r="C223"/>
      <c r="D223"/>
      <c r="E223"/>
      <c r="H223" s="250" t="s">
        <v>1444</v>
      </c>
      <c r="I223" s="250" t="s">
        <v>1644</v>
      </c>
      <c r="J223" s="251">
        <v>30</v>
      </c>
      <c r="K223" s="251">
        <v>8</v>
      </c>
      <c r="L223" s="252">
        <v>2.0875374017117806E-3</v>
      </c>
    </row>
    <row r="224" spans="2:12">
      <c r="B224"/>
      <c r="C224"/>
      <c r="D224"/>
      <c r="E224"/>
      <c r="H224" s="250" t="s">
        <v>1444</v>
      </c>
      <c r="I224" s="250" t="s">
        <v>1645</v>
      </c>
      <c r="J224" s="251">
        <v>4</v>
      </c>
      <c r="K224" s="251">
        <v>3</v>
      </c>
      <c r="L224" s="252">
        <v>2.7833832022823742E-4</v>
      </c>
    </row>
    <row r="225" spans="2:12">
      <c r="B225"/>
      <c r="C225"/>
      <c r="D225"/>
      <c r="E225"/>
      <c r="H225" s="250" t="s">
        <v>1445</v>
      </c>
      <c r="I225" s="250" t="s">
        <v>1646</v>
      </c>
      <c r="J225" s="251">
        <v>3</v>
      </c>
      <c r="K225" s="251">
        <v>1</v>
      </c>
      <c r="L225" s="252">
        <v>2.0875374017117806E-4</v>
      </c>
    </row>
    <row r="226" spans="2:12">
      <c r="B226"/>
      <c r="C226"/>
      <c r="D226"/>
      <c r="E226"/>
      <c r="H226" s="250" t="s">
        <v>1446</v>
      </c>
      <c r="I226" s="250" t="s">
        <v>1602</v>
      </c>
      <c r="J226" s="251">
        <v>1</v>
      </c>
      <c r="K226" s="251">
        <v>1</v>
      </c>
      <c r="L226" s="252">
        <v>6.9584580057059354E-5</v>
      </c>
    </row>
    <row r="227" spans="2:12">
      <c r="B227"/>
      <c r="C227"/>
      <c r="D227"/>
      <c r="E227"/>
      <c r="H227" s="250" t="s">
        <v>1395</v>
      </c>
      <c r="I227" s="250" t="s">
        <v>1647</v>
      </c>
      <c r="J227" s="251">
        <v>1</v>
      </c>
      <c r="K227" s="251">
        <v>1</v>
      </c>
      <c r="L227" s="252">
        <v>6.9584580057059354E-5</v>
      </c>
    </row>
    <row r="228" spans="2:12">
      <c r="B228"/>
      <c r="C228"/>
      <c r="D228"/>
      <c r="E228"/>
      <c r="H228" s="250" t="s">
        <v>1447</v>
      </c>
      <c r="I228" s="250" t="s">
        <v>1648</v>
      </c>
      <c r="J228" s="251">
        <v>1</v>
      </c>
      <c r="K228" s="251">
        <v>1</v>
      </c>
      <c r="L228" s="252">
        <v>6.9584580057059354E-5</v>
      </c>
    </row>
    <row r="229" spans="2:12">
      <c r="B229"/>
      <c r="C229"/>
      <c r="D229"/>
      <c r="E229"/>
      <c r="H229" s="250" t="s">
        <v>1448</v>
      </c>
      <c r="I229" s="250" t="s">
        <v>1649</v>
      </c>
      <c r="J229" s="251">
        <v>1</v>
      </c>
      <c r="K229" s="251">
        <v>1</v>
      </c>
      <c r="L229" s="252">
        <v>6.9584580057059354E-5</v>
      </c>
    </row>
    <row r="230" spans="2:12">
      <c r="B230"/>
      <c r="C230"/>
      <c r="D230"/>
      <c r="E230"/>
      <c r="H230" s="250" t="s">
        <v>503</v>
      </c>
      <c r="I230" s="250" t="s">
        <v>1650</v>
      </c>
      <c r="J230" s="251">
        <v>1</v>
      </c>
      <c r="K230" s="251">
        <v>1</v>
      </c>
      <c r="L230" s="252">
        <v>6.9584580057059354E-5</v>
      </c>
    </row>
    <row r="231" spans="2:12">
      <c r="B231"/>
      <c r="C231"/>
      <c r="D231"/>
      <c r="E231"/>
      <c r="H231" s="250" t="s">
        <v>1449</v>
      </c>
      <c r="I231" s="250" t="s">
        <v>1651</v>
      </c>
      <c r="J231" s="251">
        <v>2</v>
      </c>
      <c r="K231" s="251">
        <v>2</v>
      </c>
      <c r="L231" s="252">
        <v>1.3916916011411871E-4</v>
      </c>
    </row>
    <row r="232" spans="2:12">
      <c r="B232"/>
      <c r="C232"/>
      <c r="D232"/>
      <c r="E232"/>
      <c r="H232" s="250" t="s">
        <v>1449</v>
      </c>
      <c r="I232" s="250" t="s">
        <v>1652</v>
      </c>
      <c r="J232" s="251">
        <v>1</v>
      </c>
      <c r="K232" s="251">
        <v>1</v>
      </c>
      <c r="L232" s="252">
        <v>6.9584580057059354E-5</v>
      </c>
    </row>
    <row r="233" spans="2:12">
      <c r="B233"/>
      <c r="C233"/>
      <c r="D233"/>
      <c r="E233"/>
      <c r="H233" s="250" t="s">
        <v>1449</v>
      </c>
      <c r="I233" s="250" t="s">
        <v>1653</v>
      </c>
      <c r="J233" s="251">
        <v>2</v>
      </c>
      <c r="K233" s="251">
        <v>1</v>
      </c>
      <c r="L233" s="252">
        <v>1.3916916011411871E-4</v>
      </c>
    </row>
    <row r="234" spans="2:12">
      <c r="B234"/>
      <c r="C234"/>
      <c r="D234"/>
      <c r="E234"/>
      <c r="H234" s="250" t="s">
        <v>1450</v>
      </c>
      <c r="I234" s="250" t="s">
        <v>1654</v>
      </c>
      <c r="J234" s="251">
        <v>415</v>
      </c>
      <c r="K234" s="251">
        <v>110</v>
      </c>
      <c r="L234" s="252">
        <v>2.8877600723679633E-2</v>
      </c>
    </row>
    <row r="235" spans="2:12">
      <c r="B235"/>
      <c r="C235"/>
      <c r="D235"/>
      <c r="E235"/>
      <c r="H235" s="250" t="s">
        <v>1450</v>
      </c>
      <c r="I235" s="250" t="s">
        <v>1655</v>
      </c>
      <c r="J235" s="251">
        <v>99</v>
      </c>
      <c r="K235" s="251">
        <v>28</v>
      </c>
      <c r="L235" s="252">
        <v>6.8888734256488766E-3</v>
      </c>
    </row>
    <row r="236" spans="2:12">
      <c r="B236"/>
      <c r="C236"/>
      <c r="D236"/>
      <c r="E236"/>
      <c r="H236" s="250" t="s">
        <v>1450</v>
      </c>
      <c r="I236" s="250" t="s">
        <v>1656</v>
      </c>
      <c r="J236" s="251">
        <v>945</v>
      </c>
      <c r="K236" s="251">
        <v>226</v>
      </c>
      <c r="L236" s="252">
        <v>6.5757428153921091E-2</v>
      </c>
    </row>
    <row r="237" spans="2:12">
      <c r="B237"/>
      <c r="C237"/>
      <c r="D237"/>
      <c r="E237"/>
      <c r="H237" s="250" t="s">
        <v>1450</v>
      </c>
      <c r="I237" s="250" t="s">
        <v>1657</v>
      </c>
      <c r="J237" s="251">
        <v>82</v>
      </c>
      <c r="K237" s="251">
        <v>21</v>
      </c>
      <c r="L237" s="252">
        <v>5.7059355646788676E-3</v>
      </c>
    </row>
    <row r="238" spans="2:12">
      <c r="B238"/>
      <c r="C238"/>
      <c r="D238"/>
      <c r="E238"/>
      <c r="H238" s="250" t="s">
        <v>1450</v>
      </c>
      <c r="I238" s="250" t="s">
        <v>1658</v>
      </c>
      <c r="J238" s="251">
        <v>472</v>
      </c>
      <c r="K238" s="251">
        <v>122</v>
      </c>
      <c r="L238" s="252">
        <v>3.2843921786932018E-2</v>
      </c>
    </row>
    <row r="239" spans="2:12">
      <c r="B239"/>
      <c r="C239"/>
      <c r="D239"/>
      <c r="E239"/>
      <c r="H239" s="250" t="s">
        <v>1450</v>
      </c>
      <c r="I239" s="250" t="s">
        <v>1659</v>
      </c>
      <c r="J239" s="251">
        <v>475</v>
      </c>
      <c r="K239" s="251">
        <v>135</v>
      </c>
      <c r="L239" s="252">
        <v>3.3052675527103191E-2</v>
      </c>
    </row>
    <row r="240" spans="2:12">
      <c r="B240"/>
      <c r="C240"/>
      <c r="D240"/>
      <c r="E240"/>
      <c r="H240" s="250" t="s">
        <v>1450</v>
      </c>
      <c r="I240" s="250" t="s">
        <v>1660</v>
      </c>
      <c r="J240" s="251">
        <v>73</v>
      </c>
      <c r="K240" s="251">
        <v>31</v>
      </c>
      <c r="L240" s="252">
        <v>5.0796743441653327E-3</v>
      </c>
    </row>
    <row r="241" spans="2:12">
      <c r="B241"/>
      <c r="C241"/>
      <c r="D241"/>
      <c r="E241"/>
      <c r="H241" s="250" t="s">
        <v>1450</v>
      </c>
      <c r="I241" s="250" t="s">
        <v>1661</v>
      </c>
      <c r="J241" s="251">
        <v>1236</v>
      </c>
      <c r="K241" s="251">
        <v>313</v>
      </c>
      <c r="L241" s="252">
        <v>8.6006540950525359E-2</v>
      </c>
    </row>
    <row r="242" spans="2:12">
      <c r="B242"/>
      <c r="C242"/>
      <c r="D242"/>
      <c r="E242"/>
      <c r="H242" s="250" t="s">
        <v>1450</v>
      </c>
      <c r="I242" s="250" t="s">
        <v>1662</v>
      </c>
      <c r="J242" s="251">
        <v>451</v>
      </c>
      <c r="K242" s="251">
        <v>116</v>
      </c>
      <c r="L242" s="252">
        <v>3.1382645605733769E-2</v>
      </c>
    </row>
    <row r="243" spans="2:12">
      <c r="B243"/>
      <c r="C243"/>
      <c r="D243"/>
      <c r="E243"/>
      <c r="H243" s="250" t="s">
        <v>1450</v>
      </c>
      <c r="I243" s="250" t="s">
        <v>1663</v>
      </c>
      <c r="J243" s="251">
        <v>1244</v>
      </c>
      <c r="K243" s="251">
        <v>305</v>
      </c>
      <c r="L243" s="252">
        <v>8.6563217590981845E-2</v>
      </c>
    </row>
    <row r="244" spans="2:12">
      <c r="B244"/>
      <c r="C244"/>
      <c r="D244"/>
      <c r="E244"/>
      <c r="H244" s="250" t="s">
        <v>1450</v>
      </c>
      <c r="I244" s="250" t="s">
        <v>1664</v>
      </c>
      <c r="J244" s="251">
        <v>101</v>
      </c>
      <c r="K244" s="251">
        <v>36</v>
      </c>
      <c r="L244" s="252">
        <v>7.0280425857629945E-3</v>
      </c>
    </row>
    <row r="245" spans="2:12">
      <c r="B245"/>
      <c r="C245"/>
      <c r="D245"/>
      <c r="E245"/>
      <c r="H245" s="250" t="s">
        <v>1450</v>
      </c>
      <c r="I245" s="250" t="s">
        <v>1665</v>
      </c>
      <c r="J245" s="251">
        <v>1054</v>
      </c>
      <c r="K245" s="251">
        <v>236</v>
      </c>
      <c r="L245" s="252">
        <v>7.3342147380140554E-2</v>
      </c>
    </row>
    <row r="246" spans="2:12">
      <c r="B246"/>
      <c r="C246"/>
      <c r="D246"/>
      <c r="E246"/>
      <c r="H246" s="250" t="s">
        <v>1450</v>
      </c>
      <c r="I246" s="250" t="s">
        <v>1666</v>
      </c>
      <c r="J246" s="251">
        <v>617</v>
      </c>
      <c r="K246" s="251">
        <v>153</v>
      </c>
      <c r="L246" s="252">
        <v>4.2933685895205624E-2</v>
      </c>
    </row>
    <row r="247" spans="2:12">
      <c r="B247"/>
      <c r="C247"/>
      <c r="D247"/>
      <c r="E247"/>
      <c r="H247" s="250" t="s">
        <v>1450</v>
      </c>
      <c r="I247" s="250" t="s">
        <v>1667</v>
      </c>
      <c r="J247" s="251">
        <v>554</v>
      </c>
      <c r="K247" s="251">
        <v>157</v>
      </c>
      <c r="L247" s="252">
        <v>3.8549857351610886E-2</v>
      </c>
    </row>
    <row r="248" spans="2:12">
      <c r="B248"/>
      <c r="C248"/>
      <c r="D248"/>
      <c r="E248"/>
      <c r="H248" s="250" t="s">
        <v>1450</v>
      </c>
      <c r="I248" s="250" t="s">
        <v>1668</v>
      </c>
      <c r="J248" s="251">
        <v>6</v>
      </c>
      <c r="K248" s="251">
        <v>2</v>
      </c>
      <c r="L248" s="252">
        <v>4.1750748034235613E-4</v>
      </c>
    </row>
    <row r="249" spans="2:12">
      <c r="B249"/>
      <c r="C249"/>
      <c r="D249"/>
      <c r="E249"/>
      <c r="H249" s="250" t="s">
        <v>1450</v>
      </c>
      <c r="I249" s="250" t="s">
        <v>1669</v>
      </c>
      <c r="J249" s="251">
        <v>741</v>
      </c>
      <c r="K249" s="251">
        <v>236</v>
      </c>
      <c r="L249" s="252">
        <v>5.1562173822280982E-2</v>
      </c>
    </row>
    <row r="250" spans="2:12">
      <c r="B250"/>
      <c r="C250"/>
      <c r="D250"/>
      <c r="E250"/>
      <c r="H250" s="250" t="s">
        <v>1450</v>
      </c>
      <c r="I250" s="250" t="s">
        <v>1670</v>
      </c>
      <c r="J250" s="251">
        <v>277</v>
      </c>
      <c r="K250" s="251">
        <v>67</v>
      </c>
      <c r="L250" s="252">
        <v>1.9274928675805443E-2</v>
      </c>
    </row>
    <row r="251" spans="2:12">
      <c r="B251"/>
      <c r="C251"/>
      <c r="D251"/>
      <c r="E251"/>
      <c r="H251" s="250" t="s">
        <v>1450</v>
      </c>
      <c r="I251" s="250" t="s">
        <v>1671</v>
      </c>
      <c r="J251" s="251">
        <v>542</v>
      </c>
      <c r="K251" s="251">
        <v>161</v>
      </c>
      <c r="L251" s="252">
        <v>3.7714842390926172E-2</v>
      </c>
    </row>
    <row r="252" spans="2:12">
      <c r="B252"/>
      <c r="C252"/>
      <c r="D252"/>
      <c r="E252"/>
      <c r="H252" s="250" t="s">
        <v>1450</v>
      </c>
      <c r="I252" s="250" t="s">
        <v>1672</v>
      </c>
      <c r="J252" s="251">
        <v>155</v>
      </c>
      <c r="K252" s="251">
        <v>51</v>
      </c>
      <c r="L252" s="252">
        <v>1.0785609908844199E-2</v>
      </c>
    </row>
    <row r="253" spans="2:12">
      <c r="B253"/>
      <c r="C253"/>
      <c r="D253"/>
      <c r="E253"/>
      <c r="H253" s="250" t="s">
        <v>1450</v>
      </c>
      <c r="I253" s="250" t="s">
        <v>1673</v>
      </c>
      <c r="J253" s="251">
        <v>147</v>
      </c>
      <c r="K253" s="251">
        <v>50</v>
      </c>
      <c r="L253" s="252">
        <v>1.0228933268387726E-2</v>
      </c>
    </row>
    <row r="254" spans="2:12">
      <c r="B254"/>
      <c r="C254"/>
      <c r="D254"/>
      <c r="E254"/>
      <c r="H254" s="250" t="s">
        <v>1450</v>
      </c>
      <c r="I254" s="250" t="s">
        <v>1674</v>
      </c>
      <c r="J254" s="251">
        <v>1612</v>
      </c>
      <c r="K254" s="251">
        <v>362</v>
      </c>
      <c r="L254" s="252">
        <v>0.11217034305197968</v>
      </c>
    </row>
    <row r="255" spans="2:12">
      <c r="B255"/>
      <c r="C255"/>
      <c r="D255"/>
      <c r="E255"/>
      <c r="H255" s="250" t="s">
        <v>1450</v>
      </c>
      <c r="I255" s="250" t="s">
        <v>1675</v>
      </c>
      <c r="J255" s="251">
        <v>77</v>
      </c>
      <c r="K255" s="251">
        <v>26</v>
      </c>
      <c r="L255" s="252">
        <v>5.3580126643935702E-3</v>
      </c>
    </row>
    <row r="256" spans="2:12">
      <c r="B256"/>
      <c r="C256"/>
      <c r="D256"/>
      <c r="E256"/>
      <c r="H256" s="269" t="s">
        <v>34</v>
      </c>
      <c r="I256" s="269"/>
      <c r="J256" s="266">
        <v>14371</v>
      </c>
      <c r="K256" s="266">
        <v>3747</v>
      </c>
      <c r="L256" s="267">
        <v>1</v>
      </c>
    </row>
    <row r="257" spans="2:12">
      <c r="B257"/>
      <c r="C257"/>
      <c r="D257"/>
      <c r="E257"/>
      <c r="H257"/>
      <c r="I257"/>
      <c r="J257"/>
      <c r="K257"/>
      <c r="L257"/>
    </row>
    <row r="258" spans="2:12">
      <c r="B258"/>
      <c r="C258"/>
      <c r="D258"/>
      <c r="E258"/>
      <c r="H258"/>
      <c r="I258"/>
      <c r="J258"/>
      <c r="K258"/>
      <c r="L258"/>
    </row>
    <row r="259" spans="2:12">
      <c r="B259"/>
      <c r="C259"/>
      <c r="D259"/>
      <c r="E259"/>
      <c r="H259"/>
      <c r="I259"/>
      <c r="J259"/>
      <c r="K259"/>
      <c r="L259"/>
    </row>
    <row r="260" spans="2:12">
      <c r="B260"/>
      <c r="C260"/>
      <c r="D260"/>
      <c r="E260"/>
      <c r="H260"/>
      <c r="I260"/>
      <c r="J260"/>
      <c r="K260"/>
      <c r="L260"/>
    </row>
    <row r="261" spans="2:12">
      <c r="B261"/>
      <c r="C261"/>
      <c r="D261"/>
      <c r="E261"/>
      <c r="H261"/>
      <c r="I261"/>
      <c r="J261"/>
      <c r="K261"/>
      <c r="L261"/>
    </row>
    <row r="262" spans="2:12">
      <c r="B262"/>
      <c r="C262"/>
      <c r="D262"/>
      <c r="E262"/>
      <c r="H262"/>
      <c r="I262"/>
      <c r="J262"/>
      <c r="K262"/>
      <c r="L262"/>
    </row>
    <row r="263" spans="2:12">
      <c r="B263"/>
      <c r="C263"/>
      <c r="D263"/>
      <c r="E263"/>
      <c r="H263"/>
      <c r="I263"/>
      <c r="J263"/>
      <c r="K263"/>
      <c r="L263"/>
    </row>
    <row r="264" spans="2:12">
      <c r="B264"/>
      <c r="C264"/>
      <c r="D264"/>
      <c r="E264"/>
      <c r="H264"/>
      <c r="I264"/>
      <c r="J264"/>
      <c r="K264"/>
      <c r="L264"/>
    </row>
    <row r="265" spans="2:12">
      <c r="B265"/>
      <c r="C265"/>
      <c r="D265"/>
      <c r="E265"/>
      <c r="H265"/>
      <c r="I265"/>
      <c r="J265"/>
      <c r="K265"/>
      <c r="L265"/>
    </row>
    <row r="266" spans="2:12">
      <c r="B266"/>
      <c r="C266"/>
      <c r="D266"/>
      <c r="E266"/>
      <c r="H266"/>
      <c r="I266"/>
      <c r="J266"/>
      <c r="K266"/>
      <c r="L266"/>
    </row>
    <row r="267" spans="2:12">
      <c r="B267"/>
      <c r="C267"/>
      <c r="D267"/>
      <c r="E267"/>
      <c r="H267"/>
      <c r="I267"/>
      <c r="J267"/>
      <c r="K267"/>
      <c r="L267"/>
    </row>
    <row r="268" spans="2:12">
      <c r="B268"/>
      <c r="C268"/>
      <c r="D268"/>
      <c r="E268"/>
      <c r="H268"/>
      <c r="I268"/>
      <c r="J268"/>
      <c r="K268"/>
      <c r="L268"/>
    </row>
    <row r="269" spans="2:12">
      <c r="B269"/>
      <c r="C269"/>
      <c r="D269"/>
      <c r="E269"/>
      <c r="H269"/>
      <c r="I269"/>
      <c r="J269"/>
      <c r="K269"/>
      <c r="L269"/>
    </row>
    <row r="270" spans="2:12">
      <c r="B270"/>
      <c r="C270"/>
      <c r="D270"/>
      <c r="E270"/>
      <c r="H270"/>
      <c r="I270"/>
      <c r="J270"/>
      <c r="K270"/>
      <c r="L270"/>
    </row>
    <row r="271" spans="2:12">
      <c r="B271"/>
      <c r="C271"/>
      <c r="D271"/>
      <c r="E271"/>
      <c r="H271"/>
      <c r="I271"/>
      <c r="J271"/>
      <c r="K271"/>
      <c r="L271"/>
    </row>
    <row r="272" spans="2:12">
      <c r="B272"/>
      <c r="C272"/>
      <c r="D272"/>
      <c r="E272"/>
      <c r="H272"/>
      <c r="I272"/>
      <c r="J272"/>
      <c r="K272"/>
      <c r="L272"/>
    </row>
    <row r="273" spans="2:12">
      <c r="B273"/>
      <c r="C273"/>
      <c r="D273"/>
      <c r="E273"/>
      <c r="H273"/>
      <c r="I273"/>
      <c r="J273"/>
      <c r="K273"/>
      <c r="L273"/>
    </row>
    <row r="274" spans="2:12">
      <c r="B274"/>
      <c r="C274"/>
      <c r="D274"/>
      <c r="E274"/>
      <c r="H274"/>
      <c r="I274"/>
      <c r="J274"/>
      <c r="K274"/>
      <c r="L274"/>
    </row>
    <row r="275" spans="2:12">
      <c r="B275"/>
      <c r="C275"/>
      <c r="D275"/>
      <c r="E275"/>
      <c r="H275"/>
      <c r="I275"/>
      <c r="J275"/>
      <c r="K275"/>
      <c r="L275"/>
    </row>
    <row r="276" spans="2:12">
      <c r="B276"/>
      <c r="C276"/>
      <c r="D276"/>
      <c r="E276"/>
      <c r="H276"/>
      <c r="I276"/>
      <c r="J276"/>
      <c r="K276"/>
      <c r="L276"/>
    </row>
    <row r="277" spans="2:12">
      <c r="B277"/>
      <c r="C277"/>
      <c r="D277"/>
      <c r="E277"/>
      <c r="H277"/>
      <c r="I277"/>
      <c r="J277"/>
      <c r="K277"/>
      <c r="L277"/>
    </row>
    <row r="278" spans="2:12">
      <c r="B278"/>
      <c r="C278"/>
      <c r="D278"/>
      <c r="E278"/>
      <c r="H278"/>
      <c r="I278"/>
      <c r="J278"/>
      <c r="K278"/>
      <c r="L278"/>
    </row>
    <row r="279" spans="2:12">
      <c r="B279"/>
      <c r="C279"/>
      <c r="D279"/>
      <c r="E279"/>
      <c r="H279"/>
      <c r="I279"/>
      <c r="J279"/>
      <c r="K279"/>
      <c r="L279"/>
    </row>
    <row r="280" spans="2:12">
      <c r="B280"/>
      <c r="C280"/>
      <c r="D280"/>
      <c r="E280"/>
      <c r="H280"/>
      <c r="I280"/>
      <c r="J280"/>
      <c r="K280"/>
      <c r="L280"/>
    </row>
    <row r="281" spans="2:12">
      <c r="B281"/>
      <c r="C281"/>
      <c r="D281"/>
      <c r="E281"/>
      <c r="H281"/>
      <c r="I281"/>
      <c r="J281"/>
      <c r="K281"/>
      <c r="L281"/>
    </row>
    <row r="282" spans="2:12">
      <c r="B282"/>
      <c r="C282"/>
      <c r="D282"/>
      <c r="E282"/>
      <c r="H282"/>
      <c r="I282"/>
      <c r="J282"/>
      <c r="K282"/>
      <c r="L282"/>
    </row>
    <row r="283" spans="2:12">
      <c r="B283"/>
      <c r="C283"/>
      <c r="D283"/>
      <c r="E283"/>
      <c r="H283"/>
      <c r="I283"/>
      <c r="J283"/>
      <c r="K283"/>
      <c r="L283"/>
    </row>
    <row r="284" spans="2:12">
      <c r="B284"/>
      <c r="C284"/>
      <c r="D284"/>
      <c r="E284"/>
      <c r="H284"/>
      <c r="I284"/>
      <c r="J284"/>
      <c r="K284"/>
      <c r="L284"/>
    </row>
    <row r="285" spans="2:12">
      <c r="B285"/>
      <c r="C285"/>
      <c r="D285"/>
      <c r="E285"/>
      <c r="H285"/>
      <c r="I285"/>
      <c r="J285"/>
      <c r="K285"/>
      <c r="L285"/>
    </row>
    <row r="286" spans="2:12">
      <c r="B286"/>
      <c r="C286"/>
      <c r="D286"/>
      <c r="E286"/>
      <c r="H286"/>
      <c r="I286"/>
      <c r="J286"/>
      <c r="K286"/>
      <c r="L286"/>
    </row>
    <row r="287" spans="2:12">
      <c r="B287"/>
      <c r="C287"/>
      <c r="D287"/>
      <c r="E287"/>
      <c r="H287"/>
      <c r="I287"/>
      <c r="J287"/>
      <c r="K287"/>
      <c r="L287"/>
    </row>
    <row r="288" spans="2:12">
      <c r="B288"/>
      <c r="C288"/>
      <c r="D288"/>
      <c r="E288"/>
      <c r="H288"/>
      <c r="I288"/>
      <c r="J288"/>
      <c r="K288"/>
      <c r="L288"/>
    </row>
    <row r="289" spans="2:12">
      <c r="B289"/>
      <c r="C289"/>
      <c r="D289"/>
      <c r="E289"/>
      <c r="H289"/>
      <c r="I289"/>
      <c r="J289"/>
      <c r="K289"/>
      <c r="L289"/>
    </row>
    <row r="290" spans="2:12">
      <c r="B290"/>
      <c r="C290"/>
      <c r="D290"/>
      <c r="E290"/>
      <c r="H290"/>
      <c r="I290"/>
      <c r="J290"/>
      <c r="K290"/>
      <c r="L290"/>
    </row>
    <row r="291" spans="2:12">
      <c r="B291"/>
      <c r="C291"/>
      <c r="D291"/>
      <c r="E291"/>
      <c r="H291"/>
      <c r="I291"/>
      <c r="J291"/>
      <c r="K291"/>
      <c r="L291"/>
    </row>
    <row r="292" spans="2:12">
      <c r="B292"/>
      <c r="C292"/>
      <c r="D292"/>
      <c r="E292"/>
      <c r="H292"/>
      <c r="I292"/>
      <c r="J292"/>
      <c r="K292"/>
      <c r="L292"/>
    </row>
    <row r="293" spans="2:12">
      <c r="B293"/>
      <c r="C293"/>
      <c r="D293"/>
      <c r="E293"/>
      <c r="H293"/>
      <c r="I293"/>
      <c r="J293"/>
      <c r="K293"/>
      <c r="L293"/>
    </row>
    <row r="294" spans="2:12">
      <c r="B294"/>
      <c r="C294"/>
      <c r="D294"/>
      <c r="E294"/>
      <c r="H294"/>
      <c r="I294"/>
      <c r="J294"/>
      <c r="K294"/>
      <c r="L294"/>
    </row>
    <row r="295" spans="2:12">
      <c r="B295"/>
      <c r="C295"/>
      <c r="D295"/>
      <c r="E295"/>
      <c r="H295"/>
      <c r="I295"/>
      <c r="J295"/>
      <c r="K295"/>
      <c r="L295"/>
    </row>
    <row r="296" spans="2:12">
      <c r="B296"/>
      <c r="C296"/>
      <c r="D296"/>
      <c r="E296"/>
      <c r="H296"/>
      <c r="I296"/>
      <c r="J296"/>
      <c r="K296"/>
      <c r="L296"/>
    </row>
    <row r="297" spans="2:12">
      <c r="B297"/>
      <c r="C297"/>
      <c r="D297"/>
      <c r="E297"/>
      <c r="H297"/>
      <c r="I297"/>
      <c r="J297"/>
      <c r="K297"/>
      <c r="L297"/>
    </row>
    <row r="298" spans="2:12">
      <c r="B298"/>
      <c r="C298"/>
      <c r="D298"/>
      <c r="E298"/>
      <c r="H298"/>
      <c r="I298"/>
      <c r="J298"/>
      <c r="K298"/>
      <c r="L298"/>
    </row>
    <row r="299" spans="2:12">
      <c r="B299"/>
      <c r="C299"/>
      <c r="D299"/>
      <c r="E299"/>
      <c r="H299"/>
      <c r="I299"/>
      <c r="J299"/>
      <c r="K299"/>
      <c r="L299"/>
    </row>
    <row r="300" spans="2:12">
      <c r="B300"/>
      <c r="C300"/>
      <c r="D300"/>
      <c r="E300"/>
      <c r="H300"/>
      <c r="I300"/>
      <c r="J300"/>
      <c r="K300"/>
      <c r="L300"/>
    </row>
    <row r="301" spans="2:12">
      <c r="B301"/>
      <c r="C301"/>
      <c r="D301"/>
      <c r="E301"/>
      <c r="H301"/>
      <c r="I301"/>
      <c r="J301"/>
      <c r="K301"/>
      <c r="L301"/>
    </row>
    <row r="302" spans="2:12">
      <c r="B302"/>
      <c r="C302"/>
      <c r="D302"/>
      <c r="E302"/>
      <c r="H302"/>
      <c r="I302"/>
      <c r="J302"/>
      <c r="K302"/>
      <c r="L302"/>
    </row>
    <row r="303" spans="2:12">
      <c r="B303"/>
      <c r="C303"/>
      <c r="D303"/>
      <c r="E303"/>
      <c r="H303"/>
      <c r="I303"/>
      <c r="J303"/>
      <c r="K303"/>
      <c r="L303"/>
    </row>
    <row r="304" spans="2:12">
      <c r="B304"/>
      <c r="C304"/>
      <c r="D304"/>
      <c r="E304"/>
      <c r="H304"/>
      <c r="I304"/>
      <c r="J304"/>
      <c r="K304"/>
      <c r="L304"/>
    </row>
    <row r="305" spans="2:12">
      <c r="B305"/>
      <c r="C305"/>
      <c r="D305"/>
      <c r="E305"/>
      <c r="H305"/>
      <c r="I305"/>
      <c r="J305"/>
      <c r="K305"/>
      <c r="L305"/>
    </row>
    <row r="306" spans="2:12">
      <c r="B306"/>
      <c r="C306"/>
      <c r="D306"/>
      <c r="E306"/>
      <c r="H306"/>
      <c r="I306"/>
      <c r="J306"/>
      <c r="K306"/>
      <c r="L306"/>
    </row>
    <row r="307" spans="2:12">
      <c r="B307"/>
      <c r="C307"/>
      <c r="D307"/>
      <c r="E307"/>
      <c r="H307"/>
      <c r="I307"/>
      <c r="J307"/>
      <c r="K307"/>
      <c r="L307"/>
    </row>
    <row r="308" spans="2:12">
      <c r="B308"/>
      <c r="C308"/>
      <c r="D308"/>
      <c r="E308"/>
      <c r="H308"/>
      <c r="I308"/>
      <c r="J308"/>
      <c r="K308"/>
      <c r="L308"/>
    </row>
    <row r="309" spans="2:12">
      <c r="B309"/>
      <c r="C309"/>
      <c r="D309"/>
      <c r="E309"/>
      <c r="H309"/>
      <c r="I309"/>
      <c r="J309"/>
      <c r="K309"/>
      <c r="L309"/>
    </row>
    <row r="310" spans="2:12">
      <c r="B310"/>
      <c r="C310"/>
      <c r="D310"/>
      <c r="E310"/>
      <c r="H310"/>
      <c r="I310"/>
      <c r="J310"/>
      <c r="K310"/>
      <c r="L310"/>
    </row>
    <row r="311" spans="2:12">
      <c r="B311"/>
      <c r="C311"/>
      <c r="D311"/>
      <c r="E311"/>
      <c r="H311"/>
      <c r="I311"/>
      <c r="J311"/>
      <c r="K311"/>
      <c r="L311"/>
    </row>
    <row r="312" spans="2:12">
      <c r="B312"/>
      <c r="C312"/>
      <c r="D312"/>
      <c r="E312"/>
      <c r="H312"/>
      <c r="I312"/>
      <c r="J312"/>
      <c r="K312"/>
      <c r="L312"/>
    </row>
    <row r="313" spans="2:12">
      <c r="B313"/>
      <c r="C313"/>
      <c r="D313"/>
      <c r="E313"/>
      <c r="H313"/>
      <c r="I313"/>
      <c r="J313"/>
      <c r="K313"/>
      <c r="L313"/>
    </row>
    <row r="314" spans="2:12">
      <c r="B314"/>
      <c r="C314"/>
      <c r="D314"/>
      <c r="E314"/>
      <c r="H314"/>
      <c r="I314"/>
      <c r="J314"/>
      <c r="K314"/>
      <c r="L314"/>
    </row>
    <row r="315" spans="2:12">
      <c r="B315"/>
      <c r="C315"/>
      <c r="D315"/>
      <c r="E315"/>
      <c r="H315"/>
      <c r="I315"/>
      <c r="J315"/>
      <c r="K315"/>
      <c r="L315"/>
    </row>
    <row r="316" spans="2:12">
      <c r="B316"/>
      <c r="C316"/>
      <c r="D316"/>
      <c r="E316"/>
      <c r="H316"/>
      <c r="I316"/>
      <c r="J316"/>
      <c r="K316"/>
      <c r="L316"/>
    </row>
    <row r="317" spans="2:12">
      <c r="B317"/>
      <c r="C317"/>
      <c r="D317"/>
      <c r="E317"/>
      <c r="H317"/>
      <c r="I317"/>
      <c r="J317"/>
      <c r="K317"/>
      <c r="L317"/>
    </row>
    <row r="318" spans="2:12">
      <c r="B318"/>
      <c r="C318"/>
      <c r="D318"/>
      <c r="E318"/>
      <c r="H318"/>
      <c r="I318"/>
      <c r="J318"/>
      <c r="K318"/>
      <c r="L318"/>
    </row>
    <row r="319" spans="2:12">
      <c r="B319"/>
      <c r="C319"/>
      <c r="D319"/>
      <c r="E319"/>
      <c r="H319"/>
      <c r="I319"/>
      <c r="J319"/>
      <c r="K319"/>
      <c r="L319"/>
    </row>
    <row r="320" spans="2:12">
      <c r="B320"/>
      <c r="C320"/>
      <c r="D320"/>
      <c r="E320"/>
      <c r="H320"/>
      <c r="I320"/>
      <c r="J320"/>
      <c r="K320"/>
      <c r="L320"/>
    </row>
    <row r="321" spans="2:12">
      <c r="B321"/>
      <c r="C321"/>
      <c r="D321"/>
      <c r="E321"/>
      <c r="H321"/>
      <c r="I321"/>
      <c r="J321"/>
      <c r="K321"/>
      <c r="L321"/>
    </row>
    <row r="322" spans="2:12">
      <c r="B322"/>
      <c r="C322"/>
      <c r="D322"/>
      <c r="E322"/>
      <c r="H322"/>
      <c r="I322"/>
      <c r="J322"/>
      <c r="K322"/>
      <c r="L322"/>
    </row>
    <row r="323" spans="2:12">
      <c r="B323"/>
      <c r="C323"/>
      <c r="D323"/>
      <c r="E323"/>
      <c r="H323"/>
      <c r="I323"/>
      <c r="J323"/>
      <c r="K323"/>
      <c r="L323"/>
    </row>
    <row r="324" spans="2:12">
      <c r="B324"/>
      <c r="C324"/>
      <c r="D324"/>
      <c r="E324"/>
      <c r="H324"/>
      <c r="I324"/>
      <c r="J324"/>
      <c r="K324"/>
      <c r="L324"/>
    </row>
    <row r="325" spans="2:12">
      <c r="B325"/>
      <c r="C325"/>
      <c r="D325"/>
      <c r="E325"/>
      <c r="H325"/>
      <c r="I325"/>
      <c r="J325"/>
      <c r="K325"/>
      <c r="L325"/>
    </row>
    <row r="326" spans="2:12">
      <c r="B326"/>
      <c r="C326"/>
      <c r="D326"/>
      <c r="E326"/>
      <c r="H326"/>
      <c r="I326"/>
      <c r="J326"/>
      <c r="K326"/>
      <c r="L326"/>
    </row>
    <row r="327" spans="2:12">
      <c r="B327"/>
      <c r="C327"/>
      <c r="D327"/>
      <c r="E327"/>
      <c r="H327"/>
      <c r="I327"/>
      <c r="J327"/>
      <c r="K327"/>
      <c r="L327"/>
    </row>
    <row r="328" spans="2:12">
      <c r="B328"/>
      <c r="C328"/>
      <c r="D328"/>
      <c r="E328"/>
      <c r="H328"/>
      <c r="I328"/>
      <c r="J328"/>
      <c r="K328"/>
      <c r="L328"/>
    </row>
    <row r="329" spans="2:12">
      <c r="B329"/>
      <c r="C329"/>
      <c r="D329"/>
      <c r="E329"/>
      <c r="H329"/>
      <c r="I329"/>
      <c r="J329"/>
      <c r="K329"/>
      <c r="L329"/>
    </row>
    <row r="330" spans="2:12">
      <c r="B330"/>
      <c r="C330"/>
      <c r="D330"/>
      <c r="E330"/>
      <c r="H330"/>
      <c r="I330"/>
      <c r="J330"/>
      <c r="K330"/>
      <c r="L330"/>
    </row>
    <row r="331" spans="2:12">
      <c r="B331"/>
      <c r="C331"/>
      <c r="D331"/>
      <c r="E331"/>
      <c r="H331"/>
      <c r="I331"/>
      <c r="J331"/>
      <c r="K331"/>
      <c r="L331"/>
    </row>
    <row r="332" spans="2:12">
      <c r="B332"/>
      <c r="C332"/>
      <c r="D332"/>
      <c r="E332"/>
      <c r="H332"/>
      <c r="I332"/>
      <c r="J332"/>
      <c r="K332"/>
      <c r="L332"/>
    </row>
    <row r="333" spans="2:12">
      <c r="B333"/>
      <c r="C333"/>
      <c r="D333"/>
      <c r="E333"/>
      <c r="H333"/>
      <c r="I333"/>
      <c r="J333"/>
      <c r="K333"/>
      <c r="L333"/>
    </row>
    <row r="334" spans="2:12">
      <c r="B334"/>
      <c r="C334"/>
      <c r="D334"/>
      <c r="E334"/>
      <c r="H334"/>
      <c r="I334"/>
      <c r="J334"/>
      <c r="K334"/>
      <c r="L334"/>
    </row>
    <row r="335" spans="2:12">
      <c r="B335"/>
      <c r="C335"/>
      <c r="D335"/>
      <c r="E335"/>
      <c r="H335"/>
      <c r="I335"/>
      <c r="J335"/>
      <c r="K335"/>
      <c r="L335"/>
    </row>
    <row r="336" spans="2:12">
      <c r="B336"/>
      <c r="C336"/>
      <c r="D336"/>
      <c r="E336"/>
      <c r="H336"/>
      <c r="I336"/>
      <c r="J336"/>
      <c r="K336"/>
      <c r="L336"/>
    </row>
    <row r="337" spans="2:12">
      <c r="B337"/>
      <c r="C337"/>
      <c r="D337"/>
      <c r="E337"/>
      <c r="H337"/>
      <c r="I337"/>
      <c r="J337"/>
      <c r="K337"/>
      <c r="L337"/>
    </row>
    <row r="338" spans="2:12">
      <c r="B338"/>
      <c r="C338"/>
      <c r="D338"/>
      <c r="E338"/>
      <c r="H338"/>
      <c r="I338"/>
      <c r="J338"/>
      <c r="K338"/>
      <c r="L338"/>
    </row>
    <row r="339" spans="2:12">
      <c r="B339"/>
      <c r="C339"/>
      <c r="D339"/>
      <c r="E339"/>
      <c r="H339"/>
      <c r="I339"/>
      <c r="J339"/>
      <c r="K339"/>
      <c r="L339"/>
    </row>
    <row r="340" spans="2:12">
      <c r="B340"/>
      <c r="C340"/>
      <c r="D340"/>
      <c r="E340"/>
      <c r="H340"/>
      <c r="I340"/>
      <c r="J340"/>
      <c r="K340"/>
      <c r="L340"/>
    </row>
    <row r="341" spans="2:12">
      <c r="B341"/>
      <c r="C341"/>
      <c r="D341"/>
      <c r="E341"/>
      <c r="H341"/>
      <c r="I341"/>
      <c r="J341"/>
      <c r="K341"/>
      <c r="L341"/>
    </row>
    <row r="342" spans="2:12">
      <c r="B342"/>
      <c r="C342"/>
      <c r="D342"/>
      <c r="E342"/>
      <c r="H342"/>
      <c r="I342"/>
      <c r="J342"/>
      <c r="K342"/>
      <c r="L342"/>
    </row>
    <row r="343" spans="2:12">
      <c r="B343"/>
      <c r="C343"/>
      <c r="D343"/>
      <c r="E343"/>
      <c r="H343"/>
      <c r="I343"/>
      <c r="J343"/>
      <c r="K343"/>
      <c r="L343"/>
    </row>
    <row r="344" spans="2:12">
      <c r="B344"/>
      <c r="C344"/>
      <c r="D344"/>
      <c r="E344"/>
      <c r="H344"/>
      <c r="I344"/>
      <c r="J344"/>
      <c r="K344"/>
      <c r="L344"/>
    </row>
    <row r="345" spans="2:12">
      <c r="B345"/>
      <c r="C345"/>
      <c r="D345"/>
      <c r="E345"/>
      <c r="H345"/>
      <c r="I345"/>
      <c r="J345"/>
      <c r="K345"/>
      <c r="L345"/>
    </row>
    <row r="346" spans="2:12">
      <c r="B346"/>
      <c r="C346"/>
      <c r="D346"/>
      <c r="E346"/>
      <c r="H346"/>
      <c r="I346"/>
      <c r="J346"/>
      <c r="K346"/>
      <c r="L346"/>
    </row>
    <row r="347" spans="2:12">
      <c r="B347"/>
      <c r="C347"/>
      <c r="D347"/>
      <c r="E347"/>
      <c r="H347"/>
      <c r="I347"/>
      <c r="J347"/>
      <c r="K347"/>
      <c r="L347"/>
    </row>
    <row r="348" spans="2:12">
      <c r="B348"/>
      <c r="C348"/>
      <c r="D348"/>
      <c r="E348"/>
      <c r="H348"/>
      <c r="I348"/>
      <c r="J348"/>
      <c r="K348"/>
      <c r="L348"/>
    </row>
    <row r="349" spans="2:12">
      <c r="B349"/>
      <c r="C349"/>
      <c r="D349"/>
      <c r="E349"/>
      <c r="H349"/>
      <c r="I349"/>
      <c r="J349"/>
      <c r="K349"/>
      <c r="L349"/>
    </row>
    <row r="350" spans="2:12">
      <c r="B350"/>
      <c r="C350"/>
      <c r="D350"/>
      <c r="E350"/>
      <c r="H350"/>
      <c r="I350"/>
      <c r="J350"/>
      <c r="K350"/>
      <c r="L350"/>
    </row>
    <row r="351" spans="2:12">
      <c r="B351"/>
      <c r="C351"/>
      <c r="D351"/>
      <c r="E351"/>
      <c r="H351"/>
      <c r="I351"/>
      <c r="J351"/>
      <c r="K351"/>
      <c r="L351"/>
    </row>
    <row r="352" spans="2:12">
      <c r="B352"/>
      <c r="C352"/>
      <c r="D352"/>
      <c r="E352"/>
      <c r="H352"/>
      <c r="I352"/>
      <c r="J352"/>
      <c r="K352"/>
      <c r="L352"/>
    </row>
    <row r="353" spans="2:12">
      <c r="B353"/>
      <c r="C353"/>
      <c r="D353"/>
      <c r="E353"/>
      <c r="H353"/>
      <c r="I353"/>
      <c r="J353"/>
      <c r="K353"/>
      <c r="L353"/>
    </row>
    <row r="354" spans="2:12">
      <c r="B354"/>
      <c r="C354"/>
      <c r="D354"/>
      <c r="E354"/>
      <c r="H354"/>
      <c r="I354"/>
      <c r="J354"/>
      <c r="K354"/>
      <c r="L354"/>
    </row>
    <row r="355" spans="2:12">
      <c r="B355"/>
      <c r="C355"/>
      <c r="D355"/>
      <c r="E355"/>
      <c r="H355"/>
      <c r="I355"/>
      <c r="J355"/>
      <c r="K355"/>
      <c r="L355"/>
    </row>
    <row r="356" spans="2:12">
      <c r="B356"/>
      <c r="C356"/>
      <c r="D356"/>
      <c r="E356"/>
      <c r="H356"/>
      <c r="I356"/>
      <c r="J356"/>
      <c r="K356"/>
      <c r="L356"/>
    </row>
    <row r="357" spans="2:12">
      <c r="B357"/>
      <c r="C357"/>
      <c r="D357"/>
      <c r="E357"/>
      <c r="H357"/>
      <c r="I357"/>
      <c r="J357"/>
      <c r="K357"/>
      <c r="L357"/>
    </row>
    <row r="358" spans="2:12">
      <c r="B358"/>
      <c r="C358"/>
      <c r="D358"/>
      <c r="E358"/>
      <c r="H358"/>
      <c r="I358"/>
      <c r="J358"/>
      <c r="K358"/>
      <c r="L358"/>
    </row>
    <row r="359" spans="2:12">
      <c r="B359"/>
      <c r="C359"/>
      <c r="D359"/>
      <c r="E359"/>
      <c r="H359"/>
      <c r="I359"/>
      <c r="J359"/>
      <c r="K359"/>
      <c r="L359"/>
    </row>
    <row r="360" spans="2:12">
      <c r="B360"/>
      <c r="C360"/>
      <c r="D360"/>
      <c r="E360"/>
      <c r="H360"/>
      <c r="I360"/>
      <c r="J360"/>
      <c r="K360"/>
      <c r="L360"/>
    </row>
    <row r="361" spans="2:12">
      <c r="B361"/>
      <c r="C361"/>
      <c r="D361"/>
      <c r="E361"/>
      <c r="H361"/>
      <c r="I361"/>
      <c r="J361"/>
      <c r="K361"/>
      <c r="L361"/>
    </row>
    <row r="362" spans="2:12">
      <c r="B362"/>
      <c r="C362"/>
      <c r="D362"/>
      <c r="E362"/>
      <c r="H362"/>
      <c r="I362"/>
      <c r="J362"/>
      <c r="K362"/>
      <c r="L362"/>
    </row>
    <row r="363" spans="2:12">
      <c r="B363"/>
      <c r="C363"/>
      <c r="D363"/>
      <c r="E363"/>
      <c r="H363"/>
      <c r="I363"/>
      <c r="J363"/>
      <c r="K363"/>
      <c r="L363"/>
    </row>
    <row r="364" spans="2:12">
      <c r="B364"/>
      <c r="C364"/>
      <c r="D364"/>
      <c r="E364"/>
      <c r="H364"/>
      <c r="I364"/>
      <c r="J364"/>
      <c r="K364"/>
      <c r="L364"/>
    </row>
    <row r="365" spans="2:12">
      <c r="B365"/>
      <c r="C365"/>
      <c r="D365"/>
      <c r="E365"/>
      <c r="H365"/>
      <c r="I365"/>
      <c r="J365"/>
      <c r="K365"/>
      <c r="L365"/>
    </row>
    <row r="366" spans="2:12">
      <c r="B366"/>
      <c r="C366"/>
      <c r="D366"/>
      <c r="E366"/>
      <c r="H366"/>
      <c r="I366"/>
      <c r="J366"/>
      <c r="K366"/>
      <c r="L366"/>
    </row>
    <row r="367" spans="2:12">
      <c r="B367"/>
      <c r="C367"/>
      <c r="D367"/>
      <c r="E367"/>
      <c r="H367"/>
      <c r="I367"/>
      <c r="J367"/>
      <c r="K367"/>
      <c r="L367"/>
    </row>
    <row r="368" spans="2:12">
      <c r="B368"/>
      <c r="C368"/>
      <c r="D368"/>
      <c r="E368"/>
      <c r="H368"/>
      <c r="I368"/>
      <c r="J368"/>
      <c r="K368"/>
      <c r="L368"/>
    </row>
    <row r="369" spans="2:12">
      <c r="B369"/>
      <c r="C369"/>
      <c r="D369"/>
      <c r="E369"/>
      <c r="H369"/>
      <c r="I369"/>
      <c r="J369"/>
      <c r="K369"/>
      <c r="L369"/>
    </row>
    <row r="370" spans="2:12">
      <c r="B370"/>
      <c r="C370"/>
      <c r="D370"/>
      <c r="E370"/>
      <c r="H370"/>
      <c r="I370"/>
      <c r="J370"/>
      <c r="K370"/>
      <c r="L370"/>
    </row>
    <row r="371" spans="2:12">
      <c r="B371"/>
      <c r="C371"/>
      <c r="D371"/>
      <c r="E371"/>
      <c r="H371"/>
      <c r="I371"/>
      <c r="J371"/>
      <c r="K371"/>
      <c r="L371"/>
    </row>
    <row r="372" spans="2:12">
      <c r="B372"/>
      <c r="C372"/>
      <c r="D372"/>
      <c r="E372"/>
      <c r="H372"/>
      <c r="I372"/>
      <c r="J372"/>
      <c r="K372"/>
      <c r="L372"/>
    </row>
    <row r="373" spans="2:12">
      <c r="B373"/>
      <c r="C373"/>
      <c r="D373"/>
      <c r="E373"/>
      <c r="H373"/>
      <c r="I373"/>
      <c r="J373"/>
      <c r="K373"/>
      <c r="L373"/>
    </row>
    <row r="374" spans="2:12">
      <c r="B374"/>
      <c r="C374"/>
      <c r="D374"/>
      <c r="E374"/>
      <c r="H374"/>
      <c r="I374"/>
      <c r="J374"/>
      <c r="K374"/>
      <c r="L374"/>
    </row>
    <row r="375" spans="2:12">
      <c r="B375"/>
      <c r="C375"/>
      <c r="D375"/>
      <c r="E375"/>
      <c r="H375"/>
      <c r="I375"/>
      <c r="J375"/>
      <c r="K375"/>
      <c r="L375"/>
    </row>
    <row r="376" spans="2:12">
      <c r="B376"/>
      <c r="C376"/>
      <c r="D376"/>
      <c r="E376"/>
      <c r="H376"/>
      <c r="I376"/>
      <c r="J376"/>
      <c r="K376"/>
      <c r="L376"/>
    </row>
    <row r="377" spans="2:12">
      <c r="B377"/>
      <c r="C377"/>
      <c r="D377"/>
      <c r="E377"/>
      <c r="H377"/>
      <c r="I377"/>
      <c r="J377"/>
      <c r="K377"/>
      <c r="L377"/>
    </row>
    <row r="378" spans="2:12">
      <c r="B378"/>
      <c r="C378"/>
      <c r="D378"/>
      <c r="E378"/>
      <c r="H378"/>
      <c r="I378"/>
      <c r="J378"/>
      <c r="K378"/>
      <c r="L378"/>
    </row>
    <row r="379" spans="2:12">
      <c r="B379"/>
      <c r="C379"/>
      <c r="D379"/>
      <c r="E379"/>
      <c r="H379"/>
      <c r="I379"/>
      <c r="J379"/>
      <c r="K379"/>
      <c r="L379"/>
    </row>
    <row r="380" spans="2:12">
      <c r="B380"/>
      <c r="C380"/>
      <c r="D380"/>
      <c r="E380"/>
      <c r="H380"/>
      <c r="I380"/>
      <c r="J380"/>
      <c r="K380"/>
      <c r="L380"/>
    </row>
    <row r="381" spans="2:12">
      <c r="B381"/>
      <c r="C381"/>
      <c r="D381"/>
      <c r="E381"/>
      <c r="H381"/>
      <c r="I381"/>
      <c r="J381"/>
      <c r="K381"/>
      <c r="L381"/>
    </row>
    <row r="382" spans="2:12">
      <c r="B382"/>
      <c r="C382"/>
      <c r="D382"/>
      <c r="E382"/>
      <c r="H382"/>
      <c r="I382"/>
      <c r="J382"/>
      <c r="K382"/>
      <c r="L382"/>
    </row>
    <row r="383" spans="2:12">
      <c r="B383"/>
      <c r="C383"/>
      <c r="D383"/>
      <c r="E383"/>
      <c r="H383"/>
      <c r="I383"/>
      <c r="J383"/>
      <c r="K383"/>
      <c r="L383"/>
    </row>
    <row r="384" spans="2:12">
      <c r="B384"/>
      <c r="C384"/>
      <c r="D384"/>
      <c r="E384"/>
      <c r="H384"/>
      <c r="I384"/>
      <c r="J384"/>
      <c r="K384"/>
      <c r="L384"/>
    </row>
    <row r="385" spans="2:12">
      <c r="B385"/>
      <c r="C385"/>
      <c r="D385"/>
      <c r="E385"/>
      <c r="H385"/>
      <c r="I385"/>
      <c r="J385"/>
      <c r="K385"/>
      <c r="L385"/>
    </row>
    <row r="386" spans="2:12">
      <c r="B386"/>
      <c r="C386"/>
      <c r="D386"/>
      <c r="E386"/>
      <c r="H386"/>
      <c r="I386"/>
      <c r="J386"/>
      <c r="K386"/>
      <c r="L386"/>
    </row>
    <row r="387" spans="2:12">
      <c r="B387"/>
      <c r="C387"/>
      <c r="D387"/>
      <c r="E387"/>
      <c r="H387"/>
      <c r="I387"/>
      <c r="J387"/>
      <c r="K387"/>
      <c r="L387"/>
    </row>
    <row r="388" spans="2:12">
      <c r="B388"/>
      <c r="C388"/>
      <c r="D388"/>
      <c r="E388"/>
      <c r="H388"/>
      <c r="I388"/>
      <c r="J388"/>
      <c r="K388"/>
      <c r="L388"/>
    </row>
    <row r="389" spans="2:12">
      <c r="B389"/>
      <c r="C389"/>
      <c r="D389"/>
      <c r="E389"/>
      <c r="H389"/>
      <c r="I389"/>
      <c r="J389"/>
      <c r="K389"/>
      <c r="L389"/>
    </row>
    <row r="390" spans="2:12">
      <c r="B390"/>
      <c r="C390"/>
      <c r="D390"/>
      <c r="E390"/>
      <c r="H390"/>
      <c r="I390"/>
      <c r="J390"/>
      <c r="K390"/>
      <c r="L390"/>
    </row>
    <row r="391" spans="2:12">
      <c r="B391"/>
      <c r="C391"/>
      <c r="D391"/>
      <c r="E391"/>
      <c r="H391"/>
      <c r="I391"/>
      <c r="J391"/>
      <c r="K391"/>
      <c r="L391"/>
    </row>
    <row r="392" spans="2:12">
      <c r="B392"/>
      <c r="C392"/>
      <c r="D392"/>
      <c r="E392"/>
      <c r="H392"/>
      <c r="I392"/>
      <c r="J392"/>
      <c r="K392"/>
      <c r="L392"/>
    </row>
    <row r="393" spans="2:12">
      <c r="B393"/>
      <c r="C393"/>
      <c r="D393"/>
      <c r="E393"/>
      <c r="H393"/>
      <c r="I393"/>
      <c r="J393"/>
      <c r="K393"/>
      <c r="L393"/>
    </row>
    <row r="394" spans="2:12">
      <c r="B394"/>
      <c r="C394"/>
      <c r="D394"/>
      <c r="E394"/>
      <c r="H394"/>
      <c r="I394"/>
      <c r="J394"/>
      <c r="K394"/>
      <c r="L394"/>
    </row>
    <row r="395" spans="2:12">
      <c r="B395"/>
      <c r="C395"/>
      <c r="D395"/>
      <c r="E395"/>
      <c r="H395"/>
      <c r="I395"/>
      <c r="J395"/>
      <c r="K395"/>
      <c r="L395"/>
    </row>
    <row r="396" spans="2:12">
      <c r="B396"/>
      <c r="C396"/>
      <c r="D396"/>
      <c r="E396"/>
      <c r="H396"/>
      <c r="I396"/>
      <c r="J396"/>
      <c r="K396"/>
      <c r="L396"/>
    </row>
    <row r="397" spans="2:12">
      <c r="B397"/>
      <c r="C397"/>
      <c r="D397"/>
      <c r="E397"/>
      <c r="H397"/>
      <c r="I397"/>
      <c r="J397"/>
      <c r="K397"/>
      <c r="L397"/>
    </row>
    <row r="398" spans="2:12">
      <c r="B398"/>
      <c r="C398"/>
      <c r="D398"/>
      <c r="E398"/>
      <c r="H398"/>
      <c r="I398"/>
      <c r="J398"/>
      <c r="K398"/>
      <c r="L398"/>
    </row>
    <row r="399" spans="2:12">
      <c r="B399"/>
      <c r="C399"/>
      <c r="D399"/>
      <c r="E399"/>
      <c r="H399"/>
      <c r="I399"/>
      <c r="J399"/>
      <c r="K399"/>
      <c r="L399"/>
    </row>
    <row r="400" spans="2:12">
      <c r="B400"/>
      <c r="C400"/>
      <c r="D400"/>
      <c r="E400"/>
      <c r="H400"/>
      <c r="I400"/>
      <c r="J400"/>
      <c r="K400"/>
      <c r="L400"/>
    </row>
    <row r="401" spans="2:12">
      <c r="B401"/>
      <c r="C401"/>
      <c r="D401"/>
      <c r="E401"/>
      <c r="H401"/>
      <c r="I401"/>
      <c r="J401"/>
      <c r="K401"/>
      <c r="L401"/>
    </row>
    <row r="402" spans="2:12">
      <c r="B402"/>
      <c r="C402"/>
      <c r="D402"/>
      <c r="E402"/>
      <c r="H402"/>
      <c r="I402"/>
      <c r="J402"/>
      <c r="K402"/>
      <c r="L402"/>
    </row>
    <row r="403" spans="2:12">
      <c r="B403"/>
      <c r="C403"/>
      <c r="D403"/>
      <c r="E403"/>
      <c r="H403"/>
      <c r="I403"/>
      <c r="J403"/>
      <c r="K403"/>
      <c r="L403"/>
    </row>
    <row r="404" spans="2:12">
      <c r="B404"/>
      <c r="C404"/>
      <c r="D404"/>
      <c r="E404"/>
      <c r="H404"/>
      <c r="I404"/>
      <c r="J404"/>
      <c r="K404"/>
      <c r="L404"/>
    </row>
    <row r="405" spans="2:12">
      <c r="B405"/>
      <c r="C405"/>
      <c r="D405"/>
      <c r="E405"/>
      <c r="H405"/>
      <c r="I405"/>
      <c r="J405"/>
      <c r="K405"/>
      <c r="L405"/>
    </row>
    <row r="406" spans="2:12">
      <c r="B406"/>
      <c r="C406"/>
      <c r="D406"/>
      <c r="E406"/>
      <c r="H406"/>
      <c r="I406"/>
      <c r="J406"/>
      <c r="K406"/>
      <c r="L406"/>
    </row>
    <row r="407" spans="2:12">
      <c r="B407"/>
      <c r="C407"/>
      <c r="D407"/>
      <c r="E407"/>
      <c r="H407"/>
      <c r="I407"/>
      <c r="J407"/>
      <c r="K407"/>
      <c r="L407"/>
    </row>
    <row r="408" spans="2:12">
      <c r="B408"/>
      <c r="C408"/>
      <c r="D408"/>
      <c r="E408"/>
      <c r="H408"/>
      <c r="I408"/>
      <c r="J408"/>
      <c r="K408"/>
      <c r="L408"/>
    </row>
    <row r="409" spans="2:12">
      <c r="B409"/>
      <c r="C409"/>
      <c r="D409"/>
      <c r="E409"/>
      <c r="H409"/>
      <c r="I409"/>
      <c r="J409"/>
      <c r="K409"/>
      <c r="L409"/>
    </row>
    <row r="410" spans="2:12">
      <c r="B410"/>
      <c r="C410"/>
      <c r="D410"/>
      <c r="E410"/>
      <c r="H410"/>
      <c r="I410"/>
      <c r="J410"/>
      <c r="K410"/>
      <c r="L410"/>
    </row>
    <row r="411" spans="2:12">
      <c r="B411"/>
      <c r="C411"/>
      <c r="D411"/>
      <c r="E411"/>
      <c r="H411"/>
      <c r="I411"/>
      <c r="J411"/>
      <c r="K411"/>
      <c r="L411"/>
    </row>
    <row r="412" spans="2:12">
      <c r="B412"/>
      <c r="C412"/>
      <c r="D412"/>
      <c r="E412"/>
      <c r="H412"/>
      <c r="I412"/>
      <c r="J412"/>
      <c r="K412"/>
      <c r="L412"/>
    </row>
    <row r="413" spans="2:12">
      <c r="B413"/>
      <c r="C413"/>
      <c r="D413"/>
      <c r="E413"/>
      <c r="H413"/>
      <c r="I413"/>
      <c r="J413"/>
      <c r="K413"/>
      <c r="L413"/>
    </row>
    <row r="414" spans="2:12">
      <c r="B414"/>
      <c r="C414"/>
      <c r="D414"/>
      <c r="E414"/>
      <c r="H414"/>
      <c r="I414"/>
      <c r="J414"/>
      <c r="K414"/>
      <c r="L414"/>
    </row>
    <row r="415" spans="2:12">
      <c r="B415"/>
      <c r="C415"/>
      <c r="D415"/>
      <c r="E415"/>
      <c r="H415"/>
      <c r="I415"/>
      <c r="J415"/>
      <c r="K415"/>
      <c r="L415"/>
    </row>
    <row r="416" spans="2:12">
      <c r="B416"/>
      <c r="C416"/>
      <c r="D416"/>
      <c r="E416"/>
      <c r="H416"/>
      <c r="I416"/>
      <c r="J416"/>
      <c r="K416"/>
      <c r="L416"/>
    </row>
    <row r="417" spans="2:12">
      <c r="B417"/>
      <c r="C417"/>
      <c r="D417"/>
      <c r="E417"/>
      <c r="H417"/>
      <c r="I417"/>
      <c r="J417"/>
      <c r="K417"/>
      <c r="L417"/>
    </row>
    <row r="418" spans="2:12">
      <c r="H418"/>
      <c r="I418"/>
      <c r="J418"/>
      <c r="K418"/>
      <c r="L418"/>
    </row>
    <row r="419" spans="2:12">
      <c r="H419"/>
      <c r="I419"/>
      <c r="J419"/>
      <c r="K419"/>
      <c r="L419"/>
    </row>
    <row r="420" spans="2:12">
      <c r="H420"/>
      <c r="I420"/>
      <c r="J420"/>
      <c r="K420"/>
      <c r="L420"/>
    </row>
    <row r="421" spans="2:12">
      <c r="H421"/>
      <c r="I421"/>
      <c r="J421"/>
      <c r="K421"/>
      <c r="L421"/>
    </row>
    <row r="422" spans="2:12">
      <c r="H422"/>
      <c r="I422"/>
      <c r="J422"/>
      <c r="K422"/>
      <c r="L422"/>
    </row>
    <row r="423" spans="2:12">
      <c r="H423"/>
      <c r="I423"/>
      <c r="J423"/>
      <c r="K423"/>
      <c r="L423"/>
    </row>
    <row r="424" spans="2:12">
      <c r="H424"/>
      <c r="I424"/>
      <c r="J424"/>
      <c r="K424"/>
      <c r="L424"/>
    </row>
    <row r="425" spans="2:12">
      <c r="H425"/>
      <c r="I425"/>
      <c r="J425"/>
      <c r="K425"/>
      <c r="L425"/>
    </row>
    <row r="426" spans="2:12">
      <c r="H426"/>
      <c r="I426"/>
      <c r="J426"/>
      <c r="K426"/>
      <c r="L426"/>
    </row>
    <row r="427" spans="2:12">
      <c r="H427"/>
      <c r="I427"/>
      <c r="J427"/>
      <c r="K427"/>
      <c r="L427"/>
    </row>
    <row r="428" spans="2:12">
      <c r="H428"/>
      <c r="I428"/>
      <c r="J428"/>
      <c r="K428"/>
      <c r="L428"/>
    </row>
    <row r="429" spans="2:12">
      <c r="H429"/>
      <c r="I429"/>
      <c r="J429"/>
      <c r="K429"/>
      <c r="L429"/>
    </row>
    <row r="430" spans="2:12">
      <c r="H430"/>
      <c r="I430"/>
      <c r="J430"/>
      <c r="K430"/>
      <c r="L430"/>
    </row>
    <row r="431" spans="2:12">
      <c r="H431"/>
      <c r="I431"/>
      <c r="J431"/>
      <c r="K431"/>
      <c r="L431"/>
    </row>
    <row r="432" spans="2:12">
      <c r="H432"/>
      <c r="I432"/>
      <c r="J432"/>
      <c r="K432"/>
      <c r="L432"/>
    </row>
    <row r="433" spans="8:12">
      <c r="H433"/>
      <c r="I433"/>
      <c r="J433"/>
      <c r="K433"/>
      <c r="L433"/>
    </row>
    <row r="434" spans="8:12">
      <c r="H434"/>
      <c r="I434"/>
      <c r="J434"/>
      <c r="K434"/>
      <c r="L434"/>
    </row>
    <row r="435" spans="8:12">
      <c r="H435"/>
      <c r="I435"/>
      <c r="J435"/>
      <c r="K435"/>
      <c r="L435"/>
    </row>
    <row r="436" spans="8:12">
      <c r="H436"/>
      <c r="I436"/>
      <c r="J436"/>
      <c r="K436"/>
      <c r="L436"/>
    </row>
    <row r="437" spans="8:12">
      <c r="H437"/>
      <c r="I437"/>
      <c r="J437"/>
      <c r="K437"/>
      <c r="L437"/>
    </row>
    <row r="438" spans="8:12">
      <c r="H438"/>
      <c r="I438"/>
      <c r="J438"/>
      <c r="K438"/>
      <c r="L438"/>
    </row>
    <row r="439" spans="8:12">
      <c r="H439"/>
      <c r="I439"/>
      <c r="J439"/>
      <c r="K439"/>
      <c r="L439"/>
    </row>
    <row r="440" spans="8:12">
      <c r="H440"/>
      <c r="I440"/>
      <c r="J440"/>
      <c r="K440"/>
      <c r="L440"/>
    </row>
    <row r="441" spans="8:12">
      <c r="H441"/>
      <c r="I441"/>
      <c r="J441"/>
      <c r="K441"/>
      <c r="L441"/>
    </row>
    <row r="442" spans="8:12">
      <c r="H442"/>
      <c r="I442"/>
      <c r="J442"/>
      <c r="K442"/>
      <c r="L442"/>
    </row>
    <row r="443" spans="8:12">
      <c r="H443"/>
      <c r="I443"/>
      <c r="J443"/>
      <c r="K443"/>
      <c r="L443"/>
    </row>
    <row r="444" spans="8:12">
      <c r="H444"/>
      <c r="I444"/>
      <c r="J444"/>
      <c r="K444"/>
      <c r="L444"/>
    </row>
    <row r="445" spans="8:12">
      <c r="H445"/>
      <c r="I445"/>
      <c r="J445"/>
      <c r="K445"/>
      <c r="L445"/>
    </row>
    <row r="446" spans="8:12">
      <c r="H446"/>
      <c r="I446"/>
      <c r="J446"/>
      <c r="K446"/>
      <c r="L446"/>
    </row>
    <row r="447" spans="8:12">
      <c r="H447"/>
      <c r="I447"/>
      <c r="J447"/>
      <c r="K447"/>
      <c r="L447"/>
    </row>
    <row r="448" spans="8:12">
      <c r="H448"/>
      <c r="I448"/>
      <c r="J448"/>
      <c r="K448"/>
      <c r="L448"/>
    </row>
    <row r="449" spans="8:12">
      <c r="H449"/>
      <c r="I449"/>
      <c r="J449"/>
      <c r="K449"/>
      <c r="L449"/>
    </row>
    <row r="450" spans="8:12">
      <c r="H450"/>
      <c r="I450"/>
      <c r="J450"/>
      <c r="K450"/>
      <c r="L450"/>
    </row>
    <row r="451" spans="8:12">
      <c r="H451"/>
      <c r="I451"/>
      <c r="J451"/>
      <c r="K451"/>
      <c r="L451"/>
    </row>
    <row r="452" spans="8:12">
      <c r="H452"/>
      <c r="I452"/>
      <c r="J452"/>
      <c r="K452"/>
      <c r="L452"/>
    </row>
    <row r="453" spans="8:12">
      <c r="H453"/>
      <c r="I453"/>
      <c r="J453"/>
      <c r="K453"/>
      <c r="L453"/>
    </row>
    <row r="454" spans="8:12">
      <c r="H454"/>
      <c r="I454"/>
      <c r="J454"/>
      <c r="K454"/>
      <c r="L454"/>
    </row>
    <row r="455" spans="8:12">
      <c r="H455"/>
      <c r="I455"/>
      <c r="J455"/>
      <c r="K455"/>
      <c r="L455"/>
    </row>
    <row r="456" spans="8:12">
      <c r="H456"/>
      <c r="I456"/>
      <c r="J456"/>
      <c r="K456"/>
      <c r="L456"/>
    </row>
    <row r="457" spans="8:12">
      <c r="H457"/>
      <c r="I457"/>
      <c r="J457"/>
      <c r="K457"/>
      <c r="L457"/>
    </row>
    <row r="458" spans="8:12">
      <c r="H458"/>
      <c r="I458"/>
      <c r="J458"/>
      <c r="K458"/>
      <c r="L458"/>
    </row>
    <row r="459" spans="8:12">
      <c r="H459"/>
      <c r="I459"/>
      <c r="J459"/>
      <c r="K459"/>
      <c r="L459"/>
    </row>
    <row r="460" spans="8:12">
      <c r="H460"/>
      <c r="I460"/>
      <c r="J460"/>
      <c r="K460"/>
      <c r="L460"/>
    </row>
    <row r="461" spans="8:12">
      <c r="H461"/>
      <c r="I461"/>
      <c r="J461"/>
      <c r="K461"/>
      <c r="L461"/>
    </row>
    <row r="462" spans="8:12">
      <c r="H462"/>
      <c r="I462"/>
      <c r="J462"/>
      <c r="K462"/>
      <c r="L462"/>
    </row>
    <row r="463" spans="8:12">
      <c r="H463"/>
      <c r="I463"/>
      <c r="J463"/>
      <c r="K463"/>
      <c r="L463"/>
    </row>
    <row r="464" spans="8:12">
      <c r="H464"/>
      <c r="I464"/>
      <c r="J464"/>
      <c r="K464"/>
      <c r="L464"/>
    </row>
    <row r="465" spans="8:12">
      <c r="H465"/>
      <c r="I465"/>
      <c r="J465"/>
      <c r="K465"/>
      <c r="L465"/>
    </row>
    <row r="466" spans="8:12">
      <c r="H466"/>
      <c r="I466"/>
      <c r="J466"/>
      <c r="K466"/>
      <c r="L466"/>
    </row>
    <row r="467" spans="8:12">
      <c r="H467"/>
      <c r="I467"/>
      <c r="J467"/>
      <c r="K467"/>
      <c r="L467"/>
    </row>
    <row r="468" spans="8:12">
      <c r="H468"/>
      <c r="I468"/>
      <c r="J468"/>
      <c r="K468"/>
      <c r="L468"/>
    </row>
    <row r="469" spans="8:12">
      <c r="H469"/>
      <c r="I469"/>
      <c r="J469"/>
      <c r="K469"/>
      <c r="L469"/>
    </row>
    <row r="470" spans="8:12">
      <c r="H470"/>
      <c r="I470"/>
      <c r="J470"/>
      <c r="K470"/>
      <c r="L470"/>
    </row>
    <row r="471" spans="8:12">
      <c r="H471"/>
      <c r="I471"/>
      <c r="J471"/>
      <c r="K471"/>
      <c r="L471"/>
    </row>
    <row r="472" spans="8:12">
      <c r="H472"/>
      <c r="I472"/>
      <c r="J472"/>
      <c r="K472"/>
      <c r="L472"/>
    </row>
    <row r="473" spans="8:12">
      <c r="H473"/>
      <c r="I473"/>
      <c r="J473"/>
      <c r="K473"/>
      <c r="L473"/>
    </row>
    <row r="474" spans="8:12">
      <c r="H474"/>
      <c r="I474"/>
      <c r="J474"/>
      <c r="K474"/>
      <c r="L474"/>
    </row>
    <row r="475" spans="8:12">
      <c r="H475"/>
      <c r="I475"/>
      <c r="J475"/>
      <c r="K475"/>
      <c r="L475"/>
    </row>
    <row r="476" spans="8:12">
      <c r="H476"/>
      <c r="I476"/>
      <c r="J476"/>
      <c r="K476"/>
      <c r="L476"/>
    </row>
    <row r="477" spans="8:12">
      <c r="H477"/>
      <c r="I477"/>
      <c r="J477"/>
      <c r="K477"/>
      <c r="L477"/>
    </row>
    <row r="478" spans="8:12">
      <c r="H478"/>
      <c r="I478"/>
      <c r="J478"/>
      <c r="K478"/>
      <c r="L478"/>
    </row>
    <row r="479" spans="8:12">
      <c r="H479"/>
      <c r="I479"/>
      <c r="J479"/>
      <c r="K479"/>
      <c r="L479"/>
    </row>
    <row r="480" spans="8:12">
      <c r="H480"/>
      <c r="I480"/>
      <c r="J480"/>
      <c r="K480"/>
      <c r="L480"/>
    </row>
    <row r="481" spans="8:12">
      <c r="H481"/>
      <c r="I481"/>
      <c r="J481"/>
      <c r="K481"/>
      <c r="L481"/>
    </row>
    <row r="482" spans="8:12">
      <c r="H482"/>
      <c r="I482"/>
      <c r="J482"/>
      <c r="K482"/>
      <c r="L482"/>
    </row>
    <row r="483" spans="8:12">
      <c r="H483"/>
      <c r="I483"/>
      <c r="J483"/>
      <c r="K483"/>
      <c r="L483"/>
    </row>
    <row r="484" spans="8:12">
      <c r="H484"/>
      <c r="I484"/>
      <c r="J484"/>
      <c r="K484"/>
      <c r="L484"/>
    </row>
    <row r="485" spans="8:12">
      <c r="H485"/>
      <c r="I485"/>
      <c r="J485"/>
      <c r="K485"/>
      <c r="L485"/>
    </row>
    <row r="486" spans="8:12">
      <c r="H486"/>
      <c r="I486"/>
      <c r="J486"/>
      <c r="K486"/>
      <c r="L486"/>
    </row>
    <row r="487" spans="8:12">
      <c r="H487"/>
      <c r="I487"/>
      <c r="J487"/>
      <c r="K487"/>
      <c r="L487"/>
    </row>
    <row r="488" spans="8:12">
      <c r="H488"/>
      <c r="I488"/>
      <c r="J488"/>
      <c r="K488"/>
      <c r="L488"/>
    </row>
    <row r="489" spans="8:12">
      <c r="H489"/>
      <c r="I489"/>
      <c r="J489"/>
      <c r="K489"/>
      <c r="L489"/>
    </row>
    <row r="490" spans="8:12">
      <c r="H490"/>
      <c r="I490"/>
      <c r="J490"/>
      <c r="K490"/>
      <c r="L490"/>
    </row>
    <row r="491" spans="8:12">
      <c r="H491"/>
      <c r="I491"/>
      <c r="J491"/>
      <c r="K491"/>
      <c r="L491"/>
    </row>
    <row r="492" spans="8:12">
      <c r="H492"/>
      <c r="I492"/>
      <c r="J492"/>
      <c r="K492"/>
      <c r="L492"/>
    </row>
    <row r="493" spans="8:12">
      <c r="H493"/>
      <c r="I493"/>
      <c r="J493"/>
      <c r="K493"/>
      <c r="L493"/>
    </row>
    <row r="494" spans="8:12">
      <c r="H494"/>
      <c r="I494"/>
      <c r="J494"/>
      <c r="K494"/>
      <c r="L494"/>
    </row>
    <row r="495" spans="8:12">
      <c r="H495"/>
      <c r="I495"/>
      <c r="J495"/>
      <c r="K495"/>
      <c r="L495"/>
    </row>
    <row r="496" spans="8:12">
      <c r="H496"/>
      <c r="I496"/>
      <c r="J496"/>
      <c r="K496"/>
      <c r="L496"/>
    </row>
    <row r="497" spans="8:12">
      <c r="H497"/>
      <c r="I497"/>
      <c r="J497"/>
      <c r="K497"/>
      <c r="L497"/>
    </row>
    <row r="498" spans="8:12">
      <c r="H498"/>
      <c r="I498"/>
      <c r="J498"/>
      <c r="K498"/>
      <c r="L498"/>
    </row>
    <row r="499" spans="8:12">
      <c r="H499"/>
      <c r="I499"/>
      <c r="J499"/>
      <c r="K499"/>
      <c r="L499"/>
    </row>
    <row r="500" spans="8:12">
      <c r="H500"/>
      <c r="I500"/>
      <c r="J500"/>
      <c r="K500"/>
      <c r="L500"/>
    </row>
    <row r="501" spans="8:12">
      <c r="H501"/>
      <c r="I501"/>
      <c r="J501"/>
      <c r="K501"/>
      <c r="L501"/>
    </row>
    <row r="502" spans="8:12">
      <c r="H502"/>
      <c r="I502"/>
      <c r="J502"/>
      <c r="K502"/>
      <c r="L502"/>
    </row>
    <row r="503" spans="8:12">
      <c r="H503"/>
      <c r="I503"/>
      <c r="J503"/>
      <c r="K503"/>
      <c r="L503"/>
    </row>
    <row r="504" spans="8:12">
      <c r="H504"/>
      <c r="I504"/>
      <c r="J504"/>
      <c r="K504"/>
      <c r="L504"/>
    </row>
    <row r="505" spans="8:12">
      <c r="H505"/>
      <c r="I505"/>
      <c r="J505"/>
      <c r="K505"/>
      <c r="L505"/>
    </row>
    <row r="506" spans="8:12">
      <c r="H506"/>
      <c r="I506"/>
      <c r="J506"/>
      <c r="K506"/>
      <c r="L506"/>
    </row>
    <row r="507" spans="8:12">
      <c r="H507"/>
      <c r="I507"/>
      <c r="J507"/>
      <c r="K507"/>
      <c r="L507"/>
    </row>
    <row r="508" spans="8:12">
      <c r="H508"/>
      <c r="I508"/>
      <c r="J508"/>
      <c r="K508"/>
      <c r="L508"/>
    </row>
    <row r="509" spans="8:12">
      <c r="H509"/>
      <c r="I509"/>
      <c r="J509"/>
      <c r="K509"/>
      <c r="L509"/>
    </row>
    <row r="510" spans="8:12">
      <c r="H510"/>
      <c r="I510"/>
      <c r="J510"/>
      <c r="K510"/>
      <c r="L510"/>
    </row>
    <row r="511" spans="8:12">
      <c r="H511"/>
      <c r="I511"/>
      <c r="J511"/>
      <c r="K511"/>
      <c r="L511"/>
    </row>
    <row r="512" spans="8:12">
      <c r="H512"/>
      <c r="I512"/>
      <c r="J512"/>
      <c r="K512"/>
      <c r="L512"/>
    </row>
    <row r="513" spans="8:12">
      <c r="H513"/>
      <c r="I513"/>
      <c r="J513"/>
      <c r="K513"/>
      <c r="L513"/>
    </row>
    <row r="514" spans="8:12">
      <c r="H514"/>
      <c r="I514"/>
      <c r="J514"/>
      <c r="K514"/>
      <c r="L514"/>
    </row>
    <row r="515" spans="8:12">
      <c r="H515"/>
      <c r="I515"/>
      <c r="J515"/>
      <c r="K515"/>
      <c r="L515"/>
    </row>
    <row r="516" spans="8:12">
      <c r="H516"/>
      <c r="I516"/>
      <c r="J516"/>
      <c r="K516"/>
      <c r="L516"/>
    </row>
    <row r="517" spans="8:12">
      <c r="H517"/>
      <c r="I517"/>
      <c r="J517"/>
      <c r="K517"/>
      <c r="L517"/>
    </row>
    <row r="518" spans="8:12">
      <c r="H518"/>
      <c r="I518"/>
      <c r="J518"/>
      <c r="K518"/>
      <c r="L518"/>
    </row>
    <row r="519" spans="8:12">
      <c r="H519"/>
      <c r="I519"/>
      <c r="J519"/>
      <c r="K519"/>
      <c r="L519"/>
    </row>
    <row r="520" spans="8:12">
      <c r="H520"/>
      <c r="I520"/>
      <c r="J520"/>
      <c r="K520"/>
      <c r="L520"/>
    </row>
    <row r="521" spans="8:12">
      <c r="H521"/>
      <c r="I521"/>
      <c r="J521"/>
      <c r="K521"/>
      <c r="L521"/>
    </row>
    <row r="522" spans="8:12">
      <c r="H522"/>
      <c r="I522"/>
      <c r="J522"/>
      <c r="K522"/>
      <c r="L522"/>
    </row>
    <row r="523" spans="8:12">
      <c r="H523"/>
      <c r="I523"/>
      <c r="J523"/>
      <c r="K523"/>
      <c r="L523"/>
    </row>
    <row r="524" spans="8:12">
      <c r="H524"/>
      <c r="I524"/>
      <c r="J524"/>
      <c r="K524"/>
      <c r="L524"/>
    </row>
    <row r="525" spans="8:12">
      <c r="H525"/>
      <c r="I525"/>
      <c r="J525"/>
      <c r="K525"/>
      <c r="L525"/>
    </row>
    <row r="526" spans="8:12">
      <c r="H526"/>
      <c r="I526"/>
      <c r="J526"/>
      <c r="K526"/>
      <c r="L526"/>
    </row>
    <row r="527" spans="8:12">
      <c r="H527"/>
      <c r="I527"/>
      <c r="J527"/>
      <c r="K527"/>
      <c r="L527"/>
    </row>
    <row r="528" spans="8:12">
      <c r="H528"/>
      <c r="I528"/>
      <c r="J528"/>
      <c r="K528"/>
      <c r="L528"/>
    </row>
    <row r="529" spans="8:12">
      <c r="H529"/>
      <c r="I529"/>
      <c r="J529"/>
      <c r="K529"/>
      <c r="L529"/>
    </row>
    <row r="530" spans="8:12">
      <c r="H530"/>
      <c r="I530"/>
      <c r="J530"/>
      <c r="K530"/>
      <c r="L530"/>
    </row>
    <row r="531" spans="8:12">
      <c r="H531"/>
      <c r="I531"/>
      <c r="J531"/>
      <c r="K531"/>
      <c r="L531"/>
    </row>
    <row r="532" spans="8:12">
      <c r="H532"/>
      <c r="I532"/>
      <c r="J532"/>
      <c r="K532"/>
      <c r="L532"/>
    </row>
    <row r="533" spans="8:12">
      <c r="H533"/>
      <c r="I533"/>
      <c r="J533"/>
      <c r="K533"/>
      <c r="L533"/>
    </row>
    <row r="534" spans="8:12">
      <c r="H534"/>
      <c r="I534"/>
      <c r="J534"/>
      <c r="K534"/>
      <c r="L534"/>
    </row>
    <row r="535" spans="8:12">
      <c r="H535"/>
      <c r="I535"/>
      <c r="J535"/>
      <c r="K535"/>
      <c r="L535"/>
    </row>
    <row r="536" spans="8:12">
      <c r="H536"/>
      <c r="I536"/>
      <c r="J536"/>
      <c r="K536"/>
      <c r="L536"/>
    </row>
    <row r="537" spans="8:12">
      <c r="H537"/>
      <c r="I537"/>
      <c r="J537"/>
      <c r="K537"/>
      <c r="L537"/>
    </row>
    <row r="538" spans="8:12">
      <c r="H538"/>
      <c r="I538"/>
      <c r="J538"/>
      <c r="K538"/>
      <c r="L538"/>
    </row>
    <row r="539" spans="8:12">
      <c r="H539"/>
      <c r="I539"/>
      <c r="J539"/>
      <c r="K539"/>
      <c r="L539"/>
    </row>
    <row r="540" spans="8:12">
      <c r="H540"/>
      <c r="I540"/>
      <c r="J540"/>
      <c r="K540"/>
      <c r="L540"/>
    </row>
    <row r="541" spans="8:12">
      <c r="H541"/>
      <c r="I541"/>
      <c r="J541"/>
      <c r="K541"/>
      <c r="L541"/>
    </row>
    <row r="542" spans="8:12">
      <c r="H542"/>
      <c r="I542"/>
      <c r="J542"/>
      <c r="K542"/>
      <c r="L542"/>
    </row>
    <row r="543" spans="8:12">
      <c r="H543"/>
      <c r="I543"/>
      <c r="J543"/>
      <c r="K543"/>
      <c r="L543"/>
    </row>
    <row r="544" spans="8:12">
      <c r="H544"/>
      <c r="I544"/>
      <c r="J544"/>
      <c r="K544"/>
      <c r="L544"/>
    </row>
    <row r="545" spans="8:12">
      <c r="H545"/>
      <c r="I545"/>
      <c r="J545"/>
      <c r="K545"/>
      <c r="L545"/>
    </row>
    <row r="546" spans="8:12">
      <c r="H546"/>
      <c r="I546"/>
      <c r="J546"/>
      <c r="K546"/>
      <c r="L546"/>
    </row>
    <row r="547" spans="8:12">
      <c r="H547"/>
      <c r="I547"/>
      <c r="J547"/>
      <c r="K547"/>
      <c r="L547"/>
    </row>
    <row r="548" spans="8:12">
      <c r="H548"/>
      <c r="I548"/>
      <c r="J548"/>
      <c r="K548"/>
      <c r="L548"/>
    </row>
    <row r="549" spans="8:12">
      <c r="H549"/>
      <c r="I549"/>
      <c r="J549"/>
      <c r="K549"/>
      <c r="L549"/>
    </row>
    <row r="550" spans="8:12">
      <c r="H550"/>
      <c r="I550"/>
      <c r="J550"/>
      <c r="K550"/>
      <c r="L550"/>
    </row>
    <row r="551" spans="8:12">
      <c r="H551"/>
      <c r="I551"/>
      <c r="J551"/>
      <c r="K551"/>
      <c r="L551"/>
    </row>
    <row r="552" spans="8:12">
      <c r="H552"/>
      <c r="I552"/>
      <c r="J552"/>
      <c r="K552"/>
      <c r="L552"/>
    </row>
    <row r="553" spans="8:12">
      <c r="H553"/>
      <c r="I553"/>
      <c r="J553"/>
      <c r="K553"/>
      <c r="L553"/>
    </row>
    <row r="554" spans="8:12">
      <c r="H554"/>
      <c r="I554"/>
      <c r="J554"/>
      <c r="K554"/>
      <c r="L554"/>
    </row>
    <row r="555" spans="8:12">
      <c r="H555"/>
      <c r="I555"/>
      <c r="J555"/>
      <c r="K555"/>
      <c r="L555"/>
    </row>
    <row r="556" spans="8:12">
      <c r="H556"/>
      <c r="I556"/>
      <c r="J556"/>
      <c r="K556"/>
      <c r="L556"/>
    </row>
    <row r="557" spans="8:12">
      <c r="H557"/>
      <c r="I557"/>
      <c r="J557"/>
      <c r="K557"/>
      <c r="L557"/>
    </row>
    <row r="558" spans="8:12">
      <c r="H558"/>
      <c r="I558"/>
      <c r="J558"/>
      <c r="K558"/>
      <c r="L558"/>
    </row>
    <row r="559" spans="8:12">
      <c r="H559"/>
      <c r="I559"/>
      <c r="J559"/>
      <c r="K559"/>
      <c r="L559"/>
    </row>
    <row r="560" spans="8:12">
      <c r="H560"/>
      <c r="I560"/>
      <c r="J560"/>
      <c r="K560"/>
      <c r="L560"/>
    </row>
    <row r="561" spans="8:12">
      <c r="H561"/>
      <c r="I561"/>
      <c r="J561"/>
      <c r="K561"/>
      <c r="L561"/>
    </row>
    <row r="562" spans="8:12">
      <c r="H562"/>
      <c r="I562"/>
      <c r="J562"/>
      <c r="K562"/>
      <c r="L562"/>
    </row>
    <row r="563" spans="8:12">
      <c r="H563"/>
      <c r="I563"/>
      <c r="J563"/>
      <c r="K563"/>
      <c r="L563"/>
    </row>
    <row r="564" spans="8:12">
      <c r="H564"/>
      <c r="I564"/>
      <c r="J564"/>
      <c r="K564"/>
      <c r="L564"/>
    </row>
    <row r="565" spans="8:12">
      <c r="H565"/>
      <c r="I565"/>
      <c r="J565"/>
      <c r="K565"/>
      <c r="L565"/>
    </row>
    <row r="566" spans="8:12">
      <c r="H566"/>
      <c r="I566"/>
      <c r="J566"/>
      <c r="K566"/>
      <c r="L566"/>
    </row>
    <row r="567" spans="8:12">
      <c r="H567"/>
      <c r="I567"/>
      <c r="J567"/>
      <c r="K567"/>
      <c r="L567"/>
    </row>
    <row r="568" spans="8:12">
      <c r="H568"/>
      <c r="I568"/>
      <c r="J568"/>
      <c r="K568"/>
      <c r="L568"/>
    </row>
    <row r="569" spans="8:12">
      <c r="H569"/>
      <c r="I569"/>
      <c r="J569"/>
      <c r="K569"/>
      <c r="L569"/>
    </row>
    <row r="570" spans="8:12">
      <c r="H570"/>
      <c r="I570"/>
      <c r="J570"/>
      <c r="K570"/>
      <c r="L570"/>
    </row>
    <row r="571" spans="8:12">
      <c r="H571"/>
      <c r="I571"/>
      <c r="J571"/>
      <c r="K571"/>
      <c r="L571"/>
    </row>
    <row r="572" spans="8:12">
      <c r="H572"/>
      <c r="I572"/>
      <c r="J572"/>
      <c r="K572"/>
      <c r="L572"/>
    </row>
    <row r="573" spans="8:12">
      <c r="H573"/>
      <c r="I573"/>
      <c r="J573"/>
      <c r="K573"/>
      <c r="L573"/>
    </row>
    <row r="574" spans="8:12">
      <c r="H574"/>
      <c r="I574"/>
      <c r="J574"/>
      <c r="K574"/>
      <c r="L574"/>
    </row>
    <row r="575" spans="8:12">
      <c r="H575"/>
      <c r="I575"/>
      <c r="J575"/>
      <c r="K575"/>
      <c r="L575"/>
    </row>
    <row r="576" spans="8:12">
      <c r="H576"/>
      <c r="I576"/>
      <c r="J576"/>
      <c r="K576"/>
      <c r="L576"/>
    </row>
    <row r="577" spans="8:12">
      <c r="H577"/>
      <c r="I577"/>
      <c r="J577"/>
      <c r="K577"/>
      <c r="L577"/>
    </row>
    <row r="578" spans="8:12">
      <c r="H578"/>
      <c r="I578"/>
      <c r="J578"/>
      <c r="K578"/>
      <c r="L578"/>
    </row>
    <row r="579" spans="8:12">
      <c r="H579"/>
      <c r="I579"/>
      <c r="J579"/>
      <c r="K579"/>
      <c r="L579"/>
    </row>
    <row r="580" spans="8:12">
      <c r="H580"/>
      <c r="I580"/>
      <c r="J580"/>
      <c r="K580"/>
      <c r="L580"/>
    </row>
    <row r="581" spans="8:12">
      <c r="H581"/>
      <c r="I581"/>
      <c r="J581"/>
      <c r="K581"/>
      <c r="L581"/>
    </row>
    <row r="582" spans="8:12">
      <c r="H582"/>
      <c r="I582"/>
      <c r="J582"/>
      <c r="K582"/>
      <c r="L582"/>
    </row>
    <row r="583" spans="8:12">
      <c r="H583"/>
      <c r="I583"/>
      <c r="J583"/>
      <c r="K583"/>
      <c r="L583"/>
    </row>
    <row r="584" spans="8:12">
      <c r="H584"/>
      <c r="I584"/>
      <c r="J584"/>
      <c r="K584"/>
      <c r="L584"/>
    </row>
    <row r="585" spans="8:12">
      <c r="H585"/>
      <c r="I585"/>
      <c r="J585"/>
      <c r="K585"/>
      <c r="L585"/>
    </row>
    <row r="586" spans="8:12">
      <c r="H586"/>
      <c r="I586"/>
      <c r="J586"/>
      <c r="K586"/>
      <c r="L586"/>
    </row>
    <row r="587" spans="8:12">
      <c r="H587"/>
      <c r="I587"/>
      <c r="J587"/>
      <c r="K587"/>
      <c r="L587"/>
    </row>
    <row r="588" spans="8:12">
      <c r="H588"/>
      <c r="I588"/>
      <c r="J588"/>
      <c r="K588"/>
      <c r="L588"/>
    </row>
    <row r="589" spans="8:12">
      <c r="H589"/>
      <c r="I589"/>
      <c r="J589"/>
      <c r="K589"/>
      <c r="L589"/>
    </row>
    <row r="590" spans="8:12">
      <c r="H590"/>
      <c r="I590"/>
      <c r="J590"/>
      <c r="K590"/>
      <c r="L590"/>
    </row>
    <row r="591" spans="8:12">
      <c r="H591"/>
      <c r="I591"/>
      <c r="J591"/>
      <c r="K591"/>
      <c r="L591"/>
    </row>
    <row r="592" spans="8:12">
      <c r="H592"/>
      <c r="I592"/>
      <c r="J592"/>
      <c r="K592"/>
      <c r="L592"/>
    </row>
    <row r="593" spans="8:12">
      <c r="H593"/>
      <c r="I593"/>
      <c r="J593"/>
      <c r="K593"/>
      <c r="L593"/>
    </row>
    <row r="594" spans="8:12">
      <c r="H594"/>
      <c r="I594"/>
      <c r="J594"/>
      <c r="K594"/>
      <c r="L594"/>
    </row>
    <row r="595" spans="8:12">
      <c r="H595"/>
      <c r="I595"/>
      <c r="J595"/>
      <c r="K595"/>
      <c r="L595"/>
    </row>
    <row r="596" spans="8:12">
      <c r="H596"/>
      <c r="I596"/>
      <c r="J596"/>
      <c r="K596"/>
      <c r="L596"/>
    </row>
    <row r="597" spans="8:12">
      <c r="H597"/>
      <c r="I597"/>
      <c r="J597"/>
      <c r="K597"/>
      <c r="L597"/>
    </row>
    <row r="598" spans="8:12">
      <c r="H598"/>
      <c r="I598"/>
      <c r="J598"/>
      <c r="K598"/>
      <c r="L598"/>
    </row>
    <row r="599" spans="8:12">
      <c r="H599"/>
      <c r="I599"/>
      <c r="J599"/>
      <c r="K599"/>
      <c r="L599"/>
    </row>
    <row r="600" spans="8:12">
      <c r="H600"/>
      <c r="I600"/>
      <c r="J600"/>
      <c r="K600"/>
      <c r="L600"/>
    </row>
    <row r="601" spans="8:12">
      <c r="H601"/>
      <c r="I601"/>
      <c r="J601"/>
      <c r="K601"/>
      <c r="L601"/>
    </row>
    <row r="602" spans="8:12">
      <c r="H602"/>
      <c r="I602"/>
      <c r="J602"/>
      <c r="K602"/>
      <c r="L602"/>
    </row>
    <row r="603" spans="8:12">
      <c r="H603"/>
      <c r="I603"/>
      <c r="J603"/>
      <c r="K603"/>
      <c r="L603"/>
    </row>
    <row r="604" spans="8:12">
      <c r="H604"/>
      <c r="I604"/>
      <c r="J604"/>
      <c r="K604"/>
      <c r="L604"/>
    </row>
    <row r="605" spans="8:12">
      <c r="H605"/>
      <c r="I605"/>
      <c r="J605"/>
      <c r="K605"/>
      <c r="L605"/>
    </row>
    <row r="606" spans="8:12">
      <c r="H606"/>
      <c r="I606"/>
      <c r="J606"/>
      <c r="K606"/>
      <c r="L606"/>
    </row>
    <row r="607" spans="8:12">
      <c r="H607"/>
      <c r="I607"/>
      <c r="J607"/>
      <c r="K607"/>
      <c r="L607"/>
    </row>
    <row r="608" spans="8:12">
      <c r="H608"/>
      <c r="I608"/>
      <c r="J608"/>
      <c r="K608"/>
      <c r="L608"/>
    </row>
    <row r="609" spans="8:12">
      <c r="H609"/>
      <c r="I609"/>
      <c r="J609"/>
      <c r="K609"/>
      <c r="L609"/>
    </row>
    <row r="610" spans="8:12">
      <c r="H610"/>
      <c r="I610"/>
      <c r="J610"/>
      <c r="K610"/>
      <c r="L610"/>
    </row>
    <row r="611" spans="8:12">
      <c r="H611"/>
      <c r="I611"/>
      <c r="J611"/>
      <c r="K611"/>
      <c r="L611"/>
    </row>
    <row r="612" spans="8:12">
      <c r="H612"/>
      <c r="I612"/>
      <c r="J612"/>
      <c r="K612"/>
      <c r="L612"/>
    </row>
    <row r="613" spans="8:12">
      <c r="H613"/>
      <c r="I613"/>
      <c r="J613"/>
      <c r="K613"/>
      <c r="L613"/>
    </row>
    <row r="614" spans="8:12">
      <c r="H614"/>
      <c r="I614"/>
      <c r="J614"/>
      <c r="K614"/>
      <c r="L614"/>
    </row>
    <row r="615" spans="8:12">
      <c r="H615"/>
      <c r="I615"/>
      <c r="J615"/>
      <c r="K615"/>
      <c r="L615"/>
    </row>
    <row r="616" spans="8:12">
      <c r="H616"/>
      <c r="I616"/>
      <c r="J616"/>
      <c r="K616"/>
      <c r="L616"/>
    </row>
    <row r="617" spans="8:12">
      <c r="H617"/>
      <c r="I617"/>
      <c r="J617"/>
      <c r="K617"/>
      <c r="L617"/>
    </row>
    <row r="618" spans="8:12">
      <c r="H618"/>
      <c r="I618"/>
      <c r="J618"/>
      <c r="K618"/>
      <c r="L618"/>
    </row>
    <row r="619" spans="8:12">
      <c r="H619"/>
      <c r="I619"/>
      <c r="J619"/>
      <c r="K619"/>
      <c r="L619"/>
    </row>
    <row r="620" spans="8:12">
      <c r="H620"/>
      <c r="I620"/>
      <c r="J620"/>
      <c r="K620"/>
      <c r="L620"/>
    </row>
    <row r="621" spans="8:12">
      <c r="H621"/>
      <c r="I621"/>
      <c r="J621"/>
      <c r="K621"/>
      <c r="L621"/>
    </row>
    <row r="622" spans="8:12">
      <c r="H622"/>
      <c r="I622"/>
      <c r="J622"/>
      <c r="K622"/>
      <c r="L622"/>
    </row>
    <row r="623" spans="8:12">
      <c r="H623"/>
      <c r="I623"/>
      <c r="J623"/>
      <c r="K623"/>
      <c r="L623"/>
    </row>
    <row r="624" spans="8:12">
      <c r="H624"/>
      <c r="I624"/>
      <c r="J624"/>
      <c r="K624"/>
      <c r="L624"/>
    </row>
    <row r="625" spans="8:12">
      <c r="H625"/>
      <c r="I625"/>
      <c r="J625"/>
      <c r="K625"/>
      <c r="L625"/>
    </row>
    <row r="626" spans="8:12">
      <c r="H626"/>
      <c r="I626"/>
      <c r="J626"/>
      <c r="K626"/>
      <c r="L626"/>
    </row>
    <row r="627" spans="8:12">
      <c r="H627"/>
      <c r="I627"/>
      <c r="J627"/>
      <c r="K627"/>
      <c r="L627"/>
    </row>
    <row r="628" spans="8:12">
      <c r="H628"/>
      <c r="I628"/>
      <c r="J628"/>
      <c r="K628"/>
      <c r="L628"/>
    </row>
    <row r="629" spans="8:12">
      <c r="H629"/>
      <c r="I629"/>
      <c r="J629"/>
      <c r="K629"/>
      <c r="L629"/>
    </row>
    <row r="630" spans="8:12">
      <c r="H630"/>
      <c r="I630"/>
      <c r="J630"/>
      <c r="K630"/>
      <c r="L630"/>
    </row>
    <row r="631" spans="8:12">
      <c r="H631"/>
      <c r="I631"/>
      <c r="J631"/>
      <c r="K631"/>
      <c r="L631"/>
    </row>
    <row r="632" spans="8:12">
      <c r="H632"/>
      <c r="I632"/>
      <c r="J632"/>
      <c r="K632"/>
      <c r="L632"/>
    </row>
    <row r="633" spans="8:12">
      <c r="H633"/>
      <c r="I633"/>
      <c r="J633"/>
      <c r="K633"/>
      <c r="L633"/>
    </row>
    <row r="634" spans="8:12">
      <c r="H634"/>
      <c r="I634"/>
      <c r="J634"/>
      <c r="K634"/>
      <c r="L634"/>
    </row>
    <row r="635" spans="8:12">
      <c r="H635"/>
      <c r="I635"/>
      <c r="J635"/>
      <c r="K635"/>
      <c r="L635"/>
    </row>
    <row r="636" spans="8:12">
      <c r="H636"/>
      <c r="I636"/>
      <c r="J636"/>
      <c r="K636"/>
      <c r="L636"/>
    </row>
    <row r="637" spans="8:12">
      <c r="H637"/>
      <c r="I637"/>
      <c r="J637"/>
      <c r="K637"/>
      <c r="L637"/>
    </row>
    <row r="638" spans="8:12">
      <c r="H638"/>
      <c r="I638"/>
      <c r="J638"/>
      <c r="K638"/>
      <c r="L638"/>
    </row>
    <row r="639" spans="8:12">
      <c r="H639"/>
      <c r="I639"/>
      <c r="J639"/>
      <c r="K639"/>
      <c r="L639"/>
    </row>
    <row r="640" spans="8:12">
      <c r="H640"/>
      <c r="I640"/>
      <c r="J640"/>
      <c r="K640"/>
      <c r="L640"/>
    </row>
    <row r="641" spans="8:12">
      <c r="H641"/>
      <c r="I641"/>
      <c r="J641"/>
      <c r="K641"/>
      <c r="L641"/>
    </row>
    <row r="642" spans="8:12">
      <c r="H642"/>
      <c r="I642"/>
      <c r="J642"/>
      <c r="K642"/>
      <c r="L642"/>
    </row>
    <row r="643" spans="8:12">
      <c r="H643"/>
      <c r="I643"/>
      <c r="J643"/>
      <c r="K643"/>
      <c r="L643"/>
    </row>
    <row r="644" spans="8:12">
      <c r="H644"/>
      <c r="I644"/>
      <c r="J644"/>
      <c r="K644"/>
      <c r="L644"/>
    </row>
    <row r="645" spans="8:12">
      <c r="H645"/>
      <c r="I645"/>
      <c r="J645"/>
      <c r="K645"/>
      <c r="L645"/>
    </row>
    <row r="646" spans="8:12">
      <c r="H646"/>
      <c r="I646"/>
      <c r="J646"/>
      <c r="K646"/>
      <c r="L646"/>
    </row>
    <row r="647" spans="8:12">
      <c r="H647"/>
      <c r="I647"/>
      <c r="J647"/>
      <c r="K647"/>
      <c r="L647"/>
    </row>
    <row r="648" spans="8:12">
      <c r="H648"/>
      <c r="I648"/>
      <c r="J648"/>
      <c r="K648"/>
      <c r="L648"/>
    </row>
    <row r="649" spans="8:12">
      <c r="H649"/>
      <c r="I649"/>
      <c r="J649"/>
      <c r="K649"/>
      <c r="L649"/>
    </row>
    <row r="650" spans="8:12">
      <c r="H650"/>
      <c r="I650"/>
      <c r="J650"/>
      <c r="K650"/>
      <c r="L650"/>
    </row>
    <row r="651" spans="8:12">
      <c r="H651"/>
      <c r="I651"/>
      <c r="J651"/>
      <c r="K651"/>
      <c r="L651"/>
    </row>
    <row r="652" spans="8:12">
      <c r="H652"/>
      <c r="I652"/>
      <c r="J652"/>
      <c r="K652"/>
      <c r="L652"/>
    </row>
    <row r="653" spans="8:12">
      <c r="H653"/>
      <c r="I653"/>
      <c r="J653"/>
      <c r="K653"/>
      <c r="L653"/>
    </row>
    <row r="654" spans="8:12">
      <c r="H654"/>
      <c r="I654"/>
      <c r="J654"/>
      <c r="K654"/>
      <c r="L654"/>
    </row>
    <row r="655" spans="8:12">
      <c r="H655"/>
      <c r="I655"/>
      <c r="J655"/>
      <c r="K655"/>
      <c r="L655"/>
    </row>
    <row r="656" spans="8:12">
      <c r="H656"/>
      <c r="I656"/>
      <c r="J656"/>
      <c r="K656"/>
      <c r="L656"/>
    </row>
    <row r="657" spans="8:12">
      <c r="H657"/>
      <c r="I657"/>
      <c r="J657"/>
      <c r="K657"/>
      <c r="L657"/>
    </row>
    <row r="658" spans="8:12">
      <c r="H658"/>
      <c r="I658"/>
      <c r="J658"/>
      <c r="K658"/>
      <c r="L658"/>
    </row>
    <row r="659" spans="8:12">
      <c r="H659"/>
      <c r="I659"/>
      <c r="J659"/>
      <c r="K659"/>
      <c r="L659"/>
    </row>
    <row r="660" spans="8:12">
      <c r="H660"/>
      <c r="I660"/>
      <c r="J660"/>
      <c r="K660"/>
      <c r="L660"/>
    </row>
    <row r="661" spans="8:12">
      <c r="H661"/>
      <c r="I661"/>
      <c r="J661"/>
      <c r="K661"/>
      <c r="L661"/>
    </row>
    <row r="662" spans="8:12">
      <c r="H662"/>
      <c r="I662"/>
      <c r="J662"/>
      <c r="K662"/>
      <c r="L662"/>
    </row>
    <row r="663" spans="8:12">
      <c r="H663"/>
      <c r="I663"/>
      <c r="J663"/>
      <c r="K663"/>
      <c r="L663"/>
    </row>
    <row r="664" spans="8:12">
      <c r="H664"/>
      <c r="I664"/>
      <c r="J664"/>
      <c r="K664"/>
      <c r="L664"/>
    </row>
    <row r="665" spans="8:12">
      <c r="H665"/>
      <c r="I665"/>
      <c r="J665"/>
      <c r="K665"/>
      <c r="L665"/>
    </row>
    <row r="666" spans="8:12">
      <c r="H666"/>
      <c r="I666"/>
      <c r="J666"/>
      <c r="K666"/>
      <c r="L666"/>
    </row>
    <row r="667" spans="8:12">
      <c r="H667"/>
      <c r="I667"/>
      <c r="J667"/>
      <c r="K667"/>
      <c r="L667"/>
    </row>
    <row r="668" spans="8:12">
      <c r="H668"/>
      <c r="I668"/>
      <c r="J668"/>
      <c r="K668"/>
      <c r="L668"/>
    </row>
    <row r="669" spans="8:12">
      <c r="H669"/>
      <c r="I669"/>
      <c r="J669"/>
      <c r="K669"/>
      <c r="L669"/>
    </row>
    <row r="670" spans="8:12">
      <c r="H670"/>
      <c r="I670"/>
      <c r="J670"/>
      <c r="K670"/>
      <c r="L670"/>
    </row>
    <row r="671" spans="8:12">
      <c r="H671"/>
      <c r="I671"/>
      <c r="J671"/>
      <c r="K671"/>
      <c r="L671"/>
    </row>
    <row r="672" spans="8:12">
      <c r="H672"/>
      <c r="I672"/>
      <c r="J672"/>
      <c r="K672"/>
      <c r="L672"/>
    </row>
    <row r="673" spans="8:12">
      <c r="H673"/>
      <c r="I673"/>
      <c r="J673"/>
      <c r="K673"/>
      <c r="L673"/>
    </row>
    <row r="674" spans="8:12">
      <c r="H674"/>
      <c r="I674"/>
      <c r="J674"/>
      <c r="K674"/>
      <c r="L674"/>
    </row>
    <row r="675" spans="8:12">
      <c r="H675"/>
      <c r="I675"/>
      <c r="J675"/>
      <c r="K675"/>
      <c r="L675"/>
    </row>
    <row r="676" spans="8:12">
      <c r="H676"/>
      <c r="I676"/>
      <c r="J676"/>
      <c r="K676"/>
      <c r="L676"/>
    </row>
    <row r="677" spans="8:12">
      <c r="H677"/>
      <c r="I677"/>
      <c r="J677"/>
      <c r="K677"/>
      <c r="L677"/>
    </row>
    <row r="678" spans="8:12">
      <c r="H678"/>
      <c r="I678"/>
      <c r="J678"/>
      <c r="K678"/>
      <c r="L678"/>
    </row>
    <row r="679" spans="8:12">
      <c r="H679"/>
      <c r="I679"/>
      <c r="J679"/>
      <c r="K679"/>
      <c r="L679"/>
    </row>
    <row r="680" spans="8:12">
      <c r="H680"/>
      <c r="I680"/>
      <c r="J680"/>
      <c r="K680"/>
      <c r="L680"/>
    </row>
    <row r="681" spans="8:12">
      <c r="H681"/>
      <c r="I681"/>
      <c r="J681"/>
      <c r="K681"/>
      <c r="L681"/>
    </row>
    <row r="682" spans="8:12">
      <c r="H682"/>
      <c r="I682"/>
      <c r="J682"/>
      <c r="K682"/>
      <c r="L682"/>
    </row>
    <row r="683" spans="8:12">
      <c r="H683"/>
      <c r="I683"/>
      <c r="J683"/>
      <c r="K683"/>
      <c r="L683"/>
    </row>
    <row r="684" spans="8:12">
      <c r="H684"/>
      <c r="I684"/>
      <c r="J684"/>
      <c r="K684"/>
      <c r="L684"/>
    </row>
    <row r="685" spans="8:12">
      <c r="H685"/>
      <c r="I685"/>
      <c r="J685"/>
      <c r="K685"/>
      <c r="L685"/>
    </row>
    <row r="686" spans="8:12">
      <c r="H686"/>
      <c r="I686"/>
      <c r="J686"/>
      <c r="K686"/>
      <c r="L686"/>
    </row>
    <row r="687" spans="8:12">
      <c r="H687"/>
      <c r="I687"/>
      <c r="J687"/>
      <c r="K687"/>
      <c r="L687"/>
    </row>
    <row r="688" spans="8:12">
      <c r="H688"/>
      <c r="I688"/>
      <c r="J688"/>
      <c r="K688"/>
      <c r="L688"/>
    </row>
    <row r="689" spans="8:12">
      <c r="H689"/>
      <c r="I689"/>
      <c r="J689"/>
      <c r="K689"/>
      <c r="L689"/>
    </row>
    <row r="690" spans="8:12">
      <c r="H690"/>
      <c r="I690"/>
      <c r="J690"/>
      <c r="K690"/>
      <c r="L690"/>
    </row>
    <row r="691" spans="8:12">
      <c r="H691"/>
      <c r="I691"/>
      <c r="J691"/>
      <c r="K691"/>
      <c r="L691"/>
    </row>
    <row r="692" spans="8:12">
      <c r="H692"/>
      <c r="I692"/>
      <c r="J692"/>
      <c r="K692"/>
      <c r="L692"/>
    </row>
    <row r="693" spans="8:12">
      <c r="H693"/>
      <c r="I693"/>
      <c r="J693"/>
      <c r="K693"/>
      <c r="L693"/>
    </row>
    <row r="694" spans="8:12">
      <c r="H694"/>
      <c r="I694"/>
      <c r="J694"/>
      <c r="K694"/>
      <c r="L694"/>
    </row>
    <row r="695" spans="8:12">
      <c r="H695"/>
      <c r="I695"/>
      <c r="J695"/>
      <c r="K695"/>
      <c r="L695"/>
    </row>
    <row r="696" spans="8:12">
      <c r="H696"/>
      <c r="I696"/>
      <c r="J696"/>
      <c r="K696"/>
      <c r="L696"/>
    </row>
    <row r="697" spans="8:12">
      <c r="H697"/>
      <c r="I697"/>
      <c r="J697"/>
      <c r="K697"/>
      <c r="L697"/>
    </row>
    <row r="698" spans="8:12">
      <c r="H698"/>
      <c r="I698"/>
      <c r="J698"/>
      <c r="K698"/>
      <c r="L698"/>
    </row>
    <row r="699" spans="8:12">
      <c r="H699"/>
      <c r="I699"/>
      <c r="J699"/>
      <c r="K699"/>
      <c r="L699"/>
    </row>
    <row r="700" spans="8:12">
      <c r="H700"/>
      <c r="I700"/>
      <c r="J700"/>
      <c r="K700"/>
      <c r="L700"/>
    </row>
    <row r="701" spans="8:12">
      <c r="H701"/>
      <c r="I701"/>
      <c r="J701"/>
      <c r="K701"/>
      <c r="L701"/>
    </row>
    <row r="702" spans="8:12">
      <c r="H702"/>
      <c r="I702"/>
      <c r="J702"/>
      <c r="K702"/>
      <c r="L702"/>
    </row>
    <row r="703" spans="8:12">
      <c r="H703"/>
      <c r="I703"/>
      <c r="J703"/>
      <c r="K703"/>
      <c r="L703"/>
    </row>
    <row r="704" spans="8:12">
      <c r="H704"/>
      <c r="I704"/>
      <c r="J704"/>
      <c r="K704"/>
      <c r="L704"/>
    </row>
    <row r="705" spans="8:12">
      <c r="H705"/>
      <c r="I705"/>
      <c r="J705"/>
      <c r="K705"/>
      <c r="L705"/>
    </row>
    <row r="706" spans="8:12">
      <c r="H706"/>
      <c r="I706"/>
      <c r="J706"/>
      <c r="K706"/>
      <c r="L706"/>
    </row>
    <row r="707" spans="8:12">
      <c r="H707"/>
      <c r="I707"/>
      <c r="J707"/>
      <c r="K707"/>
      <c r="L707"/>
    </row>
    <row r="708" spans="8:12">
      <c r="H708"/>
      <c r="I708"/>
      <c r="J708"/>
      <c r="K708"/>
      <c r="L708"/>
    </row>
    <row r="709" spans="8:12">
      <c r="H709"/>
      <c r="I709"/>
      <c r="J709"/>
      <c r="K709"/>
      <c r="L709"/>
    </row>
    <row r="710" spans="8:12">
      <c r="H710"/>
      <c r="I710"/>
      <c r="J710"/>
      <c r="K710"/>
      <c r="L710"/>
    </row>
    <row r="711" spans="8:12">
      <c r="H711"/>
      <c r="I711"/>
      <c r="J711"/>
      <c r="K711"/>
      <c r="L711"/>
    </row>
    <row r="712" spans="8:12">
      <c r="H712"/>
      <c r="I712"/>
      <c r="J712"/>
      <c r="K712"/>
      <c r="L712"/>
    </row>
    <row r="713" spans="8:12">
      <c r="H713"/>
      <c r="I713"/>
      <c r="J713"/>
      <c r="K713"/>
      <c r="L713"/>
    </row>
    <row r="714" spans="8:12">
      <c r="H714"/>
      <c r="I714"/>
      <c r="J714"/>
      <c r="K714"/>
      <c r="L714"/>
    </row>
    <row r="715" spans="8:12">
      <c r="H715"/>
      <c r="I715"/>
      <c r="J715"/>
      <c r="K715"/>
      <c r="L715"/>
    </row>
    <row r="716" spans="8:12">
      <c r="H716"/>
      <c r="I716"/>
      <c r="J716"/>
      <c r="K716"/>
      <c r="L716"/>
    </row>
    <row r="717" spans="8:12">
      <c r="H717"/>
      <c r="I717"/>
      <c r="J717"/>
      <c r="K717"/>
      <c r="L717"/>
    </row>
    <row r="718" spans="8:12">
      <c r="H718"/>
      <c r="I718"/>
      <c r="J718"/>
      <c r="K718"/>
      <c r="L718"/>
    </row>
    <row r="719" spans="8:12">
      <c r="H719"/>
      <c r="I719"/>
      <c r="J719"/>
      <c r="K719"/>
      <c r="L719"/>
    </row>
    <row r="720" spans="8:12">
      <c r="H720"/>
      <c r="I720"/>
      <c r="J720"/>
      <c r="K720"/>
      <c r="L720"/>
    </row>
    <row r="721" spans="8:12">
      <c r="H721"/>
      <c r="I721"/>
      <c r="J721"/>
      <c r="K721"/>
      <c r="L721"/>
    </row>
    <row r="722" spans="8:12">
      <c r="H722"/>
      <c r="I722"/>
      <c r="J722"/>
      <c r="K722"/>
      <c r="L722"/>
    </row>
    <row r="723" spans="8:12">
      <c r="H723"/>
      <c r="I723"/>
      <c r="J723"/>
      <c r="K723"/>
      <c r="L723"/>
    </row>
    <row r="724" spans="8:12">
      <c r="H724"/>
      <c r="I724"/>
      <c r="J724"/>
      <c r="K724"/>
      <c r="L724"/>
    </row>
    <row r="725" spans="8:12">
      <c r="H725"/>
      <c r="I725"/>
      <c r="J725"/>
      <c r="K725"/>
      <c r="L725"/>
    </row>
    <row r="726" spans="8:12">
      <c r="H726"/>
      <c r="I726"/>
      <c r="J726"/>
      <c r="K726"/>
      <c r="L726"/>
    </row>
    <row r="727" spans="8:12">
      <c r="H727"/>
      <c r="I727"/>
      <c r="J727"/>
      <c r="K727"/>
      <c r="L727"/>
    </row>
    <row r="728" spans="8:12">
      <c r="H728"/>
      <c r="I728"/>
      <c r="J728"/>
      <c r="K728"/>
      <c r="L728"/>
    </row>
    <row r="729" spans="8:12">
      <c r="H729"/>
      <c r="I729"/>
      <c r="J729"/>
      <c r="K729"/>
      <c r="L729"/>
    </row>
    <row r="730" spans="8:12">
      <c r="H730"/>
      <c r="I730"/>
      <c r="J730"/>
      <c r="K730"/>
      <c r="L730"/>
    </row>
    <row r="731" spans="8:12">
      <c r="H731"/>
      <c r="I731"/>
      <c r="J731"/>
      <c r="K731"/>
      <c r="L731"/>
    </row>
    <row r="732" spans="8:12">
      <c r="H732"/>
      <c r="I732"/>
      <c r="J732"/>
      <c r="K732"/>
      <c r="L732"/>
    </row>
    <row r="733" spans="8:12">
      <c r="H733"/>
      <c r="I733"/>
      <c r="J733"/>
      <c r="K733"/>
      <c r="L733"/>
    </row>
    <row r="734" spans="8:12">
      <c r="H734"/>
      <c r="I734"/>
      <c r="J734"/>
      <c r="K734"/>
      <c r="L734"/>
    </row>
    <row r="735" spans="8:12">
      <c r="H735"/>
      <c r="I735"/>
      <c r="J735"/>
      <c r="K735"/>
      <c r="L735"/>
    </row>
    <row r="736" spans="8:12">
      <c r="H736"/>
      <c r="I736"/>
      <c r="J736"/>
      <c r="K736"/>
      <c r="L736"/>
    </row>
    <row r="737" spans="8:12">
      <c r="H737"/>
      <c r="I737"/>
      <c r="J737"/>
      <c r="K737"/>
      <c r="L737"/>
    </row>
    <row r="738" spans="8:12">
      <c r="H738"/>
      <c r="I738"/>
      <c r="J738"/>
      <c r="K738"/>
      <c r="L738"/>
    </row>
    <row r="739" spans="8:12">
      <c r="H739"/>
      <c r="I739"/>
      <c r="J739"/>
      <c r="K739"/>
      <c r="L739"/>
    </row>
    <row r="740" spans="8:12">
      <c r="H740"/>
      <c r="I740"/>
      <c r="J740"/>
      <c r="K740"/>
      <c r="L740"/>
    </row>
    <row r="741" spans="8:12">
      <c r="H741"/>
      <c r="I741"/>
      <c r="J741"/>
      <c r="K741"/>
      <c r="L741"/>
    </row>
    <row r="742" spans="8:12">
      <c r="H742"/>
      <c r="I742"/>
      <c r="J742"/>
      <c r="K742"/>
      <c r="L742"/>
    </row>
    <row r="743" spans="8:12">
      <c r="H743"/>
      <c r="I743"/>
      <c r="J743"/>
      <c r="K743"/>
      <c r="L743"/>
    </row>
    <row r="744" spans="8:12">
      <c r="H744"/>
      <c r="I744"/>
      <c r="J744"/>
      <c r="K744"/>
      <c r="L744"/>
    </row>
    <row r="745" spans="8:12">
      <c r="H745"/>
      <c r="I745"/>
      <c r="J745"/>
      <c r="K745"/>
      <c r="L745"/>
    </row>
    <row r="746" spans="8:12">
      <c r="H746"/>
      <c r="I746"/>
      <c r="J746"/>
      <c r="K746"/>
      <c r="L746"/>
    </row>
    <row r="747" spans="8:12">
      <c r="H747"/>
      <c r="I747"/>
      <c r="J747"/>
      <c r="K747"/>
      <c r="L747"/>
    </row>
    <row r="748" spans="8:12">
      <c r="H748"/>
      <c r="I748"/>
      <c r="J748"/>
      <c r="K748"/>
      <c r="L748"/>
    </row>
    <row r="749" spans="8:12">
      <c r="H749"/>
      <c r="I749"/>
      <c r="J749"/>
      <c r="K749"/>
      <c r="L749"/>
    </row>
    <row r="750" spans="8:12">
      <c r="H750"/>
      <c r="I750"/>
      <c r="J750"/>
      <c r="K750"/>
      <c r="L750"/>
    </row>
    <row r="751" spans="8:12">
      <c r="H751"/>
      <c r="I751"/>
      <c r="J751"/>
      <c r="K751"/>
      <c r="L751"/>
    </row>
    <row r="752" spans="8:12">
      <c r="H752"/>
      <c r="I752"/>
      <c r="J752"/>
      <c r="K752"/>
      <c r="L752"/>
    </row>
    <row r="753" spans="8:12">
      <c r="H753"/>
      <c r="I753"/>
      <c r="J753"/>
      <c r="K753"/>
      <c r="L753"/>
    </row>
    <row r="754" spans="8:12">
      <c r="H754"/>
      <c r="I754"/>
      <c r="J754"/>
      <c r="K754"/>
      <c r="L754"/>
    </row>
    <row r="755" spans="8:12">
      <c r="H755"/>
      <c r="I755"/>
      <c r="J755"/>
      <c r="K755"/>
      <c r="L755"/>
    </row>
    <row r="756" spans="8:12">
      <c r="H756"/>
      <c r="I756"/>
      <c r="J756"/>
      <c r="K756"/>
      <c r="L756"/>
    </row>
    <row r="757" spans="8:12">
      <c r="H757"/>
      <c r="I757"/>
      <c r="J757"/>
      <c r="K757"/>
      <c r="L757"/>
    </row>
    <row r="758" spans="8:12">
      <c r="H758"/>
      <c r="I758"/>
      <c r="J758"/>
      <c r="K758"/>
      <c r="L758"/>
    </row>
    <row r="759" spans="8:12">
      <c r="H759"/>
      <c r="I759"/>
      <c r="J759"/>
      <c r="K759"/>
      <c r="L759"/>
    </row>
    <row r="760" spans="8:12">
      <c r="H760"/>
      <c r="I760"/>
      <c r="J760"/>
      <c r="K760"/>
      <c r="L760"/>
    </row>
    <row r="761" spans="8:12">
      <c r="H761"/>
      <c r="I761"/>
      <c r="J761"/>
      <c r="K761"/>
      <c r="L761"/>
    </row>
    <row r="762" spans="8:12">
      <c r="H762"/>
      <c r="I762"/>
      <c r="J762"/>
      <c r="K762"/>
      <c r="L762"/>
    </row>
    <row r="763" spans="8:12">
      <c r="H763"/>
      <c r="I763"/>
      <c r="J763"/>
      <c r="K763"/>
      <c r="L763"/>
    </row>
    <row r="764" spans="8:12">
      <c r="H764"/>
      <c r="I764"/>
      <c r="J764"/>
      <c r="K764"/>
      <c r="L764"/>
    </row>
    <row r="765" spans="8:12">
      <c r="H765"/>
      <c r="I765"/>
      <c r="J765"/>
      <c r="K765"/>
      <c r="L765"/>
    </row>
    <row r="766" spans="8:12">
      <c r="H766"/>
      <c r="I766"/>
      <c r="J766"/>
      <c r="K766"/>
      <c r="L766"/>
    </row>
    <row r="767" spans="8:12">
      <c r="H767"/>
      <c r="I767"/>
      <c r="J767"/>
      <c r="K767"/>
      <c r="L767"/>
    </row>
    <row r="768" spans="8:12">
      <c r="H768"/>
      <c r="I768"/>
      <c r="J768"/>
      <c r="K768"/>
      <c r="L768"/>
    </row>
    <row r="769" spans="8:12">
      <c r="H769"/>
      <c r="I769"/>
      <c r="J769"/>
      <c r="K769"/>
      <c r="L769"/>
    </row>
    <row r="770" spans="8:12">
      <c r="H770"/>
      <c r="I770"/>
      <c r="J770"/>
      <c r="K770"/>
      <c r="L770"/>
    </row>
    <row r="771" spans="8:12">
      <c r="H771"/>
      <c r="I771"/>
      <c r="J771"/>
      <c r="K771"/>
      <c r="L771"/>
    </row>
    <row r="772" spans="8:12">
      <c r="H772"/>
      <c r="I772"/>
      <c r="J772"/>
      <c r="K772"/>
      <c r="L772"/>
    </row>
    <row r="773" spans="8:12">
      <c r="H773"/>
      <c r="I773"/>
      <c r="J773"/>
      <c r="K773"/>
      <c r="L773"/>
    </row>
    <row r="774" spans="8:12">
      <c r="H774"/>
      <c r="I774"/>
      <c r="J774"/>
      <c r="K774"/>
      <c r="L774"/>
    </row>
    <row r="775" spans="8:12">
      <c r="H775"/>
      <c r="I775"/>
      <c r="J775"/>
      <c r="K775"/>
      <c r="L775"/>
    </row>
    <row r="776" spans="8:12">
      <c r="H776"/>
      <c r="I776"/>
      <c r="J776"/>
      <c r="K776"/>
      <c r="L776"/>
    </row>
    <row r="777" spans="8:12">
      <c r="H777"/>
      <c r="I777"/>
      <c r="J777"/>
      <c r="K777"/>
      <c r="L777"/>
    </row>
    <row r="778" spans="8:12">
      <c r="H778"/>
      <c r="I778"/>
      <c r="J778"/>
      <c r="K778"/>
      <c r="L778"/>
    </row>
    <row r="779" spans="8:12">
      <c r="H779"/>
      <c r="I779"/>
      <c r="J779"/>
      <c r="K779"/>
      <c r="L779"/>
    </row>
    <row r="780" spans="8:12">
      <c r="H780"/>
      <c r="I780"/>
      <c r="J780"/>
      <c r="K780"/>
      <c r="L780"/>
    </row>
    <row r="781" spans="8:12">
      <c r="H781"/>
      <c r="I781"/>
      <c r="J781"/>
      <c r="K781"/>
      <c r="L781"/>
    </row>
    <row r="782" spans="8:12">
      <c r="H782"/>
      <c r="I782"/>
      <c r="J782"/>
      <c r="K782"/>
      <c r="L782"/>
    </row>
    <row r="783" spans="8:12">
      <c r="H783"/>
      <c r="I783"/>
      <c r="J783"/>
      <c r="K783"/>
      <c r="L783"/>
    </row>
    <row r="784" spans="8:12">
      <c r="H784"/>
      <c r="I784"/>
      <c r="J784"/>
      <c r="K784"/>
      <c r="L784"/>
    </row>
    <row r="785" spans="8:12">
      <c r="H785"/>
      <c r="I785"/>
      <c r="J785"/>
      <c r="K785"/>
      <c r="L785"/>
    </row>
    <row r="786" spans="8:12">
      <c r="H786"/>
      <c r="I786"/>
      <c r="J786"/>
      <c r="K786"/>
      <c r="L786"/>
    </row>
    <row r="787" spans="8:12">
      <c r="H787"/>
      <c r="I787"/>
      <c r="J787"/>
      <c r="K787"/>
      <c r="L787"/>
    </row>
    <row r="788" spans="8:12">
      <c r="H788"/>
      <c r="I788"/>
      <c r="J788"/>
      <c r="K788"/>
      <c r="L788"/>
    </row>
    <row r="789" spans="8:12">
      <c r="H789"/>
      <c r="I789"/>
      <c r="J789"/>
      <c r="K789"/>
      <c r="L789"/>
    </row>
    <row r="790" spans="8:12">
      <c r="H790"/>
      <c r="I790"/>
      <c r="J790"/>
      <c r="K790"/>
      <c r="L790"/>
    </row>
    <row r="791" spans="8:12">
      <c r="H791"/>
      <c r="I791"/>
      <c r="J791"/>
      <c r="K791"/>
      <c r="L791"/>
    </row>
    <row r="792" spans="8:12">
      <c r="H792"/>
      <c r="I792"/>
      <c r="J792"/>
      <c r="K792"/>
      <c r="L792"/>
    </row>
    <row r="793" spans="8:12">
      <c r="H793"/>
      <c r="I793"/>
      <c r="J793"/>
      <c r="K793"/>
      <c r="L793"/>
    </row>
    <row r="794" spans="8:12">
      <c r="H794"/>
      <c r="I794"/>
      <c r="J794"/>
      <c r="K794"/>
      <c r="L794"/>
    </row>
    <row r="795" spans="8:12">
      <c r="H795"/>
      <c r="I795"/>
      <c r="J795"/>
      <c r="K795"/>
      <c r="L795"/>
    </row>
    <row r="796" spans="8:12">
      <c r="H796"/>
      <c r="I796"/>
      <c r="J796"/>
      <c r="K796"/>
      <c r="L796"/>
    </row>
    <row r="797" spans="8:12">
      <c r="H797"/>
      <c r="I797"/>
      <c r="J797"/>
      <c r="K797"/>
      <c r="L797"/>
    </row>
    <row r="798" spans="8:12">
      <c r="H798"/>
      <c r="I798"/>
      <c r="J798"/>
      <c r="K798"/>
      <c r="L798"/>
    </row>
    <row r="799" spans="8:12">
      <c r="H799"/>
      <c r="I799"/>
      <c r="J799"/>
      <c r="K799"/>
      <c r="L799"/>
    </row>
    <row r="800" spans="8:12">
      <c r="H800"/>
      <c r="I800"/>
      <c r="J800"/>
      <c r="K800"/>
      <c r="L800"/>
    </row>
    <row r="801" spans="8:12">
      <c r="H801"/>
      <c r="I801"/>
      <c r="J801"/>
      <c r="K801"/>
      <c r="L801"/>
    </row>
    <row r="802" spans="8:12">
      <c r="H802"/>
      <c r="I802"/>
      <c r="J802"/>
      <c r="K802"/>
      <c r="L802"/>
    </row>
    <row r="803" spans="8:12">
      <c r="H803"/>
      <c r="I803"/>
      <c r="J803"/>
      <c r="K803"/>
      <c r="L803"/>
    </row>
    <row r="804" spans="8:12">
      <c r="H804"/>
      <c r="I804"/>
      <c r="J804"/>
      <c r="K804"/>
      <c r="L804"/>
    </row>
    <row r="805" spans="8:12">
      <c r="H805"/>
      <c r="I805"/>
      <c r="J805"/>
      <c r="K805"/>
      <c r="L805"/>
    </row>
    <row r="806" spans="8:12">
      <c r="H806"/>
      <c r="I806"/>
      <c r="J806"/>
      <c r="K806"/>
      <c r="L806"/>
    </row>
    <row r="807" spans="8:12">
      <c r="H807"/>
      <c r="I807"/>
      <c r="J807"/>
      <c r="K807"/>
      <c r="L807"/>
    </row>
    <row r="808" spans="8:12">
      <c r="H808"/>
      <c r="I808"/>
      <c r="J808"/>
      <c r="K808"/>
      <c r="L808"/>
    </row>
    <row r="809" spans="8:12">
      <c r="H809"/>
      <c r="I809"/>
      <c r="J809"/>
      <c r="K809"/>
      <c r="L809"/>
    </row>
    <row r="810" spans="8:12">
      <c r="H810"/>
      <c r="I810"/>
      <c r="J810"/>
      <c r="K810"/>
      <c r="L810"/>
    </row>
    <row r="811" spans="8:12">
      <c r="H811"/>
      <c r="I811"/>
      <c r="J811"/>
      <c r="K811"/>
      <c r="L811"/>
    </row>
    <row r="812" spans="8:12">
      <c r="H812"/>
      <c r="I812"/>
      <c r="J812"/>
      <c r="K812"/>
      <c r="L812"/>
    </row>
    <row r="813" spans="8:12">
      <c r="H813"/>
      <c r="I813"/>
      <c r="J813"/>
      <c r="K813"/>
      <c r="L813"/>
    </row>
    <row r="814" spans="8:12">
      <c r="H814"/>
      <c r="I814"/>
      <c r="J814"/>
      <c r="K814"/>
      <c r="L814"/>
    </row>
    <row r="815" spans="8:12">
      <c r="H815"/>
      <c r="I815"/>
      <c r="J815"/>
      <c r="K815"/>
      <c r="L815"/>
    </row>
    <row r="816" spans="8:12">
      <c r="H816"/>
      <c r="I816"/>
      <c r="J816"/>
      <c r="K816"/>
      <c r="L816"/>
    </row>
    <row r="817" spans="8:12">
      <c r="H817"/>
      <c r="I817"/>
      <c r="J817"/>
      <c r="K817"/>
      <c r="L817"/>
    </row>
    <row r="818" spans="8:12">
      <c r="H818"/>
      <c r="I818"/>
      <c r="J818"/>
      <c r="K818"/>
      <c r="L818"/>
    </row>
    <row r="819" spans="8:12">
      <c r="H819"/>
      <c r="I819"/>
      <c r="J819"/>
      <c r="K819"/>
      <c r="L819"/>
    </row>
    <row r="820" spans="8:12">
      <c r="H820"/>
      <c r="I820"/>
      <c r="J820"/>
      <c r="K820"/>
      <c r="L820"/>
    </row>
    <row r="821" spans="8:12">
      <c r="H821"/>
      <c r="I821"/>
      <c r="J821"/>
      <c r="K821"/>
      <c r="L821"/>
    </row>
    <row r="822" spans="8:12">
      <c r="H822"/>
      <c r="I822"/>
      <c r="J822"/>
      <c r="K822"/>
      <c r="L822"/>
    </row>
    <row r="823" spans="8:12">
      <c r="H823"/>
      <c r="I823"/>
      <c r="J823"/>
      <c r="K823"/>
      <c r="L823"/>
    </row>
    <row r="824" spans="8:12">
      <c r="H824"/>
      <c r="I824"/>
      <c r="J824"/>
      <c r="K824"/>
      <c r="L824"/>
    </row>
    <row r="825" spans="8:12">
      <c r="H825"/>
      <c r="I825"/>
      <c r="J825"/>
      <c r="K825"/>
      <c r="L825"/>
    </row>
    <row r="826" spans="8:12">
      <c r="H826"/>
      <c r="I826"/>
      <c r="J826"/>
      <c r="K826"/>
      <c r="L826"/>
    </row>
    <row r="827" spans="8:12">
      <c r="H827"/>
      <c r="I827"/>
      <c r="J827"/>
      <c r="K827"/>
      <c r="L827"/>
    </row>
    <row r="828" spans="8:12">
      <c r="H828"/>
      <c r="I828"/>
      <c r="J828"/>
      <c r="K828"/>
      <c r="L828"/>
    </row>
    <row r="829" spans="8:12">
      <c r="H829"/>
      <c r="I829"/>
      <c r="J829"/>
      <c r="K829"/>
      <c r="L829"/>
    </row>
    <row r="830" spans="8:12">
      <c r="H830"/>
      <c r="I830"/>
      <c r="J830"/>
      <c r="K830"/>
      <c r="L830"/>
    </row>
    <row r="831" spans="8:12">
      <c r="H831"/>
      <c r="I831"/>
      <c r="J831"/>
      <c r="K831"/>
      <c r="L831"/>
    </row>
    <row r="832" spans="8:12">
      <c r="H832"/>
      <c r="I832"/>
      <c r="J832"/>
      <c r="K832"/>
      <c r="L832"/>
    </row>
    <row r="833" spans="8:12">
      <c r="H833"/>
      <c r="I833"/>
      <c r="J833"/>
      <c r="K833"/>
      <c r="L833"/>
    </row>
    <row r="834" spans="8:12">
      <c r="H834"/>
      <c r="I834"/>
      <c r="J834"/>
      <c r="K834"/>
      <c r="L834"/>
    </row>
    <row r="835" spans="8:12">
      <c r="H835"/>
      <c r="I835"/>
      <c r="J835"/>
      <c r="K835"/>
      <c r="L835"/>
    </row>
    <row r="836" spans="8:12">
      <c r="H836"/>
      <c r="I836"/>
      <c r="J836"/>
      <c r="K836"/>
      <c r="L836"/>
    </row>
    <row r="837" spans="8:12">
      <c r="H837"/>
      <c r="I837"/>
      <c r="J837"/>
      <c r="K837"/>
      <c r="L837"/>
    </row>
    <row r="838" spans="8:12">
      <c r="H838"/>
      <c r="I838"/>
      <c r="J838"/>
      <c r="K838"/>
      <c r="L838"/>
    </row>
    <row r="839" spans="8:12">
      <c r="H839"/>
      <c r="I839"/>
      <c r="J839"/>
      <c r="K839"/>
      <c r="L839"/>
    </row>
    <row r="840" spans="8:12">
      <c r="H840"/>
      <c r="I840"/>
      <c r="J840"/>
      <c r="K840"/>
      <c r="L840"/>
    </row>
    <row r="841" spans="8:12">
      <c r="H841"/>
      <c r="I841"/>
      <c r="J841"/>
      <c r="K841"/>
      <c r="L841"/>
    </row>
    <row r="842" spans="8:12">
      <c r="H842"/>
      <c r="I842"/>
      <c r="J842"/>
      <c r="K842"/>
      <c r="L842"/>
    </row>
    <row r="843" spans="8:12">
      <c r="H843"/>
      <c r="I843"/>
      <c r="J843"/>
      <c r="K843"/>
      <c r="L843"/>
    </row>
    <row r="844" spans="8:12">
      <c r="H844"/>
      <c r="I844"/>
      <c r="J844"/>
      <c r="K844"/>
      <c r="L844"/>
    </row>
    <row r="845" spans="8:12">
      <c r="H845"/>
      <c r="I845"/>
      <c r="J845"/>
      <c r="K845"/>
      <c r="L845"/>
    </row>
    <row r="846" spans="8:12">
      <c r="H846"/>
      <c r="I846"/>
      <c r="J846"/>
      <c r="K846"/>
      <c r="L846"/>
    </row>
    <row r="847" spans="8:12">
      <c r="H847"/>
      <c r="I847"/>
      <c r="J847"/>
      <c r="K847"/>
      <c r="L847"/>
    </row>
    <row r="848" spans="8:12">
      <c r="H848"/>
      <c r="I848"/>
      <c r="J848"/>
      <c r="K848"/>
      <c r="L848"/>
    </row>
    <row r="849" spans="8:12">
      <c r="H849"/>
      <c r="I849"/>
      <c r="J849"/>
      <c r="K849"/>
      <c r="L849"/>
    </row>
    <row r="850" spans="8:12">
      <c r="H850"/>
      <c r="I850"/>
      <c r="J850"/>
      <c r="K850"/>
      <c r="L850"/>
    </row>
    <row r="851" spans="8:12">
      <c r="H851"/>
      <c r="I851"/>
      <c r="J851"/>
      <c r="K851"/>
      <c r="L851"/>
    </row>
    <row r="852" spans="8:12">
      <c r="H852"/>
      <c r="I852"/>
      <c r="J852"/>
      <c r="K852"/>
      <c r="L852"/>
    </row>
    <row r="853" spans="8:12">
      <c r="H853"/>
      <c r="I853"/>
      <c r="J853"/>
      <c r="K853"/>
      <c r="L853"/>
    </row>
    <row r="854" spans="8:12">
      <c r="H854"/>
      <c r="I854"/>
      <c r="J854"/>
      <c r="K854"/>
      <c r="L854"/>
    </row>
    <row r="855" spans="8:12">
      <c r="H855"/>
      <c r="I855"/>
      <c r="J855"/>
      <c r="K855"/>
      <c r="L855"/>
    </row>
    <row r="856" spans="8:12">
      <c r="H856"/>
      <c r="I856"/>
      <c r="J856"/>
      <c r="K856"/>
      <c r="L856"/>
    </row>
    <row r="857" spans="8:12">
      <c r="H857"/>
      <c r="I857"/>
      <c r="J857"/>
      <c r="K857"/>
      <c r="L857"/>
    </row>
    <row r="858" spans="8:12">
      <c r="H858"/>
      <c r="I858"/>
      <c r="J858"/>
      <c r="K858"/>
      <c r="L858"/>
    </row>
    <row r="859" spans="8:12">
      <c r="H859"/>
      <c r="I859"/>
      <c r="J859"/>
      <c r="K859"/>
      <c r="L859"/>
    </row>
    <row r="860" spans="8:12">
      <c r="H860"/>
      <c r="I860"/>
      <c r="J860"/>
      <c r="K860"/>
      <c r="L860"/>
    </row>
    <row r="861" spans="8:12">
      <c r="H861"/>
      <c r="I861"/>
      <c r="J861"/>
      <c r="K861"/>
      <c r="L861"/>
    </row>
    <row r="862" spans="8:12">
      <c r="H862"/>
      <c r="I862"/>
      <c r="J862"/>
      <c r="K862"/>
      <c r="L862"/>
    </row>
    <row r="863" spans="8:12">
      <c r="H863"/>
      <c r="I863"/>
      <c r="J863"/>
      <c r="K863"/>
      <c r="L863"/>
    </row>
    <row r="864" spans="8:12">
      <c r="H864"/>
      <c r="I864"/>
      <c r="J864"/>
      <c r="K864"/>
      <c r="L864"/>
    </row>
    <row r="865" spans="8:12">
      <c r="H865"/>
      <c r="I865"/>
      <c r="J865"/>
      <c r="K865"/>
      <c r="L865"/>
    </row>
    <row r="866" spans="8:12">
      <c r="H866"/>
      <c r="I866"/>
      <c r="J866"/>
      <c r="K866"/>
      <c r="L866"/>
    </row>
    <row r="867" spans="8:12">
      <c r="H867"/>
      <c r="I867"/>
      <c r="J867"/>
      <c r="K867"/>
      <c r="L867"/>
    </row>
    <row r="868" spans="8:12">
      <c r="H868"/>
      <c r="I868"/>
      <c r="J868"/>
      <c r="K868"/>
      <c r="L868"/>
    </row>
    <row r="869" spans="8:12">
      <c r="H869"/>
      <c r="I869"/>
      <c r="J869"/>
      <c r="K869"/>
      <c r="L869"/>
    </row>
    <row r="870" spans="8:12">
      <c r="H870"/>
      <c r="I870"/>
      <c r="J870"/>
      <c r="K870"/>
      <c r="L870"/>
    </row>
    <row r="871" spans="8:12">
      <c r="H871"/>
      <c r="I871"/>
      <c r="J871"/>
      <c r="K871"/>
      <c r="L871"/>
    </row>
    <row r="872" spans="8:12">
      <c r="H872"/>
      <c r="I872"/>
      <c r="J872"/>
      <c r="K872"/>
      <c r="L872"/>
    </row>
    <row r="873" spans="8:12">
      <c r="H873"/>
      <c r="I873"/>
      <c r="J873"/>
      <c r="K873"/>
      <c r="L873"/>
    </row>
    <row r="874" spans="8:12">
      <c r="H874"/>
      <c r="I874"/>
      <c r="J874"/>
      <c r="K874"/>
      <c r="L874"/>
    </row>
    <row r="875" spans="8:12">
      <c r="H875"/>
      <c r="I875"/>
      <c r="J875"/>
      <c r="K875"/>
      <c r="L875"/>
    </row>
    <row r="876" spans="8:12">
      <c r="H876"/>
      <c r="I876"/>
      <c r="J876"/>
      <c r="K876"/>
      <c r="L876"/>
    </row>
    <row r="877" spans="8:12">
      <c r="H877"/>
      <c r="I877"/>
      <c r="J877"/>
      <c r="K877"/>
      <c r="L877"/>
    </row>
    <row r="878" spans="8:12">
      <c r="H878"/>
      <c r="I878"/>
      <c r="J878"/>
      <c r="K878"/>
      <c r="L878"/>
    </row>
    <row r="879" spans="8:12">
      <c r="H879"/>
      <c r="I879"/>
      <c r="J879"/>
      <c r="K879"/>
      <c r="L879"/>
    </row>
    <row r="880" spans="8:12">
      <c r="H880"/>
      <c r="I880"/>
      <c r="J880"/>
      <c r="K880"/>
      <c r="L880"/>
    </row>
    <row r="881" spans="8:12">
      <c r="H881"/>
      <c r="I881"/>
      <c r="J881"/>
      <c r="K881"/>
      <c r="L881"/>
    </row>
    <row r="882" spans="8:12">
      <c r="H882"/>
      <c r="I882"/>
      <c r="J882"/>
      <c r="K882"/>
      <c r="L882"/>
    </row>
    <row r="883" spans="8:12">
      <c r="H883"/>
      <c r="I883"/>
      <c r="J883"/>
      <c r="K883"/>
      <c r="L883"/>
    </row>
    <row r="884" spans="8:12">
      <c r="H884"/>
      <c r="I884"/>
      <c r="J884"/>
      <c r="K884"/>
      <c r="L884"/>
    </row>
    <row r="885" spans="8:12">
      <c r="H885"/>
      <c r="I885"/>
      <c r="J885"/>
      <c r="K885"/>
      <c r="L885"/>
    </row>
    <row r="886" spans="8:12">
      <c r="H886"/>
      <c r="I886"/>
      <c r="J886"/>
      <c r="K886"/>
      <c r="L886"/>
    </row>
    <row r="887" spans="8:12">
      <c r="H887"/>
      <c r="I887"/>
      <c r="J887"/>
      <c r="K887"/>
      <c r="L887"/>
    </row>
    <row r="888" spans="8:12">
      <c r="H888"/>
      <c r="I888"/>
      <c r="J888"/>
      <c r="K888"/>
      <c r="L888"/>
    </row>
    <row r="889" spans="8:12">
      <c r="H889"/>
      <c r="I889"/>
      <c r="J889"/>
      <c r="K889"/>
      <c r="L889"/>
    </row>
    <row r="890" spans="8:12">
      <c r="H890"/>
      <c r="I890"/>
      <c r="J890"/>
      <c r="K890"/>
      <c r="L890"/>
    </row>
    <row r="891" spans="8:12">
      <c r="H891"/>
      <c r="I891"/>
      <c r="J891"/>
      <c r="K891"/>
      <c r="L891"/>
    </row>
    <row r="892" spans="8:12">
      <c r="H892"/>
      <c r="I892"/>
      <c r="J892"/>
      <c r="K892"/>
      <c r="L892"/>
    </row>
    <row r="893" spans="8:12">
      <c r="H893"/>
      <c r="I893"/>
      <c r="J893"/>
      <c r="K893"/>
      <c r="L893"/>
    </row>
    <row r="894" spans="8:12">
      <c r="H894"/>
      <c r="I894"/>
      <c r="J894"/>
      <c r="K894"/>
      <c r="L894"/>
    </row>
    <row r="895" spans="8:12">
      <c r="H895"/>
      <c r="I895"/>
      <c r="J895"/>
      <c r="K895"/>
      <c r="L895"/>
    </row>
    <row r="896" spans="8:12">
      <c r="H896"/>
      <c r="I896"/>
      <c r="J896"/>
      <c r="K896"/>
      <c r="L896"/>
    </row>
    <row r="897" spans="8:12">
      <c r="H897"/>
      <c r="I897"/>
      <c r="J897"/>
      <c r="K897"/>
      <c r="L897"/>
    </row>
    <row r="898" spans="8:12">
      <c r="H898"/>
      <c r="I898"/>
      <c r="J898"/>
      <c r="K898"/>
      <c r="L898"/>
    </row>
    <row r="899" spans="8:12">
      <c r="H899"/>
      <c r="I899"/>
      <c r="J899"/>
      <c r="K899"/>
      <c r="L899"/>
    </row>
    <row r="900" spans="8:12">
      <c r="H900"/>
      <c r="I900"/>
      <c r="J900"/>
      <c r="K900"/>
      <c r="L900"/>
    </row>
    <row r="901" spans="8:12">
      <c r="H901"/>
      <c r="I901"/>
      <c r="J901"/>
      <c r="K901"/>
      <c r="L901"/>
    </row>
    <row r="902" spans="8:12">
      <c r="H902"/>
      <c r="I902"/>
      <c r="J902"/>
      <c r="K902"/>
      <c r="L902"/>
    </row>
    <row r="903" spans="8:12">
      <c r="H903"/>
      <c r="I903"/>
      <c r="J903"/>
      <c r="K903"/>
      <c r="L903"/>
    </row>
    <row r="904" spans="8:12">
      <c r="H904"/>
      <c r="I904"/>
      <c r="J904"/>
      <c r="K904"/>
      <c r="L904"/>
    </row>
    <row r="905" spans="8:12">
      <c r="H905"/>
      <c r="I905"/>
      <c r="J905"/>
      <c r="K905"/>
      <c r="L905"/>
    </row>
    <row r="906" spans="8:12">
      <c r="H906"/>
      <c r="I906"/>
      <c r="J906"/>
      <c r="K906"/>
      <c r="L906"/>
    </row>
    <row r="907" spans="8:12">
      <c r="H907"/>
      <c r="I907"/>
      <c r="J907"/>
      <c r="K907"/>
      <c r="L907"/>
    </row>
    <row r="908" spans="8:12">
      <c r="H908"/>
      <c r="I908"/>
      <c r="J908"/>
      <c r="K908"/>
      <c r="L908"/>
    </row>
    <row r="909" spans="8:12">
      <c r="H909"/>
      <c r="I909"/>
      <c r="J909"/>
      <c r="K909"/>
      <c r="L909"/>
    </row>
    <row r="910" spans="8:12">
      <c r="H910"/>
      <c r="I910"/>
      <c r="J910"/>
      <c r="K910"/>
      <c r="L910"/>
    </row>
    <row r="911" spans="8:12">
      <c r="H911"/>
      <c r="I911"/>
      <c r="J911"/>
      <c r="K911"/>
      <c r="L911"/>
    </row>
    <row r="912" spans="8:12">
      <c r="H912"/>
      <c r="I912"/>
      <c r="J912"/>
      <c r="K912"/>
      <c r="L912"/>
    </row>
    <row r="913" spans="8:12">
      <c r="H913"/>
      <c r="I913"/>
      <c r="J913"/>
      <c r="K913"/>
      <c r="L913"/>
    </row>
    <row r="914" spans="8:12">
      <c r="H914"/>
      <c r="I914"/>
      <c r="J914"/>
      <c r="K914"/>
      <c r="L914"/>
    </row>
    <row r="915" spans="8:12">
      <c r="H915"/>
      <c r="I915"/>
      <c r="J915"/>
      <c r="K915"/>
      <c r="L915"/>
    </row>
    <row r="916" spans="8:12">
      <c r="H916"/>
      <c r="I916"/>
      <c r="J916"/>
      <c r="K916"/>
      <c r="L916"/>
    </row>
    <row r="917" spans="8:12">
      <c r="H917"/>
      <c r="I917"/>
      <c r="J917"/>
      <c r="K917"/>
      <c r="L917"/>
    </row>
    <row r="918" spans="8:12">
      <c r="H918"/>
      <c r="I918"/>
      <c r="J918"/>
      <c r="K918"/>
      <c r="L918"/>
    </row>
    <row r="919" spans="8:12">
      <c r="H919"/>
      <c r="I919"/>
      <c r="J919"/>
      <c r="K919"/>
      <c r="L919"/>
    </row>
    <row r="920" spans="8:12">
      <c r="H920"/>
      <c r="I920"/>
      <c r="J920"/>
      <c r="K920"/>
      <c r="L920"/>
    </row>
    <row r="921" spans="8:12">
      <c r="H921"/>
      <c r="I921"/>
      <c r="J921"/>
      <c r="K921"/>
      <c r="L921"/>
    </row>
    <row r="922" spans="8:12">
      <c r="H922"/>
      <c r="I922"/>
      <c r="J922"/>
      <c r="K922"/>
      <c r="L922"/>
    </row>
    <row r="923" spans="8:12">
      <c r="H923"/>
      <c r="I923"/>
      <c r="J923"/>
      <c r="K923"/>
      <c r="L923"/>
    </row>
    <row r="924" spans="8:12">
      <c r="H924"/>
      <c r="I924"/>
      <c r="J924"/>
      <c r="K924"/>
      <c r="L924"/>
    </row>
    <row r="925" spans="8:12">
      <c r="H925"/>
      <c r="I925"/>
      <c r="J925"/>
      <c r="K925"/>
      <c r="L925"/>
    </row>
    <row r="926" spans="8:12">
      <c r="H926"/>
      <c r="I926"/>
      <c r="J926"/>
      <c r="K926"/>
      <c r="L926"/>
    </row>
    <row r="927" spans="8:12">
      <c r="H927"/>
      <c r="I927"/>
      <c r="J927"/>
      <c r="K927"/>
      <c r="L927"/>
    </row>
    <row r="928" spans="8:12">
      <c r="H928"/>
      <c r="I928"/>
      <c r="J928"/>
      <c r="K928"/>
      <c r="L928"/>
    </row>
    <row r="929" spans="8:12">
      <c r="H929"/>
      <c r="I929"/>
      <c r="J929"/>
      <c r="K929"/>
      <c r="L929"/>
    </row>
    <row r="930" spans="8:12">
      <c r="H930"/>
      <c r="I930"/>
      <c r="J930"/>
      <c r="K930"/>
      <c r="L930"/>
    </row>
    <row r="931" spans="8:12">
      <c r="H931"/>
      <c r="I931"/>
      <c r="J931"/>
      <c r="K931"/>
      <c r="L931"/>
    </row>
    <row r="932" spans="8:12">
      <c r="H932"/>
      <c r="I932"/>
      <c r="J932"/>
      <c r="K932"/>
      <c r="L932"/>
    </row>
    <row r="933" spans="8:12">
      <c r="H933"/>
      <c r="I933"/>
      <c r="J933"/>
      <c r="K933"/>
      <c r="L933"/>
    </row>
    <row r="934" spans="8:12">
      <c r="H934"/>
      <c r="I934"/>
      <c r="J934"/>
      <c r="K934"/>
      <c r="L934"/>
    </row>
    <row r="935" spans="8:12">
      <c r="H935"/>
      <c r="I935"/>
      <c r="J935"/>
      <c r="K935"/>
      <c r="L935"/>
    </row>
    <row r="936" spans="8:12">
      <c r="H936"/>
      <c r="I936"/>
      <c r="J936"/>
      <c r="K936"/>
      <c r="L936"/>
    </row>
    <row r="937" spans="8:12">
      <c r="H937"/>
      <c r="I937"/>
      <c r="J937"/>
      <c r="K937"/>
      <c r="L937"/>
    </row>
    <row r="938" spans="8:12">
      <c r="H938"/>
      <c r="I938"/>
      <c r="J938"/>
      <c r="K938"/>
      <c r="L938"/>
    </row>
    <row r="939" spans="8:12">
      <c r="H939"/>
      <c r="I939"/>
      <c r="J939"/>
      <c r="K939"/>
      <c r="L939"/>
    </row>
    <row r="940" spans="8:12">
      <c r="H940"/>
      <c r="I940"/>
      <c r="J940"/>
      <c r="K940"/>
      <c r="L940"/>
    </row>
    <row r="941" spans="8:12">
      <c r="H941"/>
      <c r="I941"/>
      <c r="J941"/>
      <c r="K941"/>
      <c r="L941"/>
    </row>
    <row r="942" spans="8:12">
      <c r="H942"/>
      <c r="I942"/>
      <c r="J942"/>
      <c r="K942"/>
      <c r="L942"/>
    </row>
    <row r="943" spans="8:12">
      <c r="H943"/>
      <c r="I943"/>
      <c r="J943"/>
      <c r="K943"/>
      <c r="L943"/>
    </row>
    <row r="944" spans="8:12">
      <c r="H944"/>
      <c r="I944"/>
      <c r="J944"/>
      <c r="K944"/>
      <c r="L944"/>
    </row>
    <row r="945" spans="8:12">
      <c r="H945"/>
      <c r="I945"/>
      <c r="J945"/>
      <c r="K945"/>
      <c r="L945"/>
    </row>
    <row r="946" spans="8:12">
      <c r="H946"/>
      <c r="I946"/>
      <c r="J946"/>
      <c r="K946"/>
      <c r="L946"/>
    </row>
    <row r="947" spans="8:12">
      <c r="H947"/>
      <c r="I947"/>
      <c r="J947"/>
      <c r="K947"/>
      <c r="L947"/>
    </row>
    <row r="948" spans="8:12">
      <c r="H948"/>
      <c r="I948"/>
      <c r="J948"/>
      <c r="K948"/>
      <c r="L948"/>
    </row>
    <row r="949" spans="8:12">
      <c r="H949"/>
      <c r="I949"/>
      <c r="J949"/>
      <c r="K949"/>
      <c r="L949"/>
    </row>
    <row r="950" spans="8:12">
      <c r="H950"/>
      <c r="I950"/>
      <c r="J950"/>
      <c r="K950"/>
      <c r="L950"/>
    </row>
    <row r="951" spans="8:12">
      <c r="H951"/>
      <c r="I951"/>
      <c r="J951"/>
      <c r="K951"/>
      <c r="L951"/>
    </row>
    <row r="952" spans="8:12">
      <c r="H952"/>
      <c r="I952"/>
      <c r="J952"/>
      <c r="K952"/>
      <c r="L952"/>
    </row>
    <row r="953" spans="8:12">
      <c r="H953"/>
      <c r="I953"/>
      <c r="J953"/>
      <c r="K953"/>
      <c r="L953"/>
    </row>
    <row r="954" spans="8:12">
      <c r="H954"/>
      <c r="I954"/>
      <c r="J954"/>
      <c r="K954"/>
      <c r="L954"/>
    </row>
    <row r="955" spans="8:12">
      <c r="H955"/>
      <c r="I955"/>
      <c r="J955"/>
      <c r="K955"/>
      <c r="L955"/>
    </row>
    <row r="956" spans="8:12">
      <c r="H956"/>
      <c r="I956"/>
      <c r="J956"/>
      <c r="K956"/>
      <c r="L956"/>
    </row>
    <row r="957" spans="8:12">
      <c r="H957"/>
      <c r="I957"/>
      <c r="J957"/>
      <c r="K957"/>
      <c r="L957"/>
    </row>
    <row r="958" spans="8:12">
      <c r="H958"/>
      <c r="I958"/>
      <c r="J958"/>
      <c r="K958"/>
      <c r="L958"/>
    </row>
    <row r="959" spans="8:12">
      <c r="H959"/>
      <c r="I959"/>
      <c r="J959"/>
      <c r="K959"/>
      <c r="L959"/>
    </row>
    <row r="960" spans="8:12">
      <c r="H960"/>
      <c r="I960"/>
      <c r="J960"/>
      <c r="K960"/>
      <c r="L960"/>
    </row>
    <row r="961" spans="8:12">
      <c r="H961"/>
      <c r="I961"/>
      <c r="J961"/>
      <c r="K961"/>
      <c r="L961"/>
    </row>
    <row r="962" spans="8:12">
      <c r="H962"/>
      <c r="I962"/>
      <c r="J962"/>
      <c r="K962"/>
      <c r="L962"/>
    </row>
    <row r="963" spans="8:12">
      <c r="H963"/>
      <c r="I963"/>
      <c r="J963"/>
      <c r="K963"/>
      <c r="L963"/>
    </row>
    <row r="964" spans="8:12">
      <c r="H964"/>
      <c r="I964"/>
      <c r="J964"/>
      <c r="K964"/>
      <c r="L964"/>
    </row>
    <row r="965" spans="8:12">
      <c r="H965"/>
      <c r="I965"/>
      <c r="J965"/>
      <c r="K965"/>
      <c r="L965"/>
    </row>
    <row r="966" spans="8:12">
      <c r="H966"/>
      <c r="I966"/>
      <c r="J966"/>
      <c r="K966"/>
      <c r="L966"/>
    </row>
    <row r="967" spans="8:12">
      <c r="H967"/>
      <c r="I967"/>
      <c r="J967"/>
      <c r="K967"/>
      <c r="L967"/>
    </row>
    <row r="968" spans="8:12">
      <c r="H968"/>
      <c r="I968"/>
      <c r="J968"/>
      <c r="K968"/>
      <c r="L968"/>
    </row>
    <row r="969" spans="8:12">
      <c r="H969"/>
      <c r="I969"/>
      <c r="J969"/>
      <c r="K969"/>
      <c r="L969"/>
    </row>
    <row r="970" spans="8:12">
      <c r="H970"/>
      <c r="I970"/>
      <c r="J970"/>
      <c r="K970"/>
      <c r="L970"/>
    </row>
    <row r="971" spans="8:12">
      <c r="H971"/>
      <c r="I971"/>
      <c r="J971"/>
      <c r="K971"/>
      <c r="L971"/>
    </row>
    <row r="972" spans="8:12">
      <c r="H972"/>
      <c r="I972"/>
      <c r="J972"/>
      <c r="K972"/>
      <c r="L972"/>
    </row>
    <row r="973" spans="8:12">
      <c r="H973"/>
      <c r="I973"/>
      <c r="J973"/>
      <c r="K973"/>
      <c r="L973"/>
    </row>
    <row r="974" spans="8:12">
      <c r="H974"/>
      <c r="I974"/>
      <c r="J974"/>
      <c r="K974"/>
      <c r="L974"/>
    </row>
    <row r="975" spans="8:12">
      <c r="H975"/>
      <c r="I975"/>
      <c r="J975"/>
      <c r="K975"/>
      <c r="L975"/>
    </row>
    <row r="976" spans="8:12">
      <c r="H976"/>
      <c r="I976"/>
      <c r="J976"/>
      <c r="K976"/>
      <c r="L976"/>
    </row>
    <row r="977" spans="8:12">
      <c r="H977"/>
      <c r="I977"/>
      <c r="J977"/>
      <c r="K977"/>
      <c r="L977"/>
    </row>
    <row r="978" spans="8:12">
      <c r="H978"/>
      <c r="I978"/>
      <c r="J978"/>
      <c r="K978"/>
      <c r="L978"/>
    </row>
    <row r="979" spans="8:12">
      <c r="H979"/>
      <c r="I979"/>
      <c r="J979"/>
      <c r="K979"/>
      <c r="L979"/>
    </row>
    <row r="980" spans="8:12">
      <c r="H980"/>
      <c r="I980"/>
      <c r="J980"/>
      <c r="K980"/>
      <c r="L980"/>
    </row>
    <row r="981" spans="8:12">
      <c r="H981"/>
      <c r="I981"/>
      <c r="J981"/>
      <c r="K981"/>
      <c r="L981"/>
    </row>
    <row r="982" spans="8:12">
      <c r="H982"/>
      <c r="I982"/>
      <c r="J982"/>
      <c r="K982"/>
      <c r="L982"/>
    </row>
    <row r="983" spans="8:12">
      <c r="H983"/>
      <c r="I983"/>
      <c r="J983"/>
      <c r="K983"/>
      <c r="L983"/>
    </row>
    <row r="984" spans="8:12">
      <c r="H984"/>
      <c r="I984"/>
      <c r="J984"/>
      <c r="K984"/>
      <c r="L984"/>
    </row>
    <row r="985" spans="8:12">
      <c r="H985"/>
      <c r="I985"/>
      <c r="J985"/>
      <c r="K985"/>
      <c r="L985"/>
    </row>
    <row r="986" spans="8:12">
      <c r="H986"/>
      <c r="I986"/>
      <c r="J986"/>
      <c r="K986"/>
      <c r="L986"/>
    </row>
    <row r="987" spans="8:12">
      <c r="H987"/>
      <c r="I987"/>
      <c r="J987"/>
      <c r="K987"/>
      <c r="L987"/>
    </row>
    <row r="988" spans="8:12">
      <c r="H988"/>
      <c r="I988"/>
      <c r="J988"/>
      <c r="K988"/>
      <c r="L988"/>
    </row>
    <row r="989" spans="8:12">
      <c r="H989"/>
      <c r="I989"/>
      <c r="J989"/>
      <c r="K989"/>
      <c r="L989"/>
    </row>
    <row r="990" spans="8:12">
      <c r="H990"/>
      <c r="I990"/>
      <c r="J990"/>
      <c r="K990"/>
      <c r="L990"/>
    </row>
    <row r="991" spans="8:12">
      <c r="H991"/>
      <c r="I991"/>
      <c r="J991"/>
      <c r="K991"/>
      <c r="L991"/>
    </row>
    <row r="992" spans="8:12">
      <c r="H992"/>
      <c r="I992"/>
      <c r="J992"/>
      <c r="K992"/>
      <c r="L992"/>
    </row>
    <row r="993" spans="8:12">
      <c r="H993"/>
      <c r="I993"/>
      <c r="J993"/>
      <c r="K993"/>
      <c r="L993"/>
    </row>
    <row r="994" spans="8:12">
      <c r="H994"/>
      <c r="I994"/>
      <c r="J994"/>
      <c r="K994"/>
      <c r="L994"/>
    </row>
    <row r="995" spans="8:12">
      <c r="H995"/>
      <c r="I995"/>
      <c r="J995"/>
      <c r="K995"/>
      <c r="L995"/>
    </row>
    <row r="996" spans="8:12">
      <c r="H996"/>
      <c r="I996"/>
      <c r="J996"/>
      <c r="K996"/>
      <c r="L996"/>
    </row>
    <row r="997" spans="8:12">
      <c r="H997"/>
      <c r="I997"/>
      <c r="J997"/>
      <c r="K997"/>
      <c r="L997"/>
    </row>
    <row r="998" spans="8:12">
      <c r="H998"/>
      <c r="I998"/>
      <c r="J998"/>
      <c r="K998"/>
      <c r="L998"/>
    </row>
    <row r="999" spans="8:12">
      <c r="H999"/>
      <c r="I999"/>
      <c r="J999"/>
      <c r="K999"/>
      <c r="L999"/>
    </row>
    <row r="1000" spans="8:12">
      <c r="H1000"/>
      <c r="I1000"/>
      <c r="J1000"/>
      <c r="K1000"/>
      <c r="L1000"/>
    </row>
    <row r="1001" spans="8:12">
      <c r="H1001"/>
      <c r="I1001"/>
      <c r="J1001"/>
      <c r="K1001"/>
      <c r="L1001"/>
    </row>
    <row r="1002" spans="8:12">
      <c r="H1002"/>
      <c r="I1002"/>
      <c r="J1002"/>
      <c r="K1002"/>
      <c r="L1002"/>
    </row>
    <row r="1003" spans="8:12">
      <c r="H1003"/>
      <c r="I1003"/>
      <c r="J1003"/>
      <c r="K1003"/>
      <c r="L1003"/>
    </row>
    <row r="1004" spans="8:12">
      <c r="H1004"/>
      <c r="I1004"/>
      <c r="J1004"/>
      <c r="K1004"/>
      <c r="L1004"/>
    </row>
    <row r="1005" spans="8:12">
      <c r="H1005"/>
      <c r="I1005"/>
      <c r="J1005"/>
      <c r="K1005"/>
      <c r="L1005"/>
    </row>
    <row r="1006" spans="8:12">
      <c r="H1006"/>
      <c r="I1006"/>
      <c r="J1006"/>
      <c r="K1006"/>
      <c r="L1006"/>
    </row>
    <row r="1007" spans="8:12">
      <c r="H1007"/>
      <c r="I1007"/>
      <c r="J1007"/>
      <c r="K1007"/>
      <c r="L1007"/>
    </row>
    <row r="1008" spans="8:12">
      <c r="H1008"/>
      <c r="I1008"/>
      <c r="J1008"/>
      <c r="K1008"/>
      <c r="L1008"/>
    </row>
    <row r="1009" spans="8:12">
      <c r="H1009"/>
      <c r="I1009"/>
      <c r="J1009"/>
      <c r="K1009"/>
      <c r="L1009"/>
    </row>
    <row r="1010" spans="8:12">
      <c r="H1010"/>
      <c r="I1010"/>
      <c r="J1010"/>
      <c r="K1010"/>
      <c r="L1010"/>
    </row>
    <row r="1011" spans="8:12">
      <c r="H1011"/>
      <c r="I1011"/>
      <c r="J1011"/>
      <c r="K1011"/>
      <c r="L1011"/>
    </row>
    <row r="1012" spans="8:12">
      <c r="H1012"/>
      <c r="I1012"/>
      <c r="J1012"/>
      <c r="K1012"/>
      <c r="L1012"/>
    </row>
    <row r="1013" spans="8:12">
      <c r="H1013"/>
      <c r="I1013"/>
      <c r="J1013"/>
      <c r="K1013"/>
      <c r="L1013"/>
    </row>
    <row r="1014" spans="8:12">
      <c r="H1014"/>
      <c r="I1014"/>
      <c r="J1014"/>
      <c r="K1014"/>
      <c r="L1014"/>
    </row>
    <row r="1015" spans="8:12">
      <c r="H1015"/>
      <c r="I1015"/>
      <c r="J1015"/>
      <c r="K1015"/>
      <c r="L1015"/>
    </row>
    <row r="1016" spans="8:12">
      <c r="H1016"/>
      <c r="I1016"/>
      <c r="J1016"/>
      <c r="K1016"/>
      <c r="L1016"/>
    </row>
    <row r="1017" spans="8:12">
      <c r="H1017"/>
      <c r="I1017"/>
      <c r="J1017"/>
      <c r="K1017"/>
      <c r="L1017"/>
    </row>
    <row r="1018" spans="8:12">
      <c r="H1018"/>
      <c r="I1018"/>
      <c r="J1018"/>
      <c r="K1018"/>
      <c r="L1018"/>
    </row>
    <row r="1019" spans="8:12">
      <c r="H1019"/>
      <c r="I1019"/>
      <c r="J1019"/>
      <c r="K1019"/>
      <c r="L1019"/>
    </row>
    <row r="1020" spans="8:12">
      <c r="H1020"/>
      <c r="I1020"/>
      <c r="J1020"/>
      <c r="K1020"/>
      <c r="L1020"/>
    </row>
    <row r="1021" spans="8:12">
      <c r="H1021"/>
      <c r="I1021"/>
      <c r="J1021"/>
      <c r="K1021"/>
      <c r="L1021"/>
    </row>
    <row r="1022" spans="8:12">
      <c r="H1022"/>
      <c r="I1022"/>
      <c r="J1022"/>
      <c r="K1022"/>
      <c r="L1022"/>
    </row>
    <row r="1023" spans="8:12">
      <c r="H1023"/>
      <c r="I1023"/>
      <c r="J1023"/>
      <c r="K1023"/>
      <c r="L1023"/>
    </row>
    <row r="1024" spans="8:12">
      <c r="H1024"/>
      <c r="I1024"/>
      <c r="J1024"/>
      <c r="K1024"/>
      <c r="L1024"/>
    </row>
    <row r="1025" spans="8:12">
      <c r="H1025"/>
      <c r="I1025"/>
      <c r="J1025"/>
      <c r="K1025"/>
      <c r="L1025"/>
    </row>
    <row r="1026" spans="8:12">
      <c r="H1026"/>
      <c r="I1026"/>
      <c r="J1026"/>
      <c r="K1026"/>
      <c r="L1026"/>
    </row>
    <row r="1027" spans="8:12">
      <c r="H1027"/>
      <c r="I1027"/>
      <c r="J1027"/>
      <c r="K1027"/>
      <c r="L1027"/>
    </row>
    <row r="1028" spans="8:12">
      <c r="H1028"/>
      <c r="I1028"/>
      <c r="J1028"/>
      <c r="K1028"/>
      <c r="L1028"/>
    </row>
    <row r="1029" spans="8:12">
      <c r="H1029"/>
      <c r="I1029"/>
      <c r="J1029"/>
      <c r="K1029"/>
      <c r="L1029"/>
    </row>
    <row r="1030" spans="8:12">
      <c r="H1030"/>
      <c r="I1030"/>
      <c r="J1030"/>
      <c r="K1030"/>
      <c r="L1030"/>
    </row>
    <row r="1031" spans="8:12">
      <c r="H1031"/>
      <c r="I1031"/>
      <c r="J1031"/>
      <c r="K1031"/>
      <c r="L1031"/>
    </row>
    <row r="1032" spans="8:12">
      <c r="H1032"/>
      <c r="I1032"/>
      <c r="J1032"/>
      <c r="K1032"/>
      <c r="L1032"/>
    </row>
    <row r="1033" spans="8:12">
      <c r="H1033"/>
      <c r="I1033"/>
      <c r="J1033"/>
      <c r="K1033"/>
      <c r="L1033"/>
    </row>
    <row r="1034" spans="8:12">
      <c r="H1034"/>
      <c r="I1034"/>
      <c r="J1034"/>
      <c r="K1034"/>
      <c r="L1034"/>
    </row>
    <row r="1035" spans="8:12">
      <c r="H1035"/>
      <c r="I1035"/>
      <c r="J1035"/>
      <c r="K1035"/>
      <c r="L1035"/>
    </row>
    <row r="1036" spans="8:12">
      <c r="H1036"/>
      <c r="I1036"/>
      <c r="J1036"/>
      <c r="K1036"/>
      <c r="L1036"/>
    </row>
    <row r="1037" spans="8:12">
      <c r="H1037"/>
      <c r="I1037"/>
      <c r="J1037"/>
      <c r="K1037"/>
      <c r="L1037"/>
    </row>
    <row r="1038" spans="8:12">
      <c r="H1038"/>
      <c r="I1038"/>
      <c r="J1038"/>
      <c r="K1038"/>
      <c r="L1038"/>
    </row>
    <row r="1039" spans="8:12">
      <c r="H1039"/>
      <c r="I1039"/>
      <c r="J1039"/>
      <c r="K1039"/>
      <c r="L1039"/>
    </row>
    <row r="1040" spans="8:12">
      <c r="H1040"/>
      <c r="I1040"/>
      <c r="J1040"/>
      <c r="K1040"/>
      <c r="L1040"/>
    </row>
    <row r="1041" spans="8:12">
      <c r="H1041"/>
      <c r="I1041"/>
      <c r="J1041"/>
      <c r="K1041"/>
      <c r="L1041"/>
    </row>
    <row r="1042" spans="8:12">
      <c r="H1042"/>
      <c r="I1042"/>
      <c r="J1042"/>
      <c r="K1042"/>
      <c r="L1042"/>
    </row>
    <row r="1043" spans="8:12">
      <c r="H1043"/>
      <c r="I1043"/>
      <c r="J1043"/>
      <c r="K1043"/>
      <c r="L1043"/>
    </row>
    <row r="1044" spans="8:12">
      <c r="H1044"/>
      <c r="I1044"/>
      <c r="J1044"/>
      <c r="K1044"/>
      <c r="L1044"/>
    </row>
    <row r="1045" spans="8:12">
      <c r="H1045"/>
      <c r="I1045"/>
      <c r="J1045"/>
      <c r="K1045"/>
      <c r="L1045"/>
    </row>
    <row r="1046" spans="8:12">
      <c r="H1046"/>
      <c r="I1046"/>
      <c r="J1046"/>
      <c r="K1046"/>
      <c r="L1046"/>
    </row>
    <row r="1047" spans="8:12">
      <c r="H1047"/>
      <c r="I1047"/>
      <c r="J1047"/>
      <c r="K1047"/>
      <c r="L1047"/>
    </row>
    <row r="1048" spans="8:12">
      <c r="H1048"/>
      <c r="I1048"/>
      <c r="J1048"/>
      <c r="K1048"/>
      <c r="L1048"/>
    </row>
    <row r="1049" spans="8:12">
      <c r="H1049"/>
      <c r="I1049"/>
      <c r="J1049"/>
      <c r="K1049"/>
      <c r="L1049"/>
    </row>
    <row r="1050" spans="8:12">
      <c r="H1050"/>
      <c r="I1050"/>
      <c r="J1050"/>
      <c r="K1050"/>
      <c r="L1050"/>
    </row>
    <row r="1051" spans="8:12">
      <c r="H1051"/>
      <c r="I1051"/>
      <c r="J1051"/>
      <c r="K1051"/>
      <c r="L1051"/>
    </row>
    <row r="1052" spans="8:12">
      <c r="H1052"/>
      <c r="I1052"/>
      <c r="J1052"/>
      <c r="K1052"/>
      <c r="L1052"/>
    </row>
    <row r="1053" spans="8:12">
      <c r="H1053"/>
      <c r="I1053"/>
      <c r="J1053"/>
      <c r="K1053"/>
      <c r="L1053"/>
    </row>
    <row r="1054" spans="8:12">
      <c r="H1054"/>
      <c r="I1054"/>
      <c r="J1054"/>
      <c r="K1054"/>
      <c r="L1054"/>
    </row>
    <row r="1055" spans="8:12">
      <c r="H1055"/>
      <c r="I1055"/>
      <c r="J1055"/>
      <c r="K1055"/>
      <c r="L1055"/>
    </row>
    <row r="1056" spans="8:12">
      <c r="H1056"/>
      <c r="I1056"/>
      <c r="J1056"/>
      <c r="K1056"/>
      <c r="L1056"/>
    </row>
    <row r="1057" spans="8:12">
      <c r="H1057"/>
      <c r="I1057"/>
      <c r="J1057"/>
      <c r="K1057"/>
      <c r="L1057"/>
    </row>
    <row r="1058" spans="8:12">
      <c r="H1058"/>
      <c r="I1058"/>
      <c r="J1058"/>
      <c r="K1058"/>
      <c r="L1058"/>
    </row>
    <row r="1059" spans="8:12">
      <c r="H1059"/>
      <c r="I1059"/>
      <c r="J1059"/>
      <c r="K1059"/>
      <c r="L1059"/>
    </row>
    <row r="1060" spans="8:12">
      <c r="H1060"/>
      <c r="I1060"/>
      <c r="J1060"/>
      <c r="K1060"/>
      <c r="L1060"/>
    </row>
    <row r="1061" spans="8:12">
      <c r="H1061"/>
      <c r="I1061"/>
      <c r="J1061"/>
      <c r="K1061"/>
      <c r="L1061"/>
    </row>
    <row r="1062" spans="8:12">
      <c r="H1062"/>
      <c r="I1062"/>
      <c r="J1062"/>
      <c r="K1062"/>
      <c r="L1062"/>
    </row>
    <row r="1063" spans="8:12">
      <c r="H1063"/>
      <c r="I1063"/>
      <c r="J1063"/>
      <c r="K1063"/>
      <c r="L1063"/>
    </row>
    <row r="1064" spans="8:12">
      <c r="H1064"/>
      <c r="I1064"/>
      <c r="J1064"/>
      <c r="K1064"/>
      <c r="L1064"/>
    </row>
    <row r="1065" spans="8:12">
      <c r="H1065"/>
      <c r="I1065"/>
      <c r="J1065"/>
      <c r="K1065"/>
      <c r="L1065"/>
    </row>
    <row r="1066" spans="8:12">
      <c r="H1066"/>
      <c r="I1066"/>
      <c r="J1066"/>
      <c r="K1066"/>
      <c r="L1066"/>
    </row>
    <row r="1067" spans="8:12">
      <c r="H1067"/>
      <c r="I1067"/>
      <c r="J1067"/>
      <c r="K1067"/>
      <c r="L1067"/>
    </row>
    <row r="1068" spans="8:12">
      <c r="H1068"/>
      <c r="I1068"/>
      <c r="J1068"/>
      <c r="K1068"/>
      <c r="L1068"/>
    </row>
    <row r="1069" spans="8:12">
      <c r="H1069"/>
      <c r="I1069"/>
      <c r="J1069"/>
      <c r="K1069"/>
      <c r="L1069"/>
    </row>
    <row r="1070" spans="8:12">
      <c r="H1070"/>
      <c r="I1070"/>
      <c r="J1070"/>
      <c r="K1070"/>
      <c r="L1070"/>
    </row>
    <row r="1071" spans="8:12">
      <c r="H1071"/>
      <c r="I1071"/>
      <c r="J1071"/>
      <c r="K1071"/>
      <c r="L1071"/>
    </row>
    <row r="1072" spans="8:12">
      <c r="H1072"/>
      <c r="I1072"/>
      <c r="J1072"/>
      <c r="K1072"/>
      <c r="L1072"/>
    </row>
    <row r="1073" spans="8:12">
      <c r="H1073"/>
      <c r="I1073"/>
      <c r="J1073"/>
      <c r="K1073"/>
      <c r="L1073"/>
    </row>
    <row r="1074" spans="8:12">
      <c r="H1074"/>
      <c r="I1074"/>
      <c r="J1074"/>
      <c r="K1074"/>
      <c r="L1074"/>
    </row>
    <row r="1075" spans="8:12">
      <c r="H1075"/>
      <c r="I1075"/>
      <c r="J1075"/>
      <c r="K1075"/>
      <c r="L1075"/>
    </row>
    <row r="1076" spans="8:12">
      <c r="H1076"/>
      <c r="I1076"/>
      <c r="J1076"/>
      <c r="K1076"/>
      <c r="L1076"/>
    </row>
    <row r="1077" spans="8:12">
      <c r="H1077"/>
      <c r="I1077"/>
      <c r="J1077"/>
      <c r="K1077"/>
      <c r="L1077"/>
    </row>
    <row r="1078" spans="8:12">
      <c r="H1078"/>
      <c r="I1078"/>
      <c r="J1078"/>
      <c r="K1078"/>
      <c r="L1078"/>
    </row>
    <row r="1079" spans="8:12">
      <c r="H1079"/>
      <c r="I1079"/>
      <c r="J1079"/>
      <c r="K1079"/>
      <c r="L1079"/>
    </row>
    <row r="1080" spans="8:12">
      <c r="H1080"/>
      <c r="I1080"/>
      <c r="J1080"/>
      <c r="K1080"/>
      <c r="L1080"/>
    </row>
    <row r="1081" spans="8:12">
      <c r="H1081"/>
      <c r="I1081"/>
      <c r="J1081"/>
      <c r="K1081"/>
      <c r="L1081"/>
    </row>
    <row r="1082" spans="8:12">
      <c r="H1082"/>
      <c r="I1082"/>
      <c r="J1082"/>
      <c r="K1082"/>
      <c r="L1082"/>
    </row>
    <row r="1083" spans="8:12">
      <c r="H1083"/>
      <c r="I1083"/>
      <c r="J1083"/>
      <c r="K1083"/>
      <c r="L1083"/>
    </row>
    <row r="1084" spans="8:12">
      <c r="H1084"/>
      <c r="I1084"/>
      <c r="J1084"/>
      <c r="K1084"/>
      <c r="L1084"/>
    </row>
    <row r="1085" spans="8:12">
      <c r="H1085"/>
      <c r="I1085"/>
      <c r="J1085"/>
      <c r="K1085"/>
      <c r="L1085"/>
    </row>
    <row r="1086" spans="8:12">
      <c r="H1086"/>
      <c r="I1086"/>
      <c r="J1086"/>
      <c r="K1086"/>
      <c r="L1086"/>
    </row>
    <row r="1087" spans="8:12">
      <c r="H1087"/>
      <c r="I1087"/>
      <c r="J1087"/>
      <c r="K1087"/>
      <c r="L1087"/>
    </row>
    <row r="1088" spans="8:12">
      <c r="H1088"/>
      <c r="I1088"/>
      <c r="J1088"/>
      <c r="K1088"/>
      <c r="L1088"/>
    </row>
    <row r="1089" spans="8:12">
      <c r="H1089"/>
      <c r="I1089"/>
      <c r="J1089"/>
      <c r="K1089"/>
      <c r="L1089"/>
    </row>
    <row r="1090" spans="8:12">
      <c r="H1090"/>
      <c r="I1090"/>
      <c r="J1090"/>
      <c r="K1090"/>
      <c r="L1090"/>
    </row>
    <row r="1091" spans="8:12">
      <c r="H1091"/>
      <c r="I1091"/>
      <c r="J1091"/>
      <c r="K1091"/>
      <c r="L1091"/>
    </row>
    <row r="1092" spans="8:12">
      <c r="H1092"/>
      <c r="I1092"/>
      <c r="J1092"/>
      <c r="K1092"/>
      <c r="L1092"/>
    </row>
    <row r="1093" spans="8:12">
      <c r="H1093"/>
      <c r="I1093"/>
      <c r="J1093"/>
      <c r="K1093"/>
      <c r="L1093"/>
    </row>
    <row r="1094" spans="8:12">
      <c r="H1094"/>
      <c r="I1094"/>
      <c r="J1094"/>
      <c r="K1094"/>
      <c r="L1094"/>
    </row>
    <row r="1095" spans="8:12">
      <c r="H1095"/>
      <c r="I1095"/>
      <c r="J1095"/>
      <c r="K1095"/>
      <c r="L1095"/>
    </row>
    <row r="1096" spans="8:12">
      <c r="H1096"/>
      <c r="I1096"/>
      <c r="J1096"/>
      <c r="K1096"/>
      <c r="L1096"/>
    </row>
    <row r="1097" spans="8:12">
      <c r="H1097"/>
      <c r="I1097"/>
      <c r="J1097"/>
      <c r="K1097"/>
      <c r="L1097"/>
    </row>
    <row r="1098" spans="8:12">
      <c r="H1098"/>
      <c r="I1098"/>
      <c r="J1098"/>
      <c r="K1098"/>
      <c r="L1098"/>
    </row>
    <row r="1099" spans="8:12">
      <c r="H1099"/>
      <c r="I1099"/>
      <c r="J1099"/>
      <c r="K1099"/>
      <c r="L1099"/>
    </row>
    <row r="1100" spans="8:12">
      <c r="H1100"/>
      <c r="I1100"/>
      <c r="J1100"/>
      <c r="K1100"/>
      <c r="L1100"/>
    </row>
    <row r="1101" spans="8:12">
      <c r="H1101"/>
      <c r="I1101"/>
      <c r="J1101"/>
      <c r="K1101"/>
      <c r="L1101"/>
    </row>
    <row r="1102" spans="8:12">
      <c r="H1102"/>
      <c r="I1102"/>
      <c r="J1102"/>
      <c r="K1102"/>
      <c r="L1102"/>
    </row>
    <row r="1103" spans="8:12">
      <c r="H1103"/>
      <c r="I1103"/>
      <c r="J1103"/>
      <c r="K1103"/>
      <c r="L1103"/>
    </row>
    <row r="1104" spans="8:12">
      <c r="H1104"/>
      <c r="I1104"/>
      <c r="J1104"/>
      <c r="K1104"/>
      <c r="L1104"/>
    </row>
    <row r="1105" spans="8:12">
      <c r="H1105"/>
      <c r="I1105"/>
      <c r="J1105"/>
      <c r="K1105"/>
      <c r="L1105"/>
    </row>
    <row r="1106" spans="8:12">
      <c r="H1106"/>
      <c r="I1106"/>
      <c r="J1106"/>
      <c r="K1106"/>
      <c r="L1106"/>
    </row>
    <row r="1107" spans="8:12">
      <c r="H1107"/>
      <c r="I1107"/>
      <c r="J1107"/>
      <c r="K1107"/>
      <c r="L1107"/>
    </row>
    <row r="1108" spans="8:12">
      <c r="H1108"/>
      <c r="I1108"/>
      <c r="J1108"/>
      <c r="K1108"/>
      <c r="L1108"/>
    </row>
    <row r="1109" spans="8:12">
      <c r="H1109"/>
      <c r="I1109"/>
      <c r="J1109"/>
      <c r="K1109"/>
      <c r="L1109"/>
    </row>
    <row r="1110" spans="8:12">
      <c r="H1110"/>
      <c r="I1110"/>
      <c r="J1110"/>
      <c r="K1110"/>
      <c r="L1110"/>
    </row>
    <row r="1111" spans="8:12">
      <c r="H1111"/>
      <c r="I1111"/>
      <c r="J1111"/>
      <c r="K1111"/>
      <c r="L1111"/>
    </row>
    <row r="1112" spans="8:12">
      <c r="H1112"/>
      <c r="I1112"/>
      <c r="J1112"/>
      <c r="K1112"/>
      <c r="L1112"/>
    </row>
    <row r="1113" spans="8:12">
      <c r="H1113"/>
      <c r="I1113"/>
      <c r="J1113"/>
      <c r="K1113"/>
      <c r="L1113"/>
    </row>
    <row r="1114" spans="8:12">
      <c r="H1114"/>
      <c r="I1114"/>
      <c r="J1114"/>
      <c r="K1114"/>
      <c r="L1114"/>
    </row>
    <row r="1115" spans="8:12">
      <c r="H1115"/>
      <c r="I1115"/>
      <c r="J1115"/>
      <c r="K1115"/>
      <c r="L1115"/>
    </row>
    <row r="1116" spans="8:12">
      <c r="H1116"/>
      <c r="I1116"/>
      <c r="J1116"/>
      <c r="K1116"/>
      <c r="L1116"/>
    </row>
    <row r="1117" spans="8:12">
      <c r="H1117"/>
      <c r="I1117"/>
      <c r="J1117"/>
      <c r="K1117"/>
      <c r="L1117"/>
    </row>
    <row r="1118" spans="8:12">
      <c r="H1118"/>
      <c r="I1118"/>
      <c r="J1118"/>
      <c r="K1118"/>
      <c r="L1118"/>
    </row>
    <row r="1119" spans="8:12">
      <c r="H1119"/>
      <c r="I1119"/>
      <c r="J1119"/>
      <c r="K1119"/>
      <c r="L1119"/>
    </row>
    <row r="1120" spans="8:12">
      <c r="H1120"/>
      <c r="I1120"/>
      <c r="J1120"/>
      <c r="K1120"/>
      <c r="L1120"/>
    </row>
    <row r="1121" spans="8:12">
      <c r="H1121"/>
      <c r="I1121"/>
      <c r="J1121"/>
      <c r="K1121"/>
      <c r="L1121"/>
    </row>
    <row r="1122" spans="8:12">
      <c r="H1122"/>
      <c r="I1122"/>
      <c r="J1122"/>
      <c r="K1122"/>
      <c r="L1122"/>
    </row>
    <row r="1123" spans="8:12">
      <c r="H1123"/>
      <c r="I1123"/>
      <c r="J1123"/>
      <c r="K1123"/>
      <c r="L1123"/>
    </row>
    <row r="1124" spans="8:12">
      <c r="H1124"/>
      <c r="I1124"/>
      <c r="J1124"/>
      <c r="K1124"/>
      <c r="L1124"/>
    </row>
    <row r="1125" spans="8:12">
      <c r="H1125"/>
      <c r="I1125"/>
      <c r="J1125"/>
      <c r="K1125"/>
      <c r="L1125"/>
    </row>
    <row r="1126" spans="8:12">
      <c r="H1126"/>
      <c r="I1126"/>
      <c r="J1126"/>
      <c r="K1126"/>
      <c r="L1126"/>
    </row>
    <row r="1127" spans="8:12">
      <c r="H1127"/>
      <c r="I1127"/>
      <c r="J1127"/>
      <c r="K1127"/>
      <c r="L1127"/>
    </row>
    <row r="1128" spans="8:12">
      <c r="H1128"/>
      <c r="I1128"/>
      <c r="J1128"/>
      <c r="K1128"/>
      <c r="L1128"/>
    </row>
    <row r="1129" spans="8:12">
      <c r="H1129"/>
      <c r="I1129"/>
      <c r="J1129"/>
      <c r="K1129"/>
      <c r="L1129"/>
    </row>
    <row r="1130" spans="8:12">
      <c r="H1130"/>
      <c r="I1130"/>
      <c r="J1130"/>
      <c r="K1130"/>
      <c r="L1130"/>
    </row>
    <row r="1131" spans="8:12">
      <c r="H1131"/>
      <c r="I1131"/>
      <c r="J1131"/>
      <c r="K1131"/>
      <c r="L1131"/>
    </row>
    <row r="1132" spans="8:12">
      <c r="H1132"/>
      <c r="I1132"/>
      <c r="J1132"/>
      <c r="K1132"/>
      <c r="L1132"/>
    </row>
    <row r="1133" spans="8:12">
      <c r="H1133"/>
      <c r="I1133"/>
      <c r="J1133"/>
      <c r="K1133"/>
      <c r="L1133"/>
    </row>
    <row r="1134" spans="8:12">
      <c r="H1134"/>
      <c r="I1134"/>
      <c r="J1134"/>
      <c r="K1134"/>
      <c r="L1134"/>
    </row>
    <row r="1135" spans="8:12">
      <c r="H1135"/>
      <c r="I1135"/>
      <c r="J1135"/>
      <c r="K1135"/>
      <c r="L1135"/>
    </row>
    <row r="1136" spans="8:12">
      <c r="H1136"/>
      <c r="I1136"/>
      <c r="J1136"/>
      <c r="K1136"/>
      <c r="L1136"/>
    </row>
    <row r="1137" spans="8:12">
      <c r="H1137"/>
      <c r="I1137"/>
      <c r="J1137"/>
      <c r="K1137"/>
      <c r="L1137"/>
    </row>
    <row r="1138" spans="8:12">
      <c r="H1138"/>
      <c r="I1138"/>
      <c r="J1138"/>
      <c r="K1138"/>
      <c r="L1138"/>
    </row>
    <row r="1139" spans="8:12">
      <c r="H1139"/>
      <c r="I1139"/>
      <c r="J1139"/>
      <c r="K1139"/>
      <c r="L1139"/>
    </row>
    <row r="1140" spans="8:12">
      <c r="H1140"/>
      <c r="I1140"/>
      <c r="J1140"/>
      <c r="K1140"/>
      <c r="L1140"/>
    </row>
    <row r="1141" spans="8:12">
      <c r="H1141"/>
      <c r="I1141"/>
      <c r="J1141"/>
      <c r="K1141"/>
      <c r="L1141"/>
    </row>
    <row r="1142" spans="8:12">
      <c r="H1142"/>
      <c r="I1142"/>
      <c r="J1142"/>
      <c r="K1142"/>
      <c r="L1142"/>
    </row>
    <row r="1143" spans="8:12">
      <c r="H1143"/>
      <c r="I1143"/>
      <c r="J1143"/>
      <c r="K1143"/>
      <c r="L1143"/>
    </row>
    <row r="1144" spans="8:12">
      <c r="H1144"/>
      <c r="I1144"/>
      <c r="J1144"/>
      <c r="K1144"/>
      <c r="L1144"/>
    </row>
    <row r="1145" spans="8:12">
      <c r="H1145"/>
      <c r="I1145"/>
      <c r="J1145"/>
      <c r="K1145"/>
      <c r="L1145"/>
    </row>
    <row r="1146" spans="8:12">
      <c r="H1146"/>
      <c r="I1146"/>
      <c r="J1146"/>
      <c r="K1146"/>
      <c r="L1146"/>
    </row>
    <row r="1147" spans="8:12">
      <c r="H1147"/>
      <c r="I1147"/>
      <c r="J1147"/>
      <c r="K1147"/>
      <c r="L1147"/>
    </row>
    <row r="1148" spans="8:12">
      <c r="H1148"/>
      <c r="I1148"/>
      <c r="J1148"/>
      <c r="K1148"/>
      <c r="L1148"/>
    </row>
    <row r="1149" spans="8:12">
      <c r="H1149"/>
      <c r="I1149"/>
      <c r="J1149"/>
      <c r="K1149"/>
      <c r="L1149"/>
    </row>
    <row r="1150" spans="8:12">
      <c r="H1150"/>
      <c r="I1150"/>
      <c r="J1150"/>
      <c r="K1150"/>
      <c r="L1150"/>
    </row>
    <row r="1151" spans="8:12">
      <c r="H1151"/>
      <c r="I1151"/>
      <c r="J1151"/>
      <c r="K1151"/>
      <c r="L1151"/>
    </row>
    <row r="1152" spans="8:12">
      <c r="H1152"/>
      <c r="I1152"/>
      <c r="J1152"/>
      <c r="K1152"/>
      <c r="L1152"/>
    </row>
    <row r="1153" spans="8:12">
      <c r="H1153"/>
      <c r="I1153"/>
      <c r="J1153"/>
      <c r="K1153"/>
      <c r="L1153"/>
    </row>
    <row r="1154" spans="8:12">
      <c r="H1154"/>
      <c r="I1154"/>
      <c r="J1154"/>
      <c r="K1154"/>
      <c r="L1154"/>
    </row>
    <row r="1155" spans="8:12">
      <c r="H1155"/>
      <c r="I1155"/>
      <c r="J1155"/>
      <c r="K1155"/>
      <c r="L1155"/>
    </row>
    <row r="1156" spans="8:12">
      <c r="H1156"/>
      <c r="I1156"/>
      <c r="J1156"/>
      <c r="K1156"/>
      <c r="L1156"/>
    </row>
    <row r="1157" spans="8:12">
      <c r="H1157"/>
      <c r="I1157"/>
      <c r="J1157"/>
      <c r="K1157"/>
      <c r="L1157"/>
    </row>
    <row r="1158" spans="8:12">
      <c r="H1158"/>
      <c r="I1158"/>
      <c r="J1158"/>
      <c r="K1158"/>
      <c r="L1158"/>
    </row>
    <row r="1159" spans="8:12">
      <c r="H1159"/>
      <c r="I1159"/>
      <c r="J1159"/>
      <c r="K1159"/>
      <c r="L1159"/>
    </row>
    <row r="1160" spans="8:12">
      <c r="H1160"/>
      <c r="I1160"/>
      <c r="J1160"/>
      <c r="K1160"/>
      <c r="L1160"/>
    </row>
    <row r="1161" spans="8:12">
      <c r="H1161"/>
      <c r="I1161"/>
      <c r="J1161"/>
      <c r="K1161"/>
      <c r="L1161"/>
    </row>
    <row r="1162" spans="8:12">
      <c r="H1162"/>
      <c r="I1162"/>
      <c r="J1162"/>
      <c r="K1162"/>
      <c r="L1162"/>
    </row>
    <row r="1163" spans="8:12">
      <c r="H1163"/>
      <c r="I1163"/>
      <c r="J1163"/>
      <c r="K1163"/>
      <c r="L1163"/>
    </row>
    <row r="1164" spans="8:12">
      <c r="H1164"/>
      <c r="I1164"/>
      <c r="J1164"/>
      <c r="K1164"/>
      <c r="L1164"/>
    </row>
    <row r="1165" spans="8:12">
      <c r="H1165"/>
      <c r="I1165"/>
      <c r="J1165"/>
      <c r="K1165"/>
      <c r="L1165"/>
    </row>
    <row r="1166" spans="8:12">
      <c r="H1166"/>
      <c r="I1166"/>
      <c r="J1166"/>
      <c r="K1166"/>
      <c r="L1166"/>
    </row>
    <row r="1167" spans="8:12">
      <c r="H1167"/>
      <c r="I1167"/>
      <c r="J1167"/>
      <c r="K1167"/>
      <c r="L1167"/>
    </row>
    <row r="1168" spans="8:12">
      <c r="H1168"/>
      <c r="I1168"/>
      <c r="J1168"/>
      <c r="K1168"/>
      <c r="L1168"/>
    </row>
    <row r="1169" spans="8:12">
      <c r="H1169"/>
      <c r="I1169"/>
      <c r="J1169"/>
      <c r="K1169"/>
      <c r="L1169"/>
    </row>
    <row r="1170" spans="8:12">
      <c r="H1170"/>
      <c r="I1170"/>
      <c r="J1170"/>
      <c r="K1170"/>
      <c r="L1170"/>
    </row>
    <row r="1171" spans="8:12">
      <c r="H1171"/>
      <c r="I1171"/>
      <c r="J1171"/>
      <c r="K1171"/>
      <c r="L1171"/>
    </row>
    <row r="1172" spans="8:12">
      <c r="H1172"/>
      <c r="I1172"/>
      <c r="J1172"/>
      <c r="K1172"/>
      <c r="L1172"/>
    </row>
    <row r="1173" spans="8:12">
      <c r="H1173"/>
      <c r="I1173"/>
      <c r="J1173"/>
      <c r="K1173"/>
      <c r="L1173"/>
    </row>
    <row r="1174" spans="8:12">
      <c r="H1174"/>
      <c r="I1174"/>
      <c r="J1174"/>
      <c r="K1174"/>
      <c r="L1174"/>
    </row>
    <row r="1175" spans="8:12">
      <c r="H1175"/>
      <c r="I1175"/>
      <c r="J1175"/>
      <c r="K1175"/>
      <c r="L1175"/>
    </row>
    <row r="1176" spans="8:12">
      <c r="H1176"/>
      <c r="I1176"/>
      <c r="J1176"/>
      <c r="K1176"/>
      <c r="L1176"/>
    </row>
    <row r="1177" spans="8:12">
      <c r="H1177"/>
      <c r="I1177"/>
      <c r="J1177"/>
      <c r="K1177"/>
      <c r="L1177"/>
    </row>
    <row r="1178" spans="8:12">
      <c r="H1178"/>
      <c r="I1178"/>
      <c r="J1178"/>
      <c r="K1178"/>
      <c r="L1178"/>
    </row>
    <row r="1179" spans="8:12">
      <c r="H1179"/>
      <c r="I1179"/>
      <c r="J1179"/>
      <c r="K1179"/>
      <c r="L1179"/>
    </row>
    <row r="1180" spans="8:12">
      <c r="H1180"/>
      <c r="I1180"/>
      <c r="J1180"/>
      <c r="K1180"/>
      <c r="L1180"/>
    </row>
    <row r="1181" spans="8:12">
      <c r="H1181"/>
      <c r="I1181"/>
      <c r="J1181"/>
      <c r="K1181"/>
      <c r="L1181"/>
    </row>
    <row r="1182" spans="8:12">
      <c r="H1182"/>
      <c r="I1182"/>
      <c r="J1182"/>
      <c r="K1182"/>
      <c r="L1182"/>
    </row>
    <row r="1183" spans="8:12">
      <c r="H1183"/>
      <c r="I1183"/>
      <c r="J1183"/>
      <c r="K1183"/>
      <c r="L1183"/>
    </row>
    <row r="1184" spans="8:12">
      <c r="H1184"/>
      <c r="I1184"/>
      <c r="J1184"/>
      <c r="K1184"/>
      <c r="L1184"/>
    </row>
    <row r="1185" spans="8:12">
      <c r="H1185"/>
      <c r="I1185"/>
      <c r="J1185"/>
      <c r="K1185"/>
      <c r="L1185"/>
    </row>
    <row r="1186" spans="8:12">
      <c r="H1186"/>
      <c r="I1186"/>
      <c r="J1186"/>
      <c r="K1186"/>
      <c r="L1186"/>
    </row>
    <row r="1187" spans="8:12">
      <c r="H1187"/>
      <c r="I1187"/>
      <c r="J1187"/>
      <c r="K1187"/>
      <c r="L1187"/>
    </row>
    <row r="1188" spans="8:12">
      <c r="H1188"/>
      <c r="I1188"/>
      <c r="J1188"/>
      <c r="K1188"/>
      <c r="L1188"/>
    </row>
    <row r="1189" spans="8:12">
      <c r="H1189"/>
      <c r="I1189"/>
      <c r="J1189"/>
      <c r="K1189"/>
      <c r="L1189"/>
    </row>
    <row r="1190" spans="8:12">
      <c r="H1190"/>
      <c r="I1190"/>
      <c r="J1190"/>
      <c r="K1190"/>
      <c r="L1190"/>
    </row>
    <row r="1191" spans="8:12">
      <c r="H1191"/>
      <c r="I1191"/>
      <c r="J1191"/>
      <c r="K1191"/>
      <c r="L1191"/>
    </row>
    <row r="1192" spans="8:12">
      <c r="H1192"/>
      <c r="I1192"/>
      <c r="J1192"/>
      <c r="K1192"/>
      <c r="L1192"/>
    </row>
    <row r="1193" spans="8:12">
      <c r="H1193"/>
      <c r="I1193"/>
      <c r="J1193"/>
      <c r="K1193"/>
      <c r="L1193"/>
    </row>
    <row r="1194" spans="8:12">
      <c r="H1194"/>
      <c r="I1194"/>
      <c r="J1194"/>
      <c r="K1194"/>
      <c r="L1194"/>
    </row>
    <row r="1195" spans="8:12">
      <c r="H1195"/>
      <c r="I1195"/>
      <c r="J1195"/>
      <c r="K1195"/>
      <c r="L1195"/>
    </row>
    <row r="1196" spans="8:12">
      <c r="H1196"/>
      <c r="I1196"/>
      <c r="J1196"/>
      <c r="K1196"/>
      <c r="L1196"/>
    </row>
    <row r="1197" spans="8:12">
      <c r="H1197"/>
      <c r="I1197"/>
      <c r="J1197"/>
      <c r="K1197"/>
      <c r="L1197"/>
    </row>
    <row r="1198" spans="8:12">
      <c r="H1198"/>
      <c r="I1198"/>
      <c r="J1198"/>
      <c r="K1198"/>
      <c r="L1198"/>
    </row>
    <row r="1199" spans="8:12">
      <c r="H1199"/>
      <c r="I1199"/>
      <c r="J1199"/>
      <c r="K1199"/>
      <c r="L1199"/>
    </row>
    <row r="1200" spans="8:12">
      <c r="H1200"/>
      <c r="I1200"/>
      <c r="J1200"/>
      <c r="K1200"/>
      <c r="L1200"/>
    </row>
    <row r="1201" spans="8:12">
      <c r="H1201"/>
      <c r="I1201"/>
      <c r="J1201"/>
      <c r="K1201"/>
      <c r="L1201"/>
    </row>
    <row r="1202" spans="8:12">
      <c r="H1202"/>
      <c r="I1202"/>
      <c r="J1202"/>
      <c r="K1202"/>
      <c r="L1202"/>
    </row>
    <row r="1203" spans="8:12">
      <c r="H1203"/>
      <c r="I1203"/>
      <c r="J1203"/>
      <c r="K1203"/>
      <c r="L1203"/>
    </row>
    <row r="1204" spans="8:12">
      <c r="H1204"/>
      <c r="I1204"/>
      <c r="J1204"/>
      <c r="K1204"/>
      <c r="L1204"/>
    </row>
    <row r="1205" spans="8:12">
      <c r="H1205"/>
      <c r="I1205"/>
      <c r="J1205"/>
      <c r="K1205"/>
      <c r="L1205"/>
    </row>
    <row r="1206" spans="8:12">
      <c r="H1206"/>
      <c r="I1206"/>
      <c r="J1206"/>
      <c r="K1206"/>
      <c r="L1206"/>
    </row>
    <row r="1207" spans="8:12">
      <c r="H1207"/>
      <c r="I1207"/>
      <c r="J1207"/>
      <c r="K1207"/>
      <c r="L1207"/>
    </row>
    <row r="1208" spans="8:12">
      <c r="H1208"/>
      <c r="I1208"/>
      <c r="J1208"/>
      <c r="K1208"/>
      <c r="L1208"/>
    </row>
    <row r="1209" spans="8:12">
      <c r="H1209"/>
      <c r="I1209"/>
      <c r="J1209"/>
      <c r="K1209"/>
      <c r="L1209"/>
    </row>
    <row r="1210" spans="8:12">
      <c r="H1210"/>
      <c r="I1210"/>
      <c r="J1210"/>
      <c r="K1210"/>
      <c r="L1210"/>
    </row>
    <row r="1211" spans="8:12">
      <c r="H1211"/>
      <c r="I1211"/>
      <c r="J1211"/>
      <c r="K1211"/>
      <c r="L1211"/>
    </row>
    <row r="1212" spans="8:12">
      <c r="H1212"/>
      <c r="I1212"/>
      <c r="J1212"/>
      <c r="K1212"/>
      <c r="L1212"/>
    </row>
    <row r="1213" spans="8:12">
      <c r="H1213"/>
      <c r="I1213"/>
      <c r="J1213"/>
      <c r="K1213"/>
      <c r="L1213"/>
    </row>
    <row r="1214" spans="8:12">
      <c r="H1214"/>
      <c r="I1214"/>
      <c r="J1214"/>
      <c r="K1214"/>
      <c r="L1214"/>
    </row>
    <row r="1215" spans="8:12">
      <c r="H1215"/>
      <c r="I1215"/>
      <c r="J1215"/>
      <c r="K1215"/>
      <c r="L1215"/>
    </row>
    <row r="1216" spans="8:12">
      <c r="H1216"/>
      <c r="I1216"/>
      <c r="J1216"/>
      <c r="K1216"/>
      <c r="L1216"/>
    </row>
    <row r="1217" spans="8:12">
      <c r="H1217"/>
      <c r="I1217"/>
      <c r="J1217"/>
      <c r="K1217"/>
      <c r="L1217"/>
    </row>
    <row r="1218" spans="8:12">
      <c r="H1218"/>
      <c r="I1218"/>
      <c r="J1218"/>
      <c r="K1218"/>
      <c r="L1218"/>
    </row>
    <row r="1219" spans="8:12">
      <c r="H1219"/>
      <c r="I1219"/>
      <c r="J1219"/>
      <c r="K1219"/>
      <c r="L1219"/>
    </row>
    <row r="1220" spans="8:12">
      <c r="H1220"/>
      <c r="I1220"/>
      <c r="J1220"/>
      <c r="K1220"/>
      <c r="L1220"/>
    </row>
    <row r="1221" spans="8:12">
      <c r="H1221"/>
      <c r="I1221"/>
      <c r="J1221"/>
      <c r="K1221"/>
      <c r="L1221"/>
    </row>
    <row r="1222" spans="8:12">
      <c r="H1222"/>
      <c r="I1222"/>
      <c r="J1222"/>
      <c r="K1222"/>
      <c r="L1222"/>
    </row>
    <row r="1223" spans="8:12">
      <c r="H1223"/>
      <c r="I1223"/>
      <c r="J1223"/>
      <c r="K1223"/>
      <c r="L1223"/>
    </row>
    <row r="1224" spans="8:12">
      <c r="H1224"/>
      <c r="I1224"/>
      <c r="J1224"/>
      <c r="K1224"/>
      <c r="L1224"/>
    </row>
    <row r="1225" spans="8:12">
      <c r="H1225"/>
      <c r="I1225"/>
      <c r="J1225"/>
      <c r="K1225"/>
      <c r="L1225"/>
    </row>
    <row r="1226" spans="8:12">
      <c r="H1226"/>
      <c r="I1226"/>
      <c r="J1226"/>
      <c r="K1226"/>
      <c r="L1226"/>
    </row>
    <row r="1227" spans="8:12">
      <c r="H1227"/>
      <c r="I1227"/>
      <c r="J1227"/>
      <c r="K1227"/>
      <c r="L1227"/>
    </row>
    <row r="1228" spans="8:12">
      <c r="H1228"/>
      <c r="I1228"/>
      <c r="J1228"/>
      <c r="K1228"/>
      <c r="L1228"/>
    </row>
    <row r="1229" spans="8:12">
      <c r="H1229"/>
      <c r="I1229"/>
      <c r="J1229"/>
      <c r="K1229"/>
      <c r="L1229"/>
    </row>
    <row r="1230" spans="8:12">
      <c r="H1230"/>
      <c r="I1230"/>
      <c r="J1230"/>
      <c r="K1230"/>
      <c r="L1230"/>
    </row>
    <row r="1231" spans="8:12">
      <c r="H1231"/>
      <c r="I1231"/>
      <c r="J1231"/>
      <c r="K1231"/>
      <c r="L1231"/>
    </row>
    <row r="1232" spans="8:12">
      <c r="H1232"/>
      <c r="I1232"/>
      <c r="J1232"/>
      <c r="K1232"/>
      <c r="L1232"/>
    </row>
    <row r="1233" spans="8:12">
      <c r="H1233"/>
      <c r="I1233"/>
      <c r="J1233"/>
      <c r="K1233"/>
      <c r="L1233"/>
    </row>
    <row r="1234" spans="8:12">
      <c r="H1234"/>
      <c r="I1234"/>
      <c r="J1234"/>
      <c r="K1234"/>
      <c r="L1234"/>
    </row>
    <row r="1235" spans="8:12">
      <c r="H1235"/>
      <c r="I1235"/>
      <c r="J1235"/>
      <c r="K1235"/>
      <c r="L1235"/>
    </row>
    <row r="1236" spans="8:12">
      <c r="H1236"/>
      <c r="I1236"/>
      <c r="J1236"/>
      <c r="K1236"/>
      <c r="L1236"/>
    </row>
    <row r="1237" spans="8:12">
      <c r="H1237"/>
      <c r="I1237"/>
      <c r="J1237"/>
      <c r="K1237"/>
      <c r="L1237"/>
    </row>
    <row r="1238" spans="8:12">
      <c r="H1238"/>
      <c r="I1238"/>
      <c r="J1238"/>
      <c r="K1238"/>
      <c r="L1238"/>
    </row>
    <row r="1239" spans="8:12">
      <c r="H1239"/>
      <c r="I1239"/>
      <c r="J1239"/>
      <c r="K1239"/>
      <c r="L1239"/>
    </row>
    <row r="1240" spans="8:12">
      <c r="H1240"/>
      <c r="I1240"/>
      <c r="J1240"/>
      <c r="K1240"/>
      <c r="L1240"/>
    </row>
    <row r="1241" spans="8:12">
      <c r="H1241"/>
      <c r="I1241"/>
      <c r="J1241"/>
      <c r="K1241"/>
      <c r="L1241"/>
    </row>
    <row r="1242" spans="8:12">
      <c r="H1242"/>
      <c r="I1242"/>
      <c r="J1242"/>
      <c r="K1242"/>
      <c r="L1242"/>
    </row>
    <row r="1243" spans="8:12">
      <c r="H1243"/>
      <c r="I1243"/>
      <c r="J1243"/>
      <c r="K1243"/>
      <c r="L1243"/>
    </row>
    <row r="1244" spans="8:12">
      <c r="H1244"/>
      <c r="I1244"/>
      <c r="J1244"/>
      <c r="K1244"/>
      <c r="L1244"/>
    </row>
    <row r="1245" spans="8:12">
      <c r="H1245"/>
      <c r="I1245"/>
      <c r="J1245"/>
      <c r="K1245"/>
      <c r="L1245"/>
    </row>
    <row r="1246" spans="8:12">
      <c r="H1246"/>
      <c r="I1246"/>
      <c r="J1246"/>
      <c r="K1246"/>
      <c r="L1246"/>
    </row>
    <row r="1247" spans="8:12">
      <c r="H1247"/>
      <c r="I1247"/>
      <c r="J1247"/>
      <c r="K1247"/>
      <c r="L1247"/>
    </row>
    <row r="1248" spans="8:12">
      <c r="H1248"/>
      <c r="I1248"/>
      <c r="J1248"/>
      <c r="K1248"/>
      <c r="L1248"/>
    </row>
    <row r="1249" spans="8:12">
      <c r="H1249"/>
      <c r="I1249"/>
      <c r="J1249"/>
      <c r="K1249"/>
      <c r="L1249"/>
    </row>
    <row r="1250" spans="8:12">
      <c r="H1250"/>
      <c r="I1250"/>
      <c r="J1250"/>
      <c r="K1250"/>
      <c r="L1250"/>
    </row>
    <row r="1251" spans="8:12">
      <c r="H1251"/>
      <c r="I1251"/>
      <c r="J1251"/>
      <c r="K1251"/>
      <c r="L1251"/>
    </row>
    <row r="1252" spans="8:12">
      <c r="H1252"/>
      <c r="I1252"/>
      <c r="J1252"/>
      <c r="K1252"/>
      <c r="L1252"/>
    </row>
    <row r="1253" spans="8:12">
      <c r="H1253"/>
      <c r="I1253"/>
      <c r="J1253"/>
      <c r="K1253"/>
      <c r="L1253"/>
    </row>
    <row r="1254" spans="8:12">
      <c r="H1254"/>
      <c r="I1254"/>
      <c r="J1254"/>
      <c r="K1254"/>
      <c r="L1254"/>
    </row>
    <row r="1255" spans="8:12">
      <c r="H1255"/>
      <c r="I1255"/>
      <c r="J1255"/>
      <c r="K1255"/>
      <c r="L1255"/>
    </row>
    <row r="1256" spans="8:12">
      <c r="H1256"/>
      <c r="I1256"/>
      <c r="J1256"/>
      <c r="K1256"/>
      <c r="L1256"/>
    </row>
    <row r="1257" spans="8:12">
      <c r="H1257"/>
      <c r="I1257"/>
      <c r="J1257"/>
      <c r="K1257"/>
      <c r="L1257"/>
    </row>
    <row r="1258" spans="8:12">
      <c r="H1258"/>
      <c r="I1258"/>
      <c r="J1258"/>
      <c r="K1258"/>
      <c r="L1258"/>
    </row>
    <row r="1259" spans="8:12">
      <c r="H1259"/>
      <c r="I1259"/>
      <c r="J1259"/>
      <c r="K1259"/>
      <c r="L1259"/>
    </row>
    <row r="1260" spans="8:12">
      <c r="H1260"/>
      <c r="I1260"/>
      <c r="J1260"/>
      <c r="K1260"/>
      <c r="L1260"/>
    </row>
    <row r="1261" spans="8:12">
      <c r="H1261"/>
      <c r="I1261"/>
      <c r="J1261"/>
      <c r="K1261"/>
      <c r="L1261"/>
    </row>
    <row r="1262" spans="8:12">
      <c r="H1262"/>
      <c r="I1262"/>
      <c r="J1262"/>
      <c r="K1262"/>
      <c r="L1262"/>
    </row>
    <row r="1263" spans="8:12">
      <c r="H1263"/>
      <c r="I1263"/>
      <c r="J1263"/>
      <c r="K1263"/>
      <c r="L1263"/>
    </row>
    <row r="1264" spans="8:12">
      <c r="H1264"/>
      <c r="I1264"/>
      <c r="J1264"/>
      <c r="K1264"/>
      <c r="L1264"/>
    </row>
    <row r="1265" spans="8:12">
      <c r="H1265"/>
      <c r="I1265"/>
      <c r="J1265"/>
      <c r="K1265"/>
      <c r="L1265"/>
    </row>
    <row r="1266" spans="8:12">
      <c r="H1266"/>
      <c r="I1266"/>
      <c r="J1266"/>
      <c r="K1266"/>
      <c r="L1266"/>
    </row>
    <row r="1267" spans="8:12">
      <c r="H1267"/>
      <c r="I1267"/>
      <c r="J1267"/>
      <c r="K1267"/>
      <c r="L1267"/>
    </row>
    <row r="1268" spans="8:12">
      <c r="H1268"/>
      <c r="I1268"/>
      <c r="J1268"/>
      <c r="K1268"/>
      <c r="L1268"/>
    </row>
    <row r="1269" spans="8:12">
      <c r="H1269"/>
      <c r="I1269"/>
      <c r="J1269"/>
      <c r="K1269"/>
      <c r="L1269"/>
    </row>
    <row r="1270" spans="8:12">
      <c r="H1270"/>
      <c r="I1270"/>
      <c r="J1270"/>
      <c r="K1270"/>
      <c r="L1270"/>
    </row>
    <row r="1271" spans="8:12">
      <c r="H1271"/>
      <c r="I1271"/>
      <c r="J1271"/>
      <c r="K1271"/>
      <c r="L1271"/>
    </row>
    <row r="1272" spans="8:12">
      <c r="H1272"/>
      <c r="I1272"/>
      <c r="J1272"/>
      <c r="K1272"/>
      <c r="L1272"/>
    </row>
    <row r="1273" spans="8:12">
      <c r="H1273"/>
      <c r="I1273"/>
      <c r="J1273"/>
      <c r="K1273"/>
      <c r="L1273"/>
    </row>
    <row r="1274" spans="8:12">
      <c r="H1274"/>
      <c r="I1274"/>
      <c r="J1274"/>
      <c r="K1274"/>
      <c r="L1274"/>
    </row>
    <row r="1275" spans="8:12">
      <c r="H1275"/>
      <c r="I1275"/>
      <c r="J1275"/>
      <c r="K1275"/>
      <c r="L1275"/>
    </row>
    <row r="1276" spans="8:12">
      <c r="H1276"/>
      <c r="I1276"/>
      <c r="J1276"/>
      <c r="K1276"/>
      <c r="L1276"/>
    </row>
    <row r="1277" spans="8:12">
      <c r="H1277"/>
      <c r="I1277"/>
      <c r="J1277"/>
      <c r="K1277"/>
      <c r="L1277"/>
    </row>
    <row r="1278" spans="8:12">
      <c r="H1278"/>
      <c r="I1278"/>
      <c r="J1278"/>
      <c r="K1278"/>
      <c r="L1278"/>
    </row>
    <row r="1279" spans="8:12">
      <c r="H1279"/>
      <c r="I1279"/>
      <c r="J1279"/>
      <c r="K1279"/>
      <c r="L1279"/>
    </row>
    <row r="1280" spans="8:12">
      <c r="H1280"/>
      <c r="I1280"/>
      <c r="J1280"/>
      <c r="K1280"/>
      <c r="L1280"/>
    </row>
    <row r="1281" spans="8:12">
      <c r="H1281"/>
      <c r="I1281"/>
      <c r="J1281"/>
      <c r="K1281"/>
      <c r="L1281"/>
    </row>
    <row r="1282" spans="8:12">
      <c r="H1282"/>
      <c r="I1282"/>
      <c r="J1282"/>
      <c r="K1282"/>
      <c r="L1282"/>
    </row>
    <row r="1283" spans="8:12">
      <c r="H1283"/>
      <c r="I1283"/>
      <c r="J1283"/>
      <c r="K1283"/>
      <c r="L1283"/>
    </row>
    <row r="1284" spans="8:12">
      <c r="H1284"/>
      <c r="I1284"/>
      <c r="J1284"/>
      <c r="K1284"/>
      <c r="L1284"/>
    </row>
    <row r="1285" spans="8:12">
      <c r="H1285"/>
      <c r="I1285"/>
      <c r="J1285"/>
      <c r="K1285"/>
      <c r="L1285"/>
    </row>
    <row r="1286" spans="8:12">
      <c r="H1286"/>
      <c r="I1286"/>
      <c r="J1286"/>
      <c r="K1286"/>
      <c r="L1286"/>
    </row>
    <row r="1287" spans="8:12">
      <c r="H1287"/>
      <c r="I1287"/>
      <c r="J1287"/>
      <c r="K1287"/>
      <c r="L1287"/>
    </row>
    <row r="1288" spans="8:12">
      <c r="H1288"/>
      <c r="I1288"/>
      <c r="J1288"/>
      <c r="K1288"/>
      <c r="L1288"/>
    </row>
    <row r="1289" spans="8:12">
      <c r="H1289"/>
      <c r="I1289"/>
      <c r="J1289"/>
      <c r="K1289"/>
      <c r="L1289"/>
    </row>
    <row r="1290" spans="8:12">
      <c r="H1290"/>
      <c r="I1290"/>
      <c r="J1290"/>
      <c r="K1290"/>
      <c r="L1290"/>
    </row>
    <row r="1291" spans="8:12">
      <c r="H1291"/>
      <c r="I1291"/>
      <c r="J1291"/>
      <c r="K1291"/>
      <c r="L1291"/>
    </row>
    <row r="1292" spans="8:12">
      <c r="H1292"/>
      <c r="I1292"/>
      <c r="J1292"/>
      <c r="K1292"/>
      <c r="L1292"/>
    </row>
    <row r="1293" spans="8:12">
      <c r="H1293"/>
      <c r="I1293"/>
      <c r="J1293"/>
      <c r="K1293"/>
      <c r="L1293"/>
    </row>
    <row r="1294" spans="8:12">
      <c r="H1294"/>
      <c r="I1294"/>
      <c r="J1294"/>
      <c r="K1294"/>
      <c r="L1294"/>
    </row>
    <row r="1295" spans="8:12">
      <c r="H1295"/>
      <c r="I1295"/>
      <c r="J1295"/>
      <c r="K1295"/>
      <c r="L1295"/>
    </row>
    <row r="1296" spans="8:12">
      <c r="H1296"/>
      <c r="I1296"/>
      <c r="J1296"/>
      <c r="K1296"/>
      <c r="L1296"/>
    </row>
    <row r="1297" spans="8:12">
      <c r="H1297"/>
      <c r="I1297"/>
      <c r="J1297"/>
      <c r="K1297"/>
      <c r="L1297"/>
    </row>
    <row r="1298" spans="8:12">
      <c r="H1298"/>
      <c r="I1298"/>
      <c r="J1298"/>
      <c r="K1298"/>
      <c r="L1298"/>
    </row>
    <row r="1299" spans="8:12">
      <c r="H1299"/>
      <c r="I1299"/>
      <c r="J1299"/>
      <c r="K1299"/>
      <c r="L1299"/>
    </row>
    <row r="1300" spans="8:12">
      <c r="H1300"/>
      <c r="I1300"/>
      <c r="J1300"/>
      <c r="K1300"/>
      <c r="L1300"/>
    </row>
    <row r="1301" spans="8:12">
      <c r="H1301"/>
      <c r="I1301"/>
      <c r="J1301"/>
      <c r="K1301"/>
      <c r="L1301"/>
    </row>
    <row r="1302" spans="8:12">
      <c r="H1302"/>
      <c r="I1302"/>
      <c r="J1302"/>
      <c r="K1302"/>
      <c r="L1302"/>
    </row>
    <row r="1303" spans="8:12">
      <c r="H1303"/>
      <c r="I1303"/>
      <c r="J1303"/>
      <c r="K1303"/>
      <c r="L1303"/>
    </row>
    <row r="1304" spans="8:12">
      <c r="H1304"/>
      <c r="I1304"/>
      <c r="J1304"/>
      <c r="K1304"/>
      <c r="L1304"/>
    </row>
    <row r="1305" spans="8:12">
      <c r="H1305"/>
      <c r="I1305"/>
      <c r="J1305"/>
      <c r="K1305"/>
      <c r="L1305"/>
    </row>
    <row r="1306" spans="8:12">
      <c r="H1306"/>
      <c r="I1306"/>
      <c r="J1306"/>
      <c r="K1306"/>
      <c r="L1306"/>
    </row>
    <row r="1307" spans="8:12">
      <c r="H1307"/>
      <c r="I1307"/>
      <c r="J1307"/>
      <c r="K1307"/>
      <c r="L1307"/>
    </row>
    <row r="1308" spans="8:12">
      <c r="H1308"/>
      <c r="I1308"/>
      <c r="J1308"/>
      <c r="K1308"/>
      <c r="L1308"/>
    </row>
    <row r="1309" spans="8:12">
      <c r="H1309"/>
      <c r="I1309"/>
      <c r="J1309"/>
      <c r="K1309"/>
      <c r="L1309"/>
    </row>
    <row r="1310" spans="8:12">
      <c r="H1310"/>
      <c r="I1310"/>
      <c r="J1310"/>
      <c r="K1310"/>
      <c r="L1310"/>
    </row>
    <row r="1311" spans="8:12">
      <c r="H1311"/>
      <c r="I1311"/>
      <c r="J1311"/>
      <c r="K1311"/>
      <c r="L1311"/>
    </row>
    <row r="1312" spans="8:12">
      <c r="H1312"/>
      <c r="I1312"/>
      <c r="J1312"/>
      <c r="K1312"/>
      <c r="L1312"/>
    </row>
    <row r="1313" spans="8:12">
      <c r="H1313"/>
      <c r="I1313"/>
      <c r="J1313"/>
      <c r="K1313"/>
      <c r="L1313"/>
    </row>
    <row r="1314" spans="8:12">
      <c r="H1314"/>
      <c r="I1314"/>
      <c r="J1314"/>
      <c r="K1314"/>
      <c r="L1314"/>
    </row>
    <row r="1315" spans="8:12">
      <c r="H1315"/>
      <c r="I1315"/>
      <c r="J1315"/>
      <c r="K1315"/>
      <c r="L1315"/>
    </row>
    <row r="1316" spans="8:12">
      <c r="H1316"/>
      <c r="I1316"/>
      <c r="J1316"/>
      <c r="K1316"/>
      <c r="L1316"/>
    </row>
    <row r="1317" spans="8:12">
      <c r="H1317"/>
      <c r="I1317"/>
      <c r="J1317"/>
      <c r="K1317"/>
      <c r="L1317"/>
    </row>
    <row r="1318" spans="8:12">
      <c r="H1318"/>
      <c r="I1318"/>
      <c r="J1318"/>
      <c r="K1318"/>
      <c r="L1318"/>
    </row>
    <row r="1319" spans="8:12">
      <c r="H1319"/>
      <c r="I1319"/>
      <c r="J1319"/>
      <c r="K1319"/>
      <c r="L1319"/>
    </row>
    <row r="1320" spans="8:12">
      <c r="H1320"/>
      <c r="I1320"/>
      <c r="J1320"/>
      <c r="K1320"/>
      <c r="L1320"/>
    </row>
    <row r="1321" spans="8:12">
      <c r="H1321"/>
      <c r="I1321"/>
      <c r="J1321"/>
      <c r="K1321"/>
      <c r="L1321"/>
    </row>
    <row r="1322" spans="8:12">
      <c r="H1322"/>
      <c r="I1322"/>
      <c r="J1322"/>
      <c r="K1322"/>
      <c r="L1322"/>
    </row>
    <row r="1323" spans="8:12">
      <c r="H1323"/>
      <c r="I1323"/>
      <c r="J1323"/>
      <c r="K1323"/>
      <c r="L1323"/>
    </row>
    <row r="1324" spans="8:12">
      <c r="H1324"/>
      <c r="I1324"/>
      <c r="J1324"/>
      <c r="K1324"/>
      <c r="L1324"/>
    </row>
    <row r="1325" spans="8:12">
      <c r="H1325"/>
      <c r="I1325"/>
      <c r="J1325"/>
      <c r="K1325"/>
      <c r="L1325"/>
    </row>
    <row r="1326" spans="8:12">
      <c r="H1326"/>
      <c r="I1326"/>
      <c r="J1326"/>
      <c r="K1326"/>
      <c r="L1326"/>
    </row>
    <row r="1327" spans="8:12">
      <c r="H1327"/>
      <c r="I1327"/>
      <c r="J1327"/>
      <c r="K1327"/>
      <c r="L1327"/>
    </row>
    <row r="1328" spans="8:12">
      <c r="H1328"/>
      <c r="I1328"/>
      <c r="J1328"/>
      <c r="K1328"/>
      <c r="L1328"/>
    </row>
    <row r="1329" spans="8:12">
      <c r="H1329"/>
      <c r="I1329"/>
      <c r="J1329"/>
      <c r="K1329"/>
      <c r="L1329"/>
    </row>
    <row r="1330" spans="8:12">
      <c r="H1330"/>
      <c r="I1330"/>
      <c r="J1330"/>
      <c r="K1330"/>
      <c r="L1330"/>
    </row>
    <row r="1331" spans="8:12">
      <c r="H1331"/>
      <c r="I1331"/>
      <c r="J1331"/>
      <c r="K1331"/>
      <c r="L1331"/>
    </row>
    <row r="1332" spans="8:12">
      <c r="H1332"/>
      <c r="I1332"/>
      <c r="J1332"/>
      <c r="K1332"/>
      <c r="L1332"/>
    </row>
    <row r="1333" spans="8:12">
      <c r="H1333"/>
      <c r="I1333"/>
      <c r="J1333"/>
      <c r="K1333"/>
      <c r="L1333"/>
    </row>
    <row r="1334" spans="8:12">
      <c r="H1334"/>
      <c r="I1334"/>
      <c r="J1334"/>
      <c r="K1334"/>
      <c r="L1334"/>
    </row>
    <row r="1335" spans="8:12">
      <c r="H1335"/>
      <c r="I1335"/>
      <c r="J1335"/>
      <c r="K1335"/>
      <c r="L1335"/>
    </row>
    <row r="1336" spans="8:12">
      <c r="H1336"/>
      <c r="I1336"/>
      <c r="J1336"/>
      <c r="K1336"/>
      <c r="L1336"/>
    </row>
    <row r="1337" spans="8:12">
      <c r="H1337"/>
      <c r="I1337"/>
      <c r="J1337"/>
      <c r="K1337"/>
      <c r="L1337"/>
    </row>
    <row r="1338" spans="8:12">
      <c r="H1338"/>
      <c r="I1338"/>
      <c r="J1338"/>
      <c r="K1338"/>
      <c r="L1338"/>
    </row>
    <row r="1339" spans="8:12">
      <c r="H1339"/>
      <c r="I1339"/>
      <c r="J1339"/>
      <c r="K1339"/>
      <c r="L1339"/>
    </row>
    <row r="1340" spans="8:12">
      <c r="H1340"/>
      <c r="I1340"/>
      <c r="J1340"/>
      <c r="K1340"/>
      <c r="L1340"/>
    </row>
    <row r="1341" spans="8:12">
      <c r="H1341"/>
      <c r="I1341"/>
      <c r="J1341"/>
      <c r="K1341"/>
      <c r="L1341"/>
    </row>
    <row r="1342" spans="8:12">
      <c r="H1342"/>
      <c r="I1342"/>
      <c r="J1342"/>
      <c r="K1342"/>
      <c r="L1342"/>
    </row>
    <row r="1343" spans="8:12">
      <c r="H1343"/>
      <c r="I1343"/>
      <c r="J1343"/>
      <c r="K1343"/>
      <c r="L1343"/>
    </row>
    <row r="1344" spans="8:12">
      <c r="H1344"/>
      <c r="I1344"/>
      <c r="J1344"/>
      <c r="K1344"/>
      <c r="L1344"/>
    </row>
    <row r="1345" spans="8:12">
      <c r="H1345"/>
      <c r="I1345"/>
      <c r="J1345"/>
      <c r="K1345"/>
      <c r="L1345"/>
    </row>
    <row r="1346" spans="8:12">
      <c r="H1346"/>
      <c r="I1346"/>
      <c r="J1346"/>
      <c r="K1346"/>
      <c r="L1346"/>
    </row>
    <row r="1347" spans="8:12">
      <c r="H1347"/>
      <c r="I1347"/>
      <c r="J1347"/>
      <c r="K1347"/>
      <c r="L1347"/>
    </row>
    <row r="1348" spans="8:12">
      <c r="H1348"/>
      <c r="I1348"/>
      <c r="J1348"/>
      <c r="K1348"/>
      <c r="L1348"/>
    </row>
    <row r="1349" spans="8:12">
      <c r="H1349"/>
      <c r="I1349"/>
      <c r="J1349"/>
      <c r="K1349"/>
      <c r="L1349"/>
    </row>
    <row r="1350" spans="8:12">
      <c r="H1350"/>
      <c r="I1350"/>
      <c r="J1350"/>
      <c r="K1350"/>
      <c r="L1350"/>
    </row>
    <row r="1351" spans="8:12">
      <c r="H1351"/>
      <c r="I1351"/>
      <c r="J1351"/>
      <c r="K1351"/>
      <c r="L1351"/>
    </row>
    <row r="1352" spans="8:12">
      <c r="H1352"/>
      <c r="I1352"/>
      <c r="J1352"/>
      <c r="K1352"/>
      <c r="L1352"/>
    </row>
    <row r="1353" spans="8:12">
      <c r="H1353"/>
      <c r="I1353"/>
      <c r="J1353"/>
      <c r="K1353"/>
      <c r="L1353"/>
    </row>
    <row r="1354" spans="8:12">
      <c r="H1354"/>
      <c r="I1354"/>
      <c r="J1354"/>
      <c r="K1354"/>
      <c r="L1354"/>
    </row>
    <row r="1355" spans="8:12">
      <c r="H1355"/>
      <c r="I1355"/>
      <c r="J1355"/>
      <c r="K1355"/>
      <c r="L1355"/>
    </row>
    <row r="1356" spans="8:12">
      <c r="H1356"/>
      <c r="I1356"/>
      <c r="J1356"/>
      <c r="K1356"/>
      <c r="L1356"/>
    </row>
    <row r="1357" spans="8:12">
      <c r="H1357"/>
      <c r="I1357"/>
      <c r="J1357"/>
      <c r="K1357"/>
      <c r="L1357"/>
    </row>
    <row r="1358" spans="8:12">
      <c r="H1358"/>
      <c r="I1358"/>
      <c r="J1358"/>
      <c r="K1358"/>
      <c r="L1358"/>
    </row>
    <row r="1359" spans="8:12">
      <c r="H1359"/>
      <c r="I1359"/>
      <c r="J1359"/>
      <c r="K1359"/>
      <c r="L1359"/>
    </row>
    <row r="1360" spans="8:12">
      <c r="H1360"/>
      <c r="I1360"/>
      <c r="J1360"/>
      <c r="K1360"/>
      <c r="L1360"/>
    </row>
    <row r="1361" spans="8:12">
      <c r="H1361"/>
      <c r="I1361"/>
      <c r="J1361"/>
      <c r="K1361"/>
      <c r="L1361"/>
    </row>
    <row r="1362" spans="8:12">
      <c r="H1362"/>
      <c r="I1362"/>
      <c r="J1362"/>
      <c r="K1362"/>
      <c r="L1362"/>
    </row>
    <row r="1363" spans="8:12">
      <c r="H1363"/>
      <c r="I1363"/>
      <c r="J1363"/>
      <c r="K1363"/>
      <c r="L1363"/>
    </row>
    <row r="1364" spans="8:12">
      <c r="H1364"/>
      <c r="I1364"/>
      <c r="J1364"/>
      <c r="K1364"/>
      <c r="L1364"/>
    </row>
    <row r="1365" spans="8:12">
      <c r="H1365"/>
      <c r="I1365"/>
      <c r="J1365"/>
      <c r="K1365"/>
      <c r="L1365"/>
    </row>
    <row r="1366" spans="8:12">
      <c r="H1366"/>
      <c r="I1366"/>
      <c r="J1366"/>
      <c r="K1366"/>
      <c r="L1366"/>
    </row>
    <row r="1367" spans="8:12">
      <c r="H1367"/>
      <c r="I1367"/>
      <c r="J1367"/>
      <c r="K1367"/>
      <c r="L1367"/>
    </row>
    <row r="1368" spans="8:12">
      <c r="H1368"/>
      <c r="I1368"/>
      <c r="J1368"/>
      <c r="K1368"/>
      <c r="L1368"/>
    </row>
    <row r="1369" spans="8:12">
      <c r="H1369"/>
      <c r="I1369"/>
      <c r="J1369"/>
      <c r="K1369"/>
      <c r="L1369"/>
    </row>
    <row r="1370" spans="8:12">
      <c r="H1370"/>
      <c r="I1370"/>
      <c r="J1370"/>
      <c r="K1370"/>
      <c r="L1370"/>
    </row>
    <row r="1371" spans="8:12">
      <c r="H1371"/>
      <c r="I1371"/>
      <c r="J1371"/>
      <c r="K1371"/>
      <c r="L1371"/>
    </row>
    <row r="1372" spans="8:12">
      <c r="H1372"/>
      <c r="I1372"/>
      <c r="J1372"/>
      <c r="K1372"/>
      <c r="L1372"/>
    </row>
    <row r="1373" spans="8:12">
      <c r="H1373"/>
      <c r="I1373"/>
      <c r="J1373"/>
      <c r="K1373"/>
      <c r="L1373"/>
    </row>
    <row r="1374" spans="8:12">
      <c r="H1374"/>
      <c r="I1374"/>
      <c r="J1374"/>
      <c r="K1374"/>
      <c r="L1374"/>
    </row>
    <row r="1375" spans="8:12">
      <c r="H1375"/>
      <c r="I1375"/>
      <c r="J1375"/>
      <c r="K1375"/>
      <c r="L1375"/>
    </row>
    <row r="1376" spans="8:12">
      <c r="H1376"/>
      <c r="I1376"/>
      <c r="J1376"/>
      <c r="K1376"/>
      <c r="L1376"/>
    </row>
    <row r="1377" spans="8:12">
      <c r="H1377"/>
      <c r="I1377"/>
      <c r="J1377"/>
      <c r="K1377"/>
      <c r="L1377"/>
    </row>
    <row r="1378" spans="8:12">
      <c r="H1378"/>
      <c r="I1378"/>
      <c r="J1378"/>
      <c r="K1378"/>
      <c r="L1378"/>
    </row>
    <row r="1379" spans="8:12">
      <c r="H1379"/>
      <c r="I1379"/>
      <c r="J1379"/>
      <c r="K1379"/>
      <c r="L1379"/>
    </row>
    <row r="1380" spans="8:12">
      <c r="H1380"/>
      <c r="I1380"/>
      <c r="J1380"/>
      <c r="K1380"/>
      <c r="L1380"/>
    </row>
    <row r="1381" spans="8:12">
      <c r="H1381"/>
      <c r="I1381"/>
      <c r="J1381"/>
      <c r="K1381"/>
      <c r="L1381"/>
    </row>
    <row r="1382" spans="8:12">
      <c r="H1382"/>
      <c r="I1382"/>
      <c r="J1382"/>
      <c r="K1382"/>
      <c r="L1382"/>
    </row>
    <row r="1383" spans="8:12">
      <c r="H1383"/>
      <c r="I1383"/>
      <c r="J1383"/>
      <c r="K1383"/>
      <c r="L1383"/>
    </row>
    <row r="1384" spans="8:12">
      <c r="H1384"/>
      <c r="I1384"/>
      <c r="J1384"/>
      <c r="K1384"/>
      <c r="L1384"/>
    </row>
    <row r="1385" spans="8:12">
      <c r="H1385"/>
      <c r="I1385"/>
      <c r="J1385"/>
      <c r="K1385"/>
      <c r="L1385"/>
    </row>
    <row r="1386" spans="8:12">
      <c r="H1386"/>
      <c r="I1386"/>
      <c r="J1386"/>
      <c r="K1386"/>
      <c r="L1386"/>
    </row>
    <row r="1387" spans="8:12">
      <c r="H1387"/>
      <c r="I1387"/>
      <c r="J1387"/>
      <c r="K1387"/>
      <c r="L1387"/>
    </row>
    <row r="1388" spans="8:12">
      <c r="H1388"/>
      <c r="I1388"/>
      <c r="J1388"/>
      <c r="K1388"/>
      <c r="L1388"/>
    </row>
    <row r="1389" spans="8:12">
      <c r="H1389"/>
      <c r="I1389"/>
      <c r="J1389"/>
      <c r="K1389"/>
      <c r="L1389"/>
    </row>
    <row r="1390" spans="8:12">
      <c r="H1390"/>
      <c r="I1390"/>
      <c r="J1390"/>
      <c r="K1390"/>
      <c r="L1390"/>
    </row>
    <row r="1391" spans="8:12">
      <c r="H1391"/>
      <c r="I1391"/>
      <c r="J1391"/>
      <c r="K1391"/>
      <c r="L1391"/>
    </row>
    <row r="1392" spans="8:12">
      <c r="H1392"/>
      <c r="I1392"/>
      <c r="J1392"/>
      <c r="K1392"/>
      <c r="L1392"/>
    </row>
    <row r="1393" spans="8:12">
      <c r="H1393"/>
      <c r="I1393"/>
      <c r="J1393"/>
      <c r="K1393"/>
      <c r="L1393"/>
    </row>
    <row r="1394" spans="8:12">
      <c r="H1394"/>
      <c r="I1394"/>
      <c r="J1394"/>
      <c r="K1394"/>
      <c r="L1394"/>
    </row>
    <row r="1395" spans="8:12">
      <c r="H1395"/>
      <c r="I1395"/>
      <c r="J1395"/>
      <c r="K1395"/>
      <c r="L1395"/>
    </row>
    <row r="1396" spans="8:12">
      <c r="H1396"/>
      <c r="I1396"/>
      <c r="J1396"/>
      <c r="K1396"/>
      <c r="L1396"/>
    </row>
    <row r="1397" spans="8:12">
      <c r="H1397"/>
      <c r="I1397"/>
      <c r="J1397"/>
      <c r="K1397"/>
      <c r="L1397"/>
    </row>
    <row r="1398" spans="8:12">
      <c r="H1398"/>
      <c r="I1398"/>
      <c r="J1398"/>
      <c r="K1398"/>
      <c r="L1398"/>
    </row>
    <row r="1399" spans="8:12">
      <c r="H1399"/>
      <c r="I1399"/>
      <c r="J1399"/>
      <c r="K1399"/>
      <c r="L1399"/>
    </row>
    <row r="1400" spans="8:12">
      <c r="H1400"/>
      <c r="I1400"/>
      <c r="J1400"/>
      <c r="K1400"/>
      <c r="L1400"/>
    </row>
    <row r="1401" spans="8:12">
      <c r="H1401"/>
      <c r="I1401"/>
      <c r="J1401"/>
      <c r="K1401"/>
      <c r="L1401"/>
    </row>
    <row r="1402" spans="8:12">
      <c r="H1402"/>
      <c r="I1402"/>
      <c r="J1402"/>
      <c r="K1402"/>
      <c r="L1402"/>
    </row>
    <row r="1403" spans="8:12">
      <c r="H1403"/>
      <c r="I1403"/>
      <c r="J1403"/>
      <c r="K1403"/>
      <c r="L1403"/>
    </row>
    <row r="1404" spans="8:12">
      <c r="H1404"/>
      <c r="I1404"/>
      <c r="J1404"/>
      <c r="K1404"/>
      <c r="L1404"/>
    </row>
    <row r="1405" spans="8:12">
      <c r="H1405"/>
      <c r="I1405"/>
      <c r="J1405"/>
      <c r="K1405"/>
      <c r="L1405"/>
    </row>
    <row r="1406" spans="8:12">
      <c r="H1406"/>
      <c r="I1406"/>
      <c r="J1406"/>
      <c r="K1406"/>
      <c r="L1406"/>
    </row>
    <row r="1407" spans="8:12">
      <c r="H1407"/>
      <c r="I1407"/>
      <c r="J1407"/>
      <c r="K1407"/>
      <c r="L1407"/>
    </row>
    <row r="1408" spans="8:12">
      <c r="H1408"/>
      <c r="I1408"/>
      <c r="J1408"/>
      <c r="K1408"/>
      <c r="L1408"/>
    </row>
    <row r="1409" spans="8:12">
      <c r="H1409"/>
      <c r="I1409"/>
      <c r="J1409"/>
      <c r="K1409"/>
      <c r="L1409"/>
    </row>
    <row r="1410" spans="8:12">
      <c r="H1410"/>
      <c r="I1410"/>
      <c r="J1410"/>
      <c r="K1410"/>
      <c r="L1410"/>
    </row>
    <row r="1411" spans="8:12">
      <c r="H1411"/>
      <c r="I1411"/>
      <c r="J1411"/>
      <c r="K1411"/>
      <c r="L1411"/>
    </row>
    <row r="1412" spans="8:12">
      <c r="H1412"/>
      <c r="I1412"/>
      <c r="J1412"/>
      <c r="K1412"/>
      <c r="L1412"/>
    </row>
    <row r="1413" spans="8:12">
      <c r="H1413"/>
      <c r="I1413"/>
      <c r="J1413"/>
      <c r="K1413"/>
      <c r="L1413"/>
    </row>
    <row r="1414" spans="8:12">
      <c r="H1414"/>
      <c r="I1414"/>
      <c r="J1414"/>
      <c r="K1414"/>
      <c r="L1414"/>
    </row>
    <row r="1415" spans="8:12">
      <c r="H1415"/>
      <c r="I1415"/>
      <c r="J1415"/>
      <c r="K1415"/>
      <c r="L1415"/>
    </row>
    <row r="1416" spans="8:12">
      <c r="H1416"/>
      <c r="I1416"/>
      <c r="J1416"/>
      <c r="K1416"/>
      <c r="L1416"/>
    </row>
    <row r="1417" spans="8:12">
      <c r="H1417"/>
      <c r="I1417"/>
      <c r="J1417"/>
      <c r="K1417"/>
      <c r="L1417"/>
    </row>
    <row r="1418" spans="8:12">
      <c r="H1418"/>
      <c r="I1418"/>
      <c r="J1418"/>
      <c r="K1418"/>
      <c r="L1418"/>
    </row>
    <row r="1419" spans="8:12">
      <c r="H1419"/>
      <c r="I1419"/>
      <c r="J1419"/>
      <c r="K1419"/>
      <c r="L1419"/>
    </row>
    <row r="1420" spans="8:12">
      <c r="H1420"/>
      <c r="I1420"/>
      <c r="J1420"/>
      <c r="K1420"/>
      <c r="L1420"/>
    </row>
    <row r="1421" spans="8:12">
      <c r="H1421"/>
      <c r="I1421"/>
      <c r="J1421"/>
      <c r="K1421"/>
      <c r="L1421"/>
    </row>
    <row r="1422" spans="8:12">
      <c r="H1422"/>
      <c r="I1422"/>
      <c r="J1422"/>
      <c r="K1422"/>
      <c r="L1422"/>
    </row>
    <row r="1423" spans="8:12">
      <c r="H1423"/>
      <c r="I1423"/>
      <c r="J1423"/>
      <c r="K1423"/>
      <c r="L1423"/>
    </row>
    <row r="1424" spans="8:12">
      <c r="H1424"/>
      <c r="I1424"/>
      <c r="J1424"/>
      <c r="K1424"/>
      <c r="L1424"/>
    </row>
    <row r="1425" spans="8:12">
      <c r="H1425"/>
      <c r="I1425"/>
      <c r="J1425"/>
      <c r="K1425"/>
      <c r="L1425"/>
    </row>
    <row r="1426" spans="8:12">
      <c r="H1426"/>
      <c r="I1426"/>
      <c r="J1426"/>
      <c r="K1426"/>
      <c r="L1426"/>
    </row>
    <row r="1427" spans="8:12">
      <c r="H1427"/>
      <c r="I1427"/>
      <c r="J1427"/>
      <c r="K1427"/>
      <c r="L1427"/>
    </row>
    <row r="1428" spans="8:12">
      <c r="H1428"/>
      <c r="I1428"/>
      <c r="J1428"/>
      <c r="K1428"/>
      <c r="L1428"/>
    </row>
    <row r="1429" spans="8:12">
      <c r="H1429"/>
      <c r="I1429"/>
      <c r="J1429"/>
      <c r="K1429"/>
      <c r="L1429"/>
    </row>
    <row r="1430" spans="8:12">
      <c r="H1430"/>
      <c r="I1430"/>
      <c r="J1430"/>
      <c r="K1430"/>
      <c r="L1430"/>
    </row>
    <row r="1431" spans="8:12">
      <c r="H1431"/>
      <c r="I1431"/>
      <c r="J1431"/>
      <c r="K1431"/>
      <c r="L1431"/>
    </row>
    <row r="1432" spans="8:12">
      <c r="H1432"/>
      <c r="I1432"/>
      <c r="J1432"/>
      <c r="K1432"/>
      <c r="L1432"/>
    </row>
    <row r="1433" spans="8:12">
      <c r="H1433"/>
      <c r="I1433"/>
      <c r="J1433"/>
      <c r="K1433"/>
      <c r="L1433"/>
    </row>
    <row r="1434" spans="8:12">
      <c r="H1434"/>
      <c r="I1434"/>
      <c r="J1434"/>
      <c r="K1434"/>
      <c r="L1434"/>
    </row>
    <row r="1435" spans="8:12">
      <c r="H1435"/>
      <c r="I1435"/>
      <c r="J1435"/>
      <c r="K1435"/>
      <c r="L1435"/>
    </row>
    <row r="1436" spans="8:12">
      <c r="H1436"/>
      <c r="I1436"/>
      <c r="J1436"/>
      <c r="K1436"/>
      <c r="L1436"/>
    </row>
    <row r="1437" spans="8:12">
      <c r="H1437"/>
      <c r="I1437"/>
      <c r="J1437"/>
      <c r="K1437"/>
      <c r="L1437"/>
    </row>
    <row r="1438" spans="8:12">
      <c r="H1438"/>
      <c r="I1438"/>
      <c r="J1438"/>
      <c r="K1438"/>
      <c r="L1438"/>
    </row>
    <row r="1439" spans="8:12">
      <c r="H1439"/>
      <c r="I1439"/>
      <c r="J1439"/>
      <c r="K1439"/>
      <c r="L1439"/>
    </row>
    <row r="1440" spans="8:12">
      <c r="H1440"/>
      <c r="I1440"/>
      <c r="J1440"/>
      <c r="K1440"/>
      <c r="L1440"/>
    </row>
    <row r="1441" spans="8:12">
      <c r="H1441"/>
      <c r="I1441"/>
      <c r="J1441"/>
      <c r="K1441"/>
      <c r="L1441"/>
    </row>
    <row r="1442" spans="8:12">
      <c r="H1442"/>
      <c r="I1442"/>
      <c r="J1442"/>
      <c r="K1442"/>
      <c r="L1442"/>
    </row>
    <row r="1443" spans="8:12">
      <c r="H1443"/>
      <c r="I1443"/>
      <c r="J1443"/>
      <c r="K1443"/>
      <c r="L1443"/>
    </row>
    <row r="1444" spans="8:12">
      <c r="H1444"/>
      <c r="I1444"/>
      <c r="J1444"/>
      <c r="K1444"/>
      <c r="L1444"/>
    </row>
    <row r="1445" spans="8:12">
      <c r="H1445"/>
      <c r="I1445"/>
      <c r="J1445"/>
      <c r="K1445"/>
      <c r="L1445"/>
    </row>
    <row r="1446" spans="8:12">
      <c r="H1446"/>
      <c r="I1446"/>
      <c r="J1446"/>
      <c r="K1446"/>
      <c r="L1446"/>
    </row>
    <row r="1447" spans="8:12">
      <c r="H1447"/>
      <c r="I1447"/>
      <c r="J1447"/>
      <c r="K1447"/>
      <c r="L1447"/>
    </row>
    <row r="1448" spans="8:12">
      <c r="H1448"/>
      <c r="I1448"/>
      <c r="J1448"/>
      <c r="K1448"/>
      <c r="L1448"/>
    </row>
    <row r="1449" spans="8:12">
      <c r="H1449"/>
      <c r="I1449"/>
      <c r="J1449"/>
      <c r="K1449"/>
      <c r="L1449"/>
    </row>
    <row r="1450" spans="8:12">
      <c r="H1450"/>
      <c r="I1450"/>
      <c r="J1450"/>
      <c r="K1450"/>
      <c r="L1450"/>
    </row>
    <row r="1451" spans="8:12">
      <c r="H1451"/>
      <c r="I1451"/>
      <c r="J1451"/>
      <c r="K1451"/>
      <c r="L1451"/>
    </row>
    <row r="1452" spans="8:12">
      <c r="H1452"/>
      <c r="I1452"/>
      <c r="J1452"/>
      <c r="K1452"/>
      <c r="L1452"/>
    </row>
    <row r="1453" spans="8:12">
      <c r="H1453"/>
      <c r="I1453"/>
      <c r="J1453"/>
      <c r="K1453"/>
      <c r="L1453"/>
    </row>
    <row r="1454" spans="8:12">
      <c r="H1454"/>
      <c r="I1454"/>
      <c r="J1454"/>
      <c r="K1454"/>
      <c r="L1454"/>
    </row>
    <row r="1455" spans="8:12">
      <c r="H1455"/>
      <c r="I1455"/>
      <c r="J1455"/>
      <c r="K1455"/>
      <c r="L1455"/>
    </row>
    <row r="1456" spans="8:12">
      <c r="H1456"/>
      <c r="I1456"/>
      <c r="J1456"/>
      <c r="K1456"/>
      <c r="L1456"/>
    </row>
    <row r="1457" spans="8:12">
      <c r="H1457"/>
      <c r="I1457"/>
      <c r="J1457"/>
      <c r="K1457"/>
      <c r="L1457"/>
    </row>
    <row r="1458" spans="8:12">
      <c r="H1458"/>
      <c r="I1458"/>
      <c r="J1458"/>
      <c r="K1458"/>
      <c r="L1458"/>
    </row>
    <row r="1459" spans="8:12">
      <c r="H1459"/>
      <c r="I1459"/>
      <c r="J1459"/>
      <c r="K1459"/>
      <c r="L1459"/>
    </row>
    <row r="1460" spans="8:12">
      <c r="H1460"/>
      <c r="I1460"/>
      <c r="J1460"/>
      <c r="K1460"/>
      <c r="L1460"/>
    </row>
    <row r="1461" spans="8:12">
      <c r="H1461"/>
      <c r="I1461"/>
      <c r="J1461"/>
      <c r="K1461"/>
      <c r="L1461"/>
    </row>
    <row r="1462" spans="8:12">
      <c r="H1462"/>
      <c r="I1462"/>
      <c r="J1462"/>
      <c r="K1462"/>
      <c r="L1462"/>
    </row>
    <row r="1463" spans="8:12">
      <c r="H1463"/>
      <c r="I1463"/>
      <c r="J1463"/>
      <c r="K1463"/>
      <c r="L1463"/>
    </row>
    <row r="1464" spans="8:12">
      <c r="H1464"/>
      <c r="I1464"/>
      <c r="J1464"/>
      <c r="K1464"/>
      <c r="L1464"/>
    </row>
    <row r="1465" spans="8:12">
      <c r="H1465"/>
      <c r="I1465"/>
      <c r="J1465"/>
      <c r="K1465"/>
      <c r="L1465"/>
    </row>
    <row r="1466" spans="8:12">
      <c r="H1466"/>
      <c r="I1466"/>
      <c r="J1466"/>
      <c r="K1466"/>
      <c r="L1466"/>
    </row>
    <row r="1467" spans="8:12">
      <c r="H1467"/>
      <c r="I1467"/>
      <c r="J1467"/>
      <c r="K1467"/>
      <c r="L1467"/>
    </row>
    <row r="1468" spans="8:12">
      <c r="H1468"/>
      <c r="I1468"/>
      <c r="J1468"/>
      <c r="K1468"/>
      <c r="L1468"/>
    </row>
    <row r="1469" spans="8:12">
      <c r="H1469"/>
      <c r="I1469"/>
      <c r="J1469"/>
      <c r="K1469"/>
      <c r="L1469"/>
    </row>
    <row r="1470" spans="8:12">
      <c r="H1470"/>
      <c r="I1470"/>
      <c r="J1470"/>
      <c r="K1470"/>
      <c r="L1470"/>
    </row>
    <row r="1471" spans="8:12">
      <c r="H1471"/>
      <c r="I1471"/>
      <c r="J1471"/>
      <c r="K1471"/>
      <c r="L1471"/>
    </row>
    <row r="1472" spans="8:12">
      <c r="H1472"/>
      <c r="I1472"/>
      <c r="J1472"/>
      <c r="K1472"/>
      <c r="L1472"/>
    </row>
    <row r="1473" spans="8:12">
      <c r="H1473"/>
      <c r="I1473"/>
      <c r="J1473"/>
      <c r="K1473"/>
      <c r="L1473"/>
    </row>
    <row r="1474" spans="8:12">
      <c r="H1474"/>
      <c r="I1474"/>
      <c r="J1474"/>
      <c r="K1474"/>
      <c r="L1474"/>
    </row>
    <row r="1475" spans="8:12">
      <c r="H1475"/>
      <c r="I1475"/>
      <c r="J1475"/>
      <c r="K1475"/>
      <c r="L1475"/>
    </row>
    <row r="1476" spans="8:12">
      <c r="H1476"/>
      <c r="I1476"/>
      <c r="J1476"/>
      <c r="K1476"/>
      <c r="L1476"/>
    </row>
    <row r="1477" spans="8:12">
      <c r="H1477"/>
      <c r="I1477"/>
      <c r="J1477"/>
      <c r="K1477"/>
      <c r="L1477"/>
    </row>
    <row r="1478" spans="8:12">
      <c r="H1478"/>
      <c r="I1478"/>
      <c r="J1478"/>
      <c r="K1478"/>
      <c r="L1478"/>
    </row>
    <row r="1479" spans="8:12">
      <c r="H1479"/>
      <c r="I1479"/>
      <c r="J1479"/>
      <c r="K1479"/>
      <c r="L1479"/>
    </row>
    <row r="1480" spans="8:12">
      <c r="H1480"/>
      <c r="I1480"/>
      <c r="J1480"/>
      <c r="K1480"/>
      <c r="L1480"/>
    </row>
    <row r="1481" spans="8:12">
      <c r="H1481"/>
      <c r="I1481"/>
      <c r="J1481"/>
      <c r="K1481"/>
      <c r="L1481"/>
    </row>
    <row r="1482" spans="8:12">
      <c r="H1482"/>
      <c r="I1482"/>
      <c r="J1482"/>
      <c r="K1482"/>
      <c r="L1482"/>
    </row>
    <row r="1483" spans="8:12">
      <c r="H1483"/>
      <c r="I1483"/>
      <c r="J1483"/>
      <c r="K1483"/>
      <c r="L1483"/>
    </row>
    <row r="1484" spans="8:12">
      <c r="H1484"/>
      <c r="I1484"/>
      <c r="J1484"/>
      <c r="K1484"/>
      <c r="L1484"/>
    </row>
    <row r="1485" spans="8:12">
      <c r="H1485"/>
      <c r="I1485"/>
      <c r="J1485"/>
      <c r="K1485"/>
      <c r="L1485"/>
    </row>
    <row r="1486" spans="8:12">
      <c r="H1486"/>
      <c r="I1486"/>
      <c r="J1486"/>
      <c r="K1486"/>
      <c r="L1486"/>
    </row>
    <row r="1487" spans="8:12">
      <c r="H1487"/>
      <c r="I1487"/>
      <c r="J1487"/>
      <c r="K1487"/>
      <c r="L1487"/>
    </row>
    <row r="1488" spans="8:12">
      <c r="H1488"/>
      <c r="I1488"/>
      <c r="J1488"/>
      <c r="K1488"/>
      <c r="L1488"/>
    </row>
    <row r="1489" spans="8:12">
      <c r="H1489"/>
      <c r="I1489"/>
      <c r="J1489"/>
      <c r="K1489"/>
      <c r="L1489"/>
    </row>
    <row r="1490" spans="8:12">
      <c r="H1490"/>
      <c r="I1490"/>
      <c r="J1490"/>
      <c r="K1490"/>
      <c r="L1490"/>
    </row>
    <row r="1491" spans="8:12">
      <c r="H1491"/>
      <c r="I1491"/>
      <c r="J1491"/>
      <c r="K1491"/>
      <c r="L1491"/>
    </row>
    <row r="1492" spans="8:12">
      <c r="H1492"/>
      <c r="I1492"/>
      <c r="J1492"/>
      <c r="K1492"/>
      <c r="L1492"/>
    </row>
    <row r="1493" spans="8:12">
      <c r="H1493"/>
      <c r="I1493"/>
      <c r="J1493"/>
      <c r="K1493"/>
      <c r="L1493"/>
    </row>
    <row r="1494" spans="8:12">
      <c r="H1494"/>
      <c r="I1494"/>
      <c r="J1494"/>
      <c r="K1494"/>
      <c r="L1494"/>
    </row>
    <row r="1495" spans="8:12">
      <c r="H1495"/>
      <c r="I1495"/>
      <c r="J1495"/>
      <c r="K1495"/>
      <c r="L1495"/>
    </row>
    <row r="1496" spans="8:12">
      <c r="H1496"/>
      <c r="I1496"/>
      <c r="J1496"/>
      <c r="K1496"/>
      <c r="L1496"/>
    </row>
    <row r="1497" spans="8:12">
      <c r="H1497"/>
      <c r="I1497"/>
      <c r="J1497"/>
      <c r="K1497"/>
      <c r="L1497"/>
    </row>
    <row r="1498" spans="8:12">
      <c r="H1498"/>
      <c r="I1498"/>
      <c r="J1498"/>
      <c r="K1498"/>
      <c r="L1498"/>
    </row>
    <row r="1499" spans="8:12">
      <c r="H1499"/>
      <c r="I1499"/>
      <c r="J1499"/>
      <c r="K1499"/>
      <c r="L1499"/>
    </row>
    <row r="1500" spans="8:12">
      <c r="H1500"/>
      <c r="I1500"/>
      <c r="J1500"/>
      <c r="K1500"/>
      <c r="L1500"/>
    </row>
    <row r="1501" spans="8:12">
      <c r="H1501"/>
      <c r="I1501"/>
      <c r="J1501"/>
      <c r="K1501"/>
      <c r="L1501"/>
    </row>
    <row r="1502" spans="8:12">
      <c r="H1502"/>
      <c r="I1502"/>
      <c r="J1502"/>
      <c r="K1502"/>
      <c r="L1502"/>
    </row>
    <row r="1503" spans="8:12">
      <c r="H1503"/>
      <c r="I1503"/>
      <c r="J1503"/>
      <c r="K1503"/>
      <c r="L1503"/>
    </row>
    <row r="1504" spans="8:12">
      <c r="H1504"/>
      <c r="I1504"/>
      <c r="J1504"/>
      <c r="K1504"/>
      <c r="L1504"/>
    </row>
    <row r="1505" spans="8:12">
      <c r="H1505"/>
      <c r="I1505"/>
      <c r="J1505"/>
      <c r="K1505"/>
      <c r="L1505"/>
    </row>
    <row r="1506" spans="8:12">
      <c r="H1506"/>
      <c r="I1506"/>
      <c r="J1506"/>
      <c r="K1506"/>
      <c r="L1506"/>
    </row>
    <row r="1507" spans="8:12">
      <c r="H1507"/>
      <c r="I1507"/>
      <c r="J1507"/>
      <c r="K1507"/>
      <c r="L1507"/>
    </row>
    <row r="1508" spans="8:12">
      <c r="H1508"/>
      <c r="I1508"/>
      <c r="J1508"/>
      <c r="K1508"/>
      <c r="L1508"/>
    </row>
    <row r="1509" spans="8:12">
      <c r="H1509"/>
      <c r="I1509"/>
      <c r="J1509"/>
      <c r="K1509"/>
      <c r="L1509"/>
    </row>
    <row r="1510" spans="8:12">
      <c r="H1510"/>
      <c r="I1510"/>
      <c r="J1510"/>
      <c r="K1510"/>
      <c r="L1510"/>
    </row>
    <row r="1511" spans="8:12">
      <c r="H1511"/>
      <c r="I1511"/>
      <c r="J1511"/>
      <c r="K1511"/>
      <c r="L1511"/>
    </row>
    <row r="1512" spans="8:12">
      <c r="H1512"/>
      <c r="I1512"/>
      <c r="J1512"/>
      <c r="K1512"/>
      <c r="L1512"/>
    </row>
    <row r="1513" spans="8:12">
      <c r="H1513"/>
      <c r="I1513"/>
      <c r="J1513"/>
      <c r="K1513"/>
      <c r="L1513"/>
    </row>
    <row r="1514" spans="8:12">
      <c r="H1514"/>
      <c r="I1514"/>
      <c r="J1514"/>
      <c r="K1514"/>
      <c r="L1514"/>
    </row>
    <row r="1515" spans="8:12">
      <c r="H1515"/>
      <c r="I1515"/>
      <c r="J1515"/>
      <c r="K1515"/>
      <c r="L1515"/>
    </row>
    <row r="1516" spans="8:12">
      <c r="H1516"/>
      <c r="I1516"/>
      <c r="J1516"/>
      <c r="K1516"/>
      <c r="L1516"/>
    </row>
    <row r="1517" spans="8:12">
      <c r="H1517"/>
      <c r="I1517"/>
      <c r="J1517"/>
      <c r="K1517"/>
      <c r="L1517"/>
    </row>
    <row r="1518" spans="8:12">
      <c r="H1518"/>
      <c r="I1518"/>
      <c r="J1518"/>
      <c r="K1518"/>
      <c r="L1518"/>
    </row>
    <row r="1519" spans="8:12">
      <c r="H1519"/>
      <c r="I1519"/>
      <c r="J1519"/>
      <c r="K1519"/>
      <c r="L1519"/>
    </row>
    <row r="1520" spans="8:12">
      <c r="H1520"/>
      <c r="I1520"/>
      <c r="J1520"/>
      <c r="K1520"/>
      <c r="L1520"/>
    </row>
    <row r="1521" spans="8:12">
      <c r="H1521"/>
      <c r="I1521"/>
      <c r="J1521"/>
      <c r="K1521"/>
      <c r="L1521"/>
    </row>
    <row r="1522" spans="8:12">
      <c r="H1522"/>
      <c r="I1522"/>
      <c r="J1522"/>
      <c r="K1522"/>
      <c r="L1522"/>
    </row>
    <row r="1523" spans="8:12">
      <c r="H1523"/>
      <c r="I1523"/>
      <c r="J1523"/>
      <c r="K1523"/>
      <c r="L1523"/>
    </row>
    <row r="1524" spans="8:12">
      <c r="H1524"/>
      <c r="I1524"/>
      <c r="J1524"/>
      <c r="K1524"/>
      <c r="L1524"/>
    </row>
    <row r="1525" spans="8:12">
      <c r="H1525"/>
      <c r="I1525"/>
      <c r="J1525"/>
      <c r="K1525"/>
      <c r="L1525"/>
    </row>
    <row r="1526" spans="8:12">
      <c r="H1526"/>
      <c r="I1526"/>
      <c r="J1526"/>
      <c r="K1526"/>
      <c r="L1526"/>
    </row>
    <row r="1527" spans="8:12">
      <c r="H1527"/>
      <c r="I1527"/>
      <c r="J1527"/>
      <c r="K1527"/>
      <c r="L1527"/>
    </row>
    <row r="1528" spans="8:12">
      <c r="H1528"/>
      <c r="I1528"/>
      <c r="J1528"/>
      <c r="K1528"/>
      <c r="L1528"/>
    </row>
    <row r="1529" spans="8:12">
      <c r="H1529"/>
      <c r="I1529"/>
      <c r="J1529"/>
      <c r="K1529"/>
      <c r="L1529"/>
    </row>
    <row r="1530" spans="8:12">
      <c r="H1530"/>
      <c r="I1530"/>
      <c r="J1530"/>
      <c r="K1530"/>
      <c r="L1530"/>
    </row>
    <row r="1531" spans="8:12">
      <c r="H1531"/>
      <c r="I1531"/>
      <c r="J1531"/>
      <c r="K1531"/>
      <c r="L1531"/>
    </row>
    <row r="1532" spans="8:12">
      <c r="H1532"/>
      <c r="I1532"/>
      <c r="J1532"/>
      <c r="K1532"/>
      <c r="L1532"/>
    </row>
    <row r="1533" spans="8:12">
      <c r="H1533"/>
      <c r="I1533"/>
      <c r="J1533"/>
      <c r="K1533"/>
      <c r="L1533"/>
    </row>
    <row r="1534" spans="8:12">
      <c r="H1534"/>
      <c r="I1534"/>
      <c r="J1534"/>
      <c r="K1534"/>
      <c r="L1534"/>
    </row>
    <row r="1535" spans="8:12">
      <c r="H1535"/>
      <c r="I1535"/>
      <c r="J1535"/>
      <c r="K1535"/>
      <c r="L1535"/>
    </row>
    <row r="1536" spans="8:12">
      <c r="H1536"/>
      <c r="I1536"/>
      <c r="J1536"/>
      <c r="K1536"/>
      <c r="L1536"/>
    </row>
    <row r="1537" spans="8:12">
      <c r="H1537"/>
      <c r="I1537"/>
      <c r="J1537"/>
      <c r="K1537"/>
      <c r="L1537"/>
    </row>
    <row r="1538" spans="8:12">
      <c r="H1538"/>
      <c r="I1538"/>
      <c r="J1538"/>
      <c r="K1538"/>
      <c r="L1538"/>
    </row>
    <row r="1539" spans="8:12">
      <c r="H1539"/>
      <c r="I1539"/>
      <c r="J1539"/>
      <c r="K1539"/>
      <c r="L1539"/>
    </row>
    <row r="1540" spans="8:12">
      <c r="H1540"/>
      <c r="I1540"/>
      <c r="J1540"/>
      <c r="K1540"/>
      <c r="L1540"/>
    </row>
    <row r="1541" spans="8:12">
      <c r="H1541"/>
      <c r="I1541"/>
      <c r="J1541"/>
      <c r="K1541"/>
      <c r="L1541"/>
    </row>
    <row r="1542" spans="8:12">
      <c r="H1542"/>
      <c r="I1542"/>
      <c r="J1542"/>
      <c r="K1542"/>
      <c r="L1542"/>
    </row>
    <row r="1543" spans="8:12">
      <c r="H1543"/>
      <c r="I1543"/>
      <c r="J1543"/>
      <c r="K1543"/>
      <c r="L1543"/>
    </row>
    <row r="1544" spans="8:12">
      <c r="H1544"/>
      <c r="I1544"/>
      <c r="J1544"/>
      <c r="K1544"/>
      <c r="L1544"/>
    </row>
    <row r="1545" spans="8:12">
      <c r="H1545"/>
      <c r="I1545"/>
      <c r="J1545"/>
      <c r="K1545"/>
      <c r="L1545"/>
    </row>
    <row r="1546" spans="8:12">
      <c r="H1546"/>
      <c r="I1546"/>
      <c r="J1546"/>
      <c r="K1546"/>
      <c r="L1546"/>
    </row>
    <row r="1547" spans="8:12">
      <c r="H1547"/>
      <c r="I1547"/>
      <c r="J1547"/>
      <c r="K1547"/>
      <c r="L1547"/>
    </row>
    <row r="1548" spans="8:12">
      <c r="H1548"/>
      <c r="I1548"/>
      <c r="J1548"/>
      <c r="K1548"/>
      <c r="L1548"/>
    </row>
    <row r="1549" spans="8:12">
      <c r="H1549"/>
      <c r="I1549"/>
      <c r="J1549"/>
      <c r="K1549"/>
      <c r="L1549"/>
    </row>
    <row r="1550" spans="8:12">
      <c r="H1550"/>
      <c r="I1550"/>
      <c r="J1550"/>
      <c r="K1550"/>
      <c r="L1550"/>
    </row>
    <row r="1551" spans="8:12">
      <c r="H1551"/>
      <c r="I1551"/>
      <c r="J1551"/>
      <c r="K1551"/>
      <c r="L1551"/>
    </row>
    <row r="1552" spans="8:12">
      <c r="H1552"/>
      <c r="I1552"/>
      <c r="J1552"/>
      <c r="K1552"/>
      <c r="L1552"/>
    </row>
    <row r="1553" spans="8:12">
      <c r="H1553"/>
      <c r="I1553"/>
      <c r="J1553"/>
      <c r="K1553"/>
      <c r="L1553"/>
    </row>
    <row r="1554" spans="8:12">
      <c r="H1554"/>
      <c r="I1554"/>
      <c r="J1554"/>
      <c r="K1554"/>
      <c r="L1554"/>
    </row>
    <row r="1555" spans="8:12">
      <c r="H1555"/>
      <c r="I1555"/>
      <c r="J1555"/>
      <c r="K1555"/>
      <c r="L1555"/>
    </row>
    <row r="1556" spans="8:12">
      <c r="H1556"/>
      <c r="I1556"/>
      <c r="J1556"/>
      <c r="K1556"/>
      <c r="L1556"/>
    </row>
    <row r="1557" spans="8:12">
      <c r="H1557"/>
      <c r="I1557"/>
      <c r="J1557"/>
      <c r="K1557"/>
      <c r="L1557"/>
    </row>
    <row r="1558" spans="8:12">
      <c r="H1558"/>
      <c r="I1558"/>
      <c r="J1558"/>
      <c r="K1558"/>
      <c r="L1558"/>
    </row>
    <row r="1559" spans="8:12">
      <c r="H1559"/>
      <c r="I1559"/>
      <c r="J1559"/>
      <c r="K1559"/>
      <c r="L1559"/>
    </row>
    <row r="1560" spans="8:12">
      <c r="H1560"/>
      <c r="I1560"/>
      <c r="J1560"/>
      <c r="K1560"/>
      <c r="L1560"/>
    </row>
    <row r="1561" spans="8:12">
      <c r="H1561"/>
      <c r="I1561"/>
      <c r="J1561"/>
      <c r="K1561"/>
      <c r="L1561"/>
    </row>
    <row r="1562" spans="8:12">
      <c r="H1562"/>
      <c r="I1562"/>
      <c r="J1562"/>
      <c r="K1562"/>
      <c r="L1562"/>
    </row>
    <row r="1563" spans="8:12">
      <c r="H1563"/>
      <c r="I1563"/>
      <c r="J1563"/>
      <c r="K1563"/>
      <c r="L1563"/>
    </row>
    <row r="1564" spans="8:12">
      <c r="H1564"/>
      <c r="I1564"/>
      <c r="J1564"/>
      <c r="K1564"/>
      <c r="L1564"/>
    </row>
    <row r="1565" spans="8:12">
      <c r="H1565"/>
      <c r="I1565"/>
      <c r="J1565"/>
      <c r="K1565"/>
      <c r="L1565"/>
    </row>
    <row r="1566" spans="8:12">
      <c r="H1566"/>
      <c r="I1566"/>
      <c r="J1566"/>
      <c r="K1566"/>
      <c r="L1566"/>
    </row>
    <row r="1567" spans="8:12">
      <c r="H1567"/>
      <c r="I1567"/>
      <c r="J1567"/>
      <c r="K1567"/>
      <c r="L1567"/>
    </row>
    <row r="1568" spans="8:12">
      <c r="H1568"/>
      <c r="I1568"/>
      <c r="J1568"/>
      <c r="K1568"/>
      <c r="L1568"/>
    </row>
    <row r="1569" spans="8:12">
      <c r="H1569"/>
      <c r="I1569"/>
      <c r="J1569"/>
      <c r="K1569"/>
      <c r="L1569"/>
    </row>
    <row r="1570" spans="8:12">
      <c r="H1570"/>
      <c r="I1570"/>
      <c r="J1570"/>
      <c r="K1570"/>
      <c r="L1570"/>
    </row>
    <row r="1571" spans="8:12">
      <c r="H1571"/>
      <c r="I1571"/>
      <c r="J1571"/>
      <c r="K1571"/>
      <c r="L1571"/>
    </row>
    <row r="1572" spans="8:12">
      <c r="H1572"/>
      <c r="I1572"/>
      <c r="J1572"/>
      <c r="K1572"/>
      <c r="L1572"/>
    </row>
    <row r="1573" spans="8:12">
      <c r="H1573"/>
      <c r="I1573"/>
      <c r="J1573"/>
      <c r="K1573"/>
      <c r="L1573"/>
    </row>
    <row r="1574" spans="8:12">
      <c r="H1574"/>
      <c r="I1574"/>
      <c r="J1574"/>
      <c r="K1574"/>
      <c r="L1574"/>
    </row>
    <row r="1575" spans="8:12">
      <c r="H1575"/>
      <c r="I1575"/>
      <c r="J1575"/>
      <c r="K1575"/>
      <c r="L1575"/>
    </row>
    <row r="1576" spans="8:12">
      <c r="H1576"/>
      <c r="I1576"/>
      <c r="J1576"/>
      <c r="K1576"/>
      <c r="L1576"/>
    </row>
    <row r="1577" spans="8:12">
      <c r="H1577"/>
      <c r="I1577"/>
      <c r="J1577"/>
      <c r="K1577"/>
      <c r="L1577"/>
    </row>
    <row r="1578" spans="8:12">
      <c r="H1578"/>
      <c r="I1578"/>
      <c r="J1578"/>
      <c r="K1578"/>
      <c r="L1578"/>
    </row>
    <row r="1579" spans="8:12">
      <c r="H1579"/>
      <c r="I1579"/>
      <c r="J1579"/>
      <c r="K1579"/>
      <c r="L1579"/>
    </row>
    <row r="1580" spans="8:12">
      <c r="H1580"/>
      <c r="I1580"/>
      <c r="J1580"/>
      <c r="K1580"/>
      <c r="L1580"/>
    </row>
    <row r="1581" spans="8:12">
      <c r="H1581"/>
      <c r="I1581"/>
      <c r="J1581"/>
      <c r="K1581"/>
      <c r="L1581"/>
    </row>
    <row r="1582" spans="8:12">
      <c r="H1582"/>
      <c r="I1582"/>
      <c r="J1582"/>
      <c r="K1582"/>
      <c r="L1582"/>
    </row>
    <row r="1583" spans="8:12">
      <c r="H1583"/>
      <c r="I1583"/>
      <c r="J1583"/>
      <c r="K1583"/>
      <c r="L1583"/>
    </row>
    <row r="1584" spans="8:12">
      <c r="H1584"/>
      <c r="I1584"/>
      <c r="J1584"/>
      <c r="K1584"/>
      <c r="L1584"/>
    </row>
    <row r="1585" spans="8:12">
      <c r="H1585"/>
      <c r="I1585"/>
      <c r="J1585"/>
      <c r="K1585"/>
      <c r="L1585"/>
    </row>
    <row r="1586" spans="8:12">
      <c r="H1586"/>
      <c r="I1586"/>
      <c r="J1586"/>
      <c r="K1586"/>
      <c r="L1586"/>
    </row>
    <row r="1587" spans="8:12">
      <c r="H1587"/>
      <c r="I1587"/>
      <c r="J1587"/>
      <c r="K1587"/>
      <c r="L1587"/>
    </row>
    <row r="1588" spans="8:12">
      <c r="H1588"/>
      <c r="I1588"/>
      <c r="J1588"/>
      <c r="K1588"/>
      <c r="L1588"/>
    </row>
    <row r="1589" spans="8:12">
      <c r="H1589"/>
      <c r="I1589"/>
      <c r="J1589"/>
      <c r="K1589"/>
      <c r="L1589"/>
    </row>
    <row r="1590" spans="8:12">
      <c r="H1590"/>
      <c r="I1590"/>
      <c r="J1590"/>
      <c r="K1590"/>
      <c r="L1590"/>
    </row>
    <row r="1591" spans="8:12">
      <c r="H1591"/>
      <c r="I1591"/>
      <c r="J1591"/>
      <c r="K1591"/>
      <c r="L1591"/>
    </row>
    <row r="1592" spans="8:12">
      <c r="H1592"/>
      <c r="I1592"/>
      <c r="J1592"/>
      <c r="K1592"/>
      <c r="L1592"/>
    </row>
    <row r="1593" spans="8:12">
      <c r="H1593"/>
      <c r="I1593"/>
      <c r="J1593"/>
      <c r="K1593"/>
      <c r="L1593"/>
    </row>
    <row r="1594" spans="8:12">
      <c r="H1594"/>
      <c r="I1594"/>
      <c r="J1594"/>
      <c r="K1594"/>
      <c r="L1594"/>
    </row>
    <row r="1595" spans="8:12">
      <c r="H1595"/>
      <c r="I1595"/>
      <c r="J1595"/>
      <c r="K1595"/>
      <c r="L1595"/>
    </row>
    <row r="1596" spans="8:12">
      <c r="H1596"/>
      <c r="I1596"/>
      <c r="J1596"/>
      <c r="K1596"/>
      <c r="L1596"/>
    </row>
    <row r="1597" spans="8:12">
      <c r="H1597"/>
      <c r="I1597"/>
      <c r="J1597"/>
      <c r="K1597"/>
      <c r="L1597"/>
    </row>
    <row r="1598" spans="8:12">
      <c r="H1598"/>
      <c r="I1598"/>
      <c r="J1598"/>
      <c r="K1598"/>
      <c r="L1598"/>
    </row>
    <row r="1599" spans="8:12">
      <c r="H1599"/>
      <c r="I1599"/>
      <c r="J1599"/>
      <c r="K1599"/>
      <c r="L1599"/>
    </row>
    <row r="1600" spans="8:12">
      <c r="H1600"/>
      <c r="I1600"/>
      <c r="J1600"/>
      <c r="K1600"/>
      <c r="L1600"/>
    </row>
    <row r="1601" spans="8:12">
      <c r="H1601"/>
      <c r="I1601"/>
      <c r="J1601"/>
      <c r="K1601"/>
      <c r="L1601"/>
    </row>
    <row r="1602" spans="8:12">
      <c r="H1602"/>
      <c r="I1602"/>
      <c r="J1602"/>
      <c r="K1602"/>
      <c r="L1602"/>
    </row>
    <row r="1603" spans="8:12">
      <c r="H1603"/>
      <c r="I1603"/>
      <c r="J1603"/>
      <c r="K1603"/>
      <c r="L1603"/>
    </row>
    <row r="1604" spans="8:12">
      <c r="H1604"/>
      <c r="I1604"/>
      <c r="J1604"/>
      <c r="K1604"/>
      <c r="L1604"/>
    </row>
    <row r="1605" spans="8:12">
      <c r="H1605"/>
      <c r="I1605"/>
      <c r="J1605"/>
      <c r="K1605"/>
      <c r="L1605"/>
    </row>
    <row r="1606" spans="8:12">
      <c r="H1606"/>
      <c r="I1606"/>
      <c r="J1606"/>
      <c r="K1606"/>
      <c r="L1606"/>
    </row>
    <row r="1607" spans="8:12">
      <c r="H1607"/>
      <c r="I1607"/>
      <c r="J1607"/>
      <c r="K1607"/>
      <c r="L1607"/>
    </row>
    <row r="1608" spans="8:12">
      <c r="H1608"/>
      <c r="I1608"/>
      <c r="J1608"/>
      <c r="K1608"/>
      <c r="L1608"/>
    </row>
    <row r="1609" spans="8:12">
      <c r="H1609"/>
      <c r="I1609"/>
      <c r="J1609"/>
      <c r="K1609"/>
      <c r="L1609"/>
    </row>
    <row r="1610" spans="8:12">
      <c r="H1610"/>
      <c r="I1610"/>
      <c r="J1610"/>
      <c r="K1610"/>
      <c r="L1610"/>
    </row>
    <row r="1611" spans="8:12">
      <c r="H1611"/>
      <c r="I1611"/>
      <c r="J1611"/>
      <c r="K1611"/>
      <c r="L1611"/>
    </row>
    <row r="1612" spans="8:12">
      <c r="H1612"/>
      <c r="I1612"/>
      <c r="J1612"/>
      <c r="K1612"/>
      <c r="L1612"/>
    </row>
    <row r="1613" spans="8:12">
      <c r="H1613"/>
      <c r="I1613"/>
      <c r="J1613"/>
      <c r="K1613"/>
      <c r="L1613"/>
    </row>
    <row r="1614" spans="8:12">
      <c r="H1614"/>
      <c r="I1614"/>
      <c r="J1614"/>
      <c r="K1614"/>
      <c r="L1614"/>
    </row>
    <row r="1615" spans="8:12">
      <c r="H1615"/>
      <c r="I1615"/>
      <c r="J1615"/>
      <c r="K1615"/>
      <c r="L1615"/>
    </row>
    <row r="1616" spans="8:12">
      <c r="H1616"/>
      <c r="I1616"/>
      <c r="J1616"/>
      <c r="K1616"/>
      <c r="L1616"/>
    </row>
    <row r="1617" spans="8:12">
      <c r="H1617"/>
      <c r="I1617"/>
      <c r="J1617"/>
      <c r="K1617"/>
      <c r="L1617"/>
    </row>
    <row r="1618" spans="8:12">
      <c r="H1618"/>
      <c r="I1618"/>
      <c r="J1618"/>
      <c r="K1618"/>
      <c r="L1618"/>
    </row>
    <row r="1619" spans="8:12">
      <c r="H1619"/>
      <c r="I1619"/>
      <c r="J1619"/>
      <c r="K1619"/>
      <c r="L1619"/>
    </row>
    <row r="1620" spans="8:12">
      <c r="H1620"/>
      <c r="I1620"/>
      <c r="J1620"/>
      <c r="K1620"/>
      <c r="L1620"/>
    </row>
    <row r="1621" spans="8:12">
      <c r="H1621"/>
      <c r="I1621"/>
      <c r="J1621"/>
      <c r="K1621"/>
      <c r="L1621"/>
    </row>
    <row r="1622" spans="8:12">
      <c r="H1622"/>
      <c r="I1622"/>
      <c r="J1622"/>
      <c r="K1622"/>
      <c r="L1622"/>
    </row>
    <row r="1623" spans="8:12">
      <c r="H1623"/>
      <c r="I1623"/>
      <c r="J1623"/>
      <c r="K1623"/>
      <c r="L1623"/>
    </row>
    <row r="1624" spans="8:12">
      <c r="H1624"/>
      <c r="I1624"/>
      <c r="J1624"/>
      <c r="K1624"/>
      <c r="L1624"/>
    </row>
    <row r="1625" spans="8:12">
      <c r="H1625"/>
      <c r="I1625"/>
      <c r="J1625"/>
      <c r="K1625"/>
      <c r="L1625"/>
    </row>
    <row r="1626" spans="8:12">
      <c r="H1626"/>
      <c r="I1626"/>
      <c r="J1626"/>
      <c r="K1626"/>
      <c r="L1626"/>
    </row>
    <row r="1627" spans="8:12">
      <c r="H1627"/>
      <c r="I1627"/>
      <c r="J1627"/>
      <c r="K1627"/>
      <c r="L1627"/>
    </row>
    <row r="1628" spans="8:12">
      <c r="H1628"/>
      <c r="I1628"/>
      <c r="J1628"/>
      <c r="K1628"/>
      <c r="L1628"/>
    </row>
    <row r="1629" spans="8:12">
      <c r="H1629"/>
      <c r="I1629"/>
      <c r="J1629"/>
      <c r="K1629"/>
      <c r="L1629"/>
    </row>
    <row r="1630" spans="8:12">
      <c r="H1630"/>
      <c r="I1630"/>
      <c r="J1630"/>
      <c r="K1630"/>
      <c r="L1630"/>
    </row>
    <row r="1631" spans="8:12">
      <c r="H1631"/>
      <c r="I1631"/>
      <c r="J1631"/>
      <c r="K1631"/>
      <c r="L1631"/>
    </row>
    <row r="1632" spans="8:12">
      <c r="H1632"/>
      <c r="I1632"/>
      <c r="J1632"/>
      <c r="K1632"/>
      <c r="L1632"/>
    </row>
    <row r="1633" spans="8:12">
      <c r="H1633"/>
      <c r="I1633"/>
      <c r="J1633"/>
      <c r="K1633"/>
      <c r="L1633"/>
    </row>
    <row r="1634" spans="8:12">
      <c r="H1634"/>
      <c r="I1634"/>
      <c r="J1634"/>
      <c r="K1634"/>
      <c r="L1634"/>
    </row>
    <row r="1635" spans="8:12">
      <c r="H1635"/>
      <c r="I1635"/>
      <c r="J1635"/>
      <c r="K1635"/>
      <c r="L1635"/>
    </row>
    <row r="1636" spans="8:12">
      <c r="H1636"/>
      <c r="I1636"/>
      <c r="J1636"/>
      <c r="K1636"/>
      <c r="L1636"/>
    </row>
    <row r="1637" spans="8:12">
      <c r="H1637"/>
      <c r="I1637"/>
      <c r="J1637"/>
      <c r="K1637"/>
      <c r="L1637"/>
    </row>
    <row r="1638" spans="8:12">
      <c r="H1638"/>
      <c r="I1638"/>
      <c r="J1638"/>
      <c r="K1638"/>
      <c r="L1638"/>
    </row>
    <row r="1639" spans="8:12">
      <c r="H1639"/>
      <c r="I1639"/>
      <c r="J1639"/>
      <c r="K1639"/>
      <c r="L1639"/>
    </row>
    <row r="1640" spans="8:12">
      <c r="H1640"/>
      <c r="I1640"/>
      <c r="J1640"/>
      <c r="K1640"/>
      <c r="L1640"/>
    </row>
    <row r="1641" spans="8:12">
      <c r="H1641"/>
      <c r="I1641"/>
      <c r="J1641"/>
      <c r="K1641"/>
      <c r="L1641"/>
    </row>
    <row r="1642" spans="8:12">
      <c r="H1642"/>
      <c r="I1642"/>
      <c r="J1642"/>
      <c r="K1642"/>
      <c r="L1642"/>
    </row>
    <row r="1643" spans="8:12">
      <c r="H1643"/>
      <c r="I1643"/>
      <c r="J1643"/>
      <c r="K1643"/>
      <c r="L1643"/>
    </row>
    <row r="1644" spans="8:12">
      <c r="H1644"/>
      <c r="I1644"/>
      <c r="J1644"/>
      <c r="K1644"/>
      <c r="L1644"/>
    </row>
    <row r="1645" spans="8:12">
      <c r="H1645"/>
      <c r="I1645"/>
      <c r="J1645"/>
      <c r="K1645"/>
      <c r="L1645"/>
    </row>
    <row r="1646" spans="8:12">
      <c r="H1646"/>
      <c r="I1646"/>
      <c r="J1646"/>
      <c r="K1646"/>
      <c r="L1646"/>
    </row>
    <row r="1647" spans="8:12">
      <c r="H1647"/>
      <c r="I1647"/>
      <c r="J1647"/>
      <c r="K1647"/>
      <c r="L1647"/>
    </row>
    <row r="1648" spans="8:12">
      <c r="H1648"/>
      <c r="I1648"/>
      <c r="J1648"/>
      <c r="K1648"/>
      <c r="L1648"/>
    </row>
    <row r="1649" spans="8:12">
      <c r="H1649"/>
      <c r="I1649"/>
      <c r="J1649"/>
      <c r="K1649"/>
      <c r="L1649"/>
    </row>
    <row r="1650" spans="8:12">
      <c r="H1650"/>
      <c r="I1650"/>
      <c r="J1650"/>
      <c r="K1650"/>
      <c r="L1650"/>
    </row>
    <row r="1651" spans="8:12">
      <c r="H1651"/>
      <c r="I1651"/>
      <c r="J1651"/>
      <c r="K1651"/>
      <c r="L1651"/>
    </row>
    <row r="1652" spans="8:12">
      <c r="H1652"/>
      <c r="I1652"/>
      <c r="J1652"/>
      <c r="K1652"/>
      <c r="L1652"/>
    </row>
    <row r="1653" spans="8:12">
      <c r="H1653"/>
      <c r="I1653"/>
      <c r="J1653"/>
      <c r="K1653"/>
      <c r="L1653"/>
    </row>
    <row r="1654" spans="8:12">
      <c r="H1654"/>
      <c r="I1654"/>
      <c r="J1654"/>
      <c r="K1654"/>
      <c r="L1654"/>
    </row>
    <row r="1655" spans="8:12">
      <c r="H1655"/>
      <c r="I1655"/>
      <c r="J1655"/>
      <c r="K1655"/>
      <c r="L1655"/>
    </row>
    <row r="1656" spans="8:12">
      <c r="H1656"/>
      <c r="I1656"/>
      <c r="J1656"/>
      <c r="K1656"/>
      <c r="L1656"/>
    </row>
    <row r="1657" spans="8:12">
      <c r="H1657"/>
      <c r="I1657"/>
      <c r="J1657"/>
      <c r="K1657"/>
      <c r="L1657"/>
    </row>
    <row r="1658" spans="8:12">
      <c r="H1658"/>
      <c r="I1658"/>
      <c r="J1658"/>
      <c r="K1658"/>
      <c r="L1658"/>
    </row>
    <row r="1659" spans="8:12">
      <c r="H1659"/>
      <c r="I1659"/>
      <c r="J1659"/>
      <c r="K1659"/>
      <c r="L1659"/>
    </row>
    <row r="1660" spans="8:12">
      <c r="H1660"/>
      <c r="I1660"/>
      <c r="J1660"/>
      <c r="K1660"/>
      <c r="L1660"/>
    </row>
    <row r="1661" spans="8:12">
      <c r="H1661"/>
      <c r="I1661"/>
      <c r="J1661"/>
      <c r="K1661"/>
      <c r="L1661"/>
    </row>
    <row r="1662" spans="8:12">
      <c r="H1662"/>
      <c r="I1662"/>
      <c r="J1662"/>
      <c r="K1662"/>
      <c r="L1662"/>
    </row>
    <row r="1663" spans="8:12">
      <c r="H1663"/>
      <c r="I1663"/>
      <c r="J1663"/>
      <c r="K1663"/>
      <c r="L1663"/>
    </row>
    <row r="1664" spans="8:12">
      <c r="H1664"/>
      <c r="I1664"/>
      <c r="J1664"/>
      <c r="K1664"/>
      <c r="L1664"/>
    </row>
    <row r="1665" spans="8:12">
      <c r="H1665"/>
      <c r="I1665"/>
      <c r="J1665"/>
      <c r="K1665"/>
      <c r="L1665"/>
    </row>
    <row r="1666" spans="8:12">
      <c r="H1666"/>
      <c r="I1666"/>
      <c r="J1666"/>
      <c r="K1666"/>
      <c r="L1666"/>
    </row>
    <row r="1667" spans="8:12">
      <c r="H1667"/>
      <c r="I1667"/>
      <c r="J1667"/>
      <c r="K1667"/>
      <c r="L1667"/>
    </row>
    <row r="1668" spans="8:12">
      <c r="H1668"/>
      <c r="I1668"/>
      <c r="J1668"/>
      <c r="K1668"/>
      <c r="L1668"/>
    </row>
    <row r="1669" spans="8:12">
      <c r="H1669"/>
      <c r="I1669"/>
      <c r="J1669"/>
      <c r="K1669"/>
      <c r="L1669"/>
    </row>
    <row r="1670" spans="8:12">
      <c r="H1670"/>
      <c r="I1670"/>
      <c r="J1670"/>
      <c r="K1670"/>
      <c r="L1670"/>
    </row>
    <row r="1671" spans="8:12">
      <c r="H1671"/>
      <c r="I1671"/>
      <c r="J1671"/>
      <c r="K1671"/>
      <c r="L1671"/>
    </row>
    <row r="1672" spans="8:12">
      <c r="H1672"/>
      <c r="I1672"/>
      <c r="J1672"/>
      <c r="K1672"/>
      <c r="L1672"/>
    </row>
    <row r="1673" spans="8:12">
      <c r="H1673"/>
      <c r="I1673"/>
      <c r="J1673"/>
      <c r="K1673"/>
      <c r="L1673"/>
    </row>
    <row r="1674" spans="8:12">
      <c r="H1674"/>
      <c r="I1674"/>
      <c r="J1674"/>
      <c r="K1674"/>
      <c r="L1674"/>
    </row>
    <row r="1675" spans="8:12">
      <c r="H1675"/>
      <c r="I1675"/>
      <c r="J1675"/>
      <c r="K1675"/>
      <c r="L1675"/>
    </row>
    <row r="1676" spans="8:12">
      <c r="H1676"/>
      <c r="I1676"/>
      <c r="J1676"/>
      <c r="K1676"/>
      <c r="L1676"/>
    </row>
    <row r="1677" spans="8:12">
      <c r="H1677"/>
      <c r="I1677"/>
      <c r="J1677"/>
      <c r="K1677"/>
      <c r="L1677"/>
    </row>
    <row r="1678" spans="8:12">
      <c r="H1678"/>
      <c r="I1678"/>
      <c r="J1678"/>
      <c r="K1678"/>
      <c r="L1678"/>
    </row>
    <row r="1679" spans="8:12">
      <c r="H1679"/>
      <c r="I1679"/>
      <c r="J1679"/>
      <c r="K1679"/>
      <c r="L1679"/>
    </row>
    <row r="1680" spans="8:12">
      <c r="H1680"/>
      <c r="I1680"/>
      <c r="J1680"/>
      <c r="K1680"/>
      <c r="L1680"/>
    </row>
    <row r="1681" spans="8:12">
      <c r="H1681"/>
      <c r="I1681"/>
      <c r="J1681"/>
      <c r="K1681"/>
      <c r="L1681"/>
    </row>
    <row r="1682" spans="8:12">
      <c r="H1682"/>
      <c r="I1682"/>
      <c r="J1682"/>
      <c r="K1682"/>
      <c r="L1682"/>
    </row>
    <row r="1683" spans="8:12">
      <c r="H1683"/>
      <c r="I1683"/>
      <c r="J1683"/>
      <c r="K1683"/>
      <c r="L1683"/>
    </row>
    <row r="1684" spans="8:12">
      <c r="H1684"/>
      <c r="I1684"/>
      <c r="J1684"/>
      <c r="K1684"/>
      <c r="L1684"/>
    </row>
    <row r="1685" spans="8:12">
      <c r="H1685"/>
      <c r="I1685"/>
      <c r="J1685"/>
      <c r="K1685"/>
      <c r="L1685"/>
    </row>
    <row r="1686" spans="8:12">
      <c r="H1686"/>
      <c r="I1686"/>
      <c r="J1686"/>
      <c r="K1686"/>
      <c r="L1686"/>
    </row>
    <row r="1687" spans="8:12">
      <c r="H1687"/>
      <c r="I1687"/>
      <c r="J1687"/>
      <c r="K1687"/>
      <c r="L1687"/>
    </row>
    <row r="1688" spans="8:12">
      <c r="H1688"/>
      <c r="I1688"/>
      <c r="J1688"/>
      <c r="K1688"/>
      <c r="L1688"/>
    </row>
    <row r="1689" spans="8:12">
      <c r="H1689"/>
      <c r="I1689"/>
      <c r="J1689"/>
      <c r="K1689"/>
      <c r="L1689"/>
    </row>
    <row r="1690" spans="8:12">
      <c r="H1690"/>
      <c r="I1690"/>
      <c r="J1690"/>
      <c r="K1690"/>
      <c r="L1690"/>
    </row>
    <row r="1691" spans="8:12">
      <c r="H1691"/>
      <c r="I1691"/>
      <c r="J1691"/>
      <c r="K1691"/>
      <c r="L1691"/>
    </row>
    <row r="1692" spans="8:12">
      <c r="H1692"/>
      <c r="I1692"/>
      <c r="J1692"/>
      <c r="K1692"/>
      <c r="L1692"/>
    </row>
    <row r="1693" spans="8:12">
      <c r="H1693"/>
      <c r="I1693"/>
      <c r="J1693"/>
      <c r="K1693"/>
      <c r="L1693"/>
    </row>
    <row r="1694" spans="8:12">
      <c r="H1694"/>
      <c r="I1694"/>
      <c r="J1694"/>
      <c r="K1694"/>
      <c r="L1694"/>
    </row>
    <row r="1695" spans="8:12">
      <c r="H1695"/>
      <c r="I1695"/>
      <c r="J1695"/>
      <c r="K1695"/>
      <c r="L1695"/>
    </row>
    <row r="1696" spans="8:12">
      <c r="H1696"/>
      <c r="I1696"/>
      <c r="J1696"/>
      <c r="K1696"/>
      <c r="L1696"/>
    </row>
    <row r="1697" spans="8:12">
      <c r="H1697"/>
      <c r="I1697"/>
      <c r="J1697"/>
      <c r="K1697"/>
      <c r="L1697"/>
    </row>
    <row r="1698" spans="8:12">
      <c r="H1698"/>
      <c r="I1698"/>
      <c r="J1698"/>
      <c r="K1698"/>
      <c r="L1698"/>
    </row>
    <row r="1699" spans="8:12">
      <c r="H1699"/>
      <c r="I1699"/>
      <c r="J1699"/>
      <c r="K1699"/>
      <c r="L1699"/>
    </row>
    <row r="1700" spans="8:12">
      <c r="H1700"/>
      <c r="I1700"/>
      <c r="J1700"/>
      <c r="K1700"/>
      <c r="L1700"/>
    </row>
    <row r="1701" spans="8:12">
      <c r="H1701"/>
      <c r="I1701"/>
      <c r="J1701"/>
      <c r="K1701"/>
      <c r="L1701"/>
    </row>
    <row r="1702" spans="8:12">
      <c r="H1702"/>
      <c r="I1702"/>
      <c r="J1702"/>
      <c r="K1702"/>
      <c r="L1702"/>
    </row>
    <row r="1703" spans="8:12">
      <c r="H1703"/>
      <c r="I1703"/>
      <c r="J1703"/>
      <c r="K1703"/>
      <c r="L1703"/>
    </row>
    <row r="1704" spans="8:12">
      <c r="H1704"/>
      <c r="I1704"/>
      <c r="J1704"/>
      <c r="K1704"/>
      <c r="L1704"/>
    </row>
    <row r="1705" spans="8:12">
      <c r="H1705"/>
      <c r="I1705"/>
      <c r="J1705"/>
      <c r="K1705"/>
      <c r="L1705"/>
    </row>
    <row r="1706" spans="8:12">
      <c r="H1706"/>
      <c r="I1706"/>
      <c r="J1706"/>
      <c r="K1706"/>
      <c r="L1706"/>
    </row>
    <row r="1707" spans="8:12">
      <c r="H1707"/>
      <c r="I1707"/>
      <c r="J1707"/>
      <c r="K1707"/>
      <c r="L1707"/>
    </row>
    <row r="1708" spans="8:12">
      <c r="H1708"/>
      <c r="I1708"/>
      <c r="J1708"/>
      <c r="K1708"/>
      <c r="L1708"/>
    </row>
    <row r="1709" spans="8:12">
      <c r="H1709"/>
      <c r="I1709"/>
      <c r="J1709"/>
      <c r="K1709"/>
      <c r="L1709"/>
    </row>
    <row r="1710" spans="8:12">
      <c r="H1710"/>
      <c r="I1710"/>
      <c r="J1710"/>
      <c r="K1710"/>
      <c r="L1710"/>
    </row>
    <row r="1711" spans="8:12">
      <c r="H1711"/>
      <c r="I1711"/>
      <c r="J1711"/>
      <c r="K1711"/>
      <c r="L1711"/>
    </row>
    <row r="1712" spans="8:12">
      <c r="H1712"/>
      <c r="I1712"/>
      <c r="J1712"/>
      <c r="K1712"/>
      <c r="L1712"/>
    </row>
    <row r="1713" spans="8:12">
      <c r="H1713"/>
      <c r="I1713"/>
      <c r="J1713"/>
      <c r="K1713"/>
      <c r="L1713"/>
    </row>
    <row r="1714" spans="8:12">
      <c r="H1714"/>
      <c r="I1714"/>
      <c r="J1714"/>
      <c r="K1714"/>
      <c r="L1714"/>
    </row>
    <row r="1715" spans="8:12">
      <c r="H1715"/>
      <c r="I1715"/>
      <c r="J1715"/>
      <c r="K1715"/>
      <c r="L1715"/>
    </row>
    <row r="1716" spans="8:12">
      <c r="H1716"/>
      <c r="I1716"/>
      <c r="J1716"/>
      <c r="K1716"/>
      <c r="L1716"/>
    </row>
    <row r="1717" spans="8:12">
      <c r="H1717"/>
      <c r="I1717"/>
      <c r="J1717"/>
      <c r="K1717"/>
      <c r="L1717"/>
    </row>
    <row r="1718" spans="8:12">
      <c r="H1718"/>
      <c r="I1718"/>
      <c r="J1718"/>
      <c r="K1718"/>
      <c r="L1718"/>
    </row>
    <row r="1719" spans="8:12">
      <c r="H1719"/>
      <c r="I1719"/>
      <c r="J1719"/>
      <c r="K1719"/>
      <c r="L1719"/>
    </row>
    <row r="1720" spans="8:12">
      <c r="H1720"/>
      <c r="I1720"/>
      <c r="J1720"/>
      <c r="K1720"/>
      <c r="L1720"/>
    </row>
    <row r="1721" spans="8:12">
      <c r="H1721"/>
      <c r="I1721"/>
      <c r="J1721"/>
      <c r="K1721"/>
      <c r="L1721"/>
    </row>
    <row r="1722" spans="8:12">
      <c r="H1722"/>
      <c r="I1722"/>
      <c r="J1722"/>
      <c r="K1722"/>
      <c r="L1722"/>
    </row>
    <row r="1723" spans="8:12">
      <c r="H1723"/>
      <c r="I1723"/>
      <c r="J1723"/>
      <c r="K1723"/>
      <c r="L1723"/>
    </row>
    <row r="1724" spans="8:12">
      <c r="H1724"/>
      <c r="I1724"/>
      <c r="J1724"/>
      <c r="K1724"/>
      <c r="L1724"/>
    </row>
    <row r="1725" spans="8:12">
      <c r="H1725"/>
      <c r="I1725"/>
      <c r="J1725"/>
      <c r="K1725"/>
      <c r="L1725"/>
    </row>
    <row r="1726" spans="8:12">
      <c r="H1726"/>
      <c r="I1726"/>
      <c r="J1726"/>
      <c r="K1726"/>
      <c r="L1726"/>
    </row>
    <row r="1727" spans="8:12">
      <c r="H1727"/>
      <c r="I1727"/>
      <c r="J1727"/>
      <c r="K1727"/>
      <c r="L1727"/>
    </row>
    <row r="1728" spans="8:12">
      <c r="H1728"/>
      <c r="I1728"/>
      <c r="J1728"/>
      <c r="K1728"/>
      <c r="L1728"/>
    </row>
    <row r="1729" spans="8:12">
      <c r="H1729"/>
      <c r="I1729"/>
      <c r="J1729"/>
      <c r="K1729"/>
      <c r="L1729"/>
    </row>
    <row r="1730" spans="8:12">
      <c r="H1730"/>
      <c r="I1730"/>
      <c r="J1730"/>
      <c r="K1730"/>
      <c r="L1730"/>
    </row>
    <row r="1731" spans="8:12">
      <c r="H1731"/>
      <c r="I1731"/>
      <c r="J1731"/>
      <c r="K1731"/>
      <c r="L1731"/>
    </row>
    <row r="1732" spans="8:12">
      <c r="H1732"/>
      <c r="I1732"/>
      <c r="J1732"/>
      <c r="K1732"/>
      <c r="L1732"/>
    </row>
    <row r="1733" spans="8:12">
      <c r="H1733"/>
      <c r="I1733"/>
      <c r="J1733"/>
      <c r="K1733"/>
      <c r="L1733"/>
    </row>
    <row r="1734" spans="8:12">
      <c r="H1734"/>
      <c r="I1734"/>
      <c r="J1734"/>
      <c r="K1734"/>
      <c r="L1734"/>
    </row>
    <row r="1735" spans="8:12">
      <c r="H1735"/>
      <c r="I1735"/>
      <c r="J1735"/>
      <c r="K1735"/>
      <c r="L1735"/>
    </row>
    <row r="1736" spans="8:12">
      <c r="H1736"/>
      <c r="I1736"/>
      <c r="J1736"/>
      <c r="K1736"/>
      <c r="L1736"/>
    </row>
    <row r="1737" spans="8:12">
      <c r="H1737"/>
      <c r="I1737"/>
      <c r="J1737"/>
      <c r="K1737"/>
      <c r="L1737"/>
    </row>
    <row r="1738" spans="8:12">
      <c r="H1738"/>
      <c r="I1738"/>
      <c r="J1738"/>
      <c r="K1738"/>
      <c r="L1738"/>
    </row>
    <row r="1739" spans="8:12">
      <c r="H1739"/>
      <c r="I1739"/>
      <c r="J1739"/>
      <c r="K1739"/>
      <c r="L1739"/>
    </row>
    <row r="1740" spans="8:12">
      <c r="H1740"/>
      <c r="I1740"/>
      <c r="J1740"/>
      <c r="K1740"/>
      <c r="L1740"/>
    </row>
    <row r="1741" spans="8:12">
      <c r="H1741"/>
      <c r="I1741"/>
      <c r="J1741"/>
      <c r="K1741"/>
      <c r="L1741"/>
    </row>
    <row r="1742" spans="8:12">
      <c r="H1742"/>
      <c r="I1742"/>
      <c r="J1742"/>
      <c r="K1742"/>
      <c r="L1742"/>
    </row>
    <row r="1743" spans="8:12">
      <c r="H1743"/>
      <c r="I1743"/>
      <c r="J1743"/>
      <c r="K1743"/>
      <c r="L1743"/>
    </row>
    <row r="1744" spans="8:12">
      <c r="H1744"/>
      <c r="I1744"/>
      <c r="J1744"/>
      <c r="K1744"/>
      <c r="L1744"/>
    </row>
    <row r="1745" spans="8:12">
      <c r="H1745"/>
      <c r="I1745"/>
      <c r="J1745"/>
      <c r="K1745"/>
      <c r="L1745"/>
    </row>
    <row r="1746" spans="8:12">
      <c r="H1746"/>
      <c r="I1746"/>
      <c r="J1746"/>
      <c r="K1746"/>
      <c r="L1746"/>
    </row>
    <row r="1747" spans="8:12">
      <c r="H1747"/>
      <c r="I1747"/>
      <c r="J1747"/>
      <c r="K1747"/>
      <c r="L1747"/>
    </row>
    <row r="1748" spans="8:12">
      <c r="H1748"/>
      <c r="I1748"/>
      <c r="J1748"/>
      <c r="K1748"/>
      <c r="L1748"/>
    </row>
    <row r="1749" spans="8:12">
      <c r="H1749"/>
      <c r="I1749"/>
      <c r="J1749"/>
      <c r="K1749"/>
      <c r="L1749"/>
    </row>
    <row r="1750" spans="8:12">
      <c r="H1750"/>
      <c r="I1750"/>
      <c r="J1750"/>
      <c r="K1750"/>
      <c r="L1750"/>
    </row>
    <row r="1751" spans="8:12">
      <c r="H1751"/>
      <c r="I1751"/>
      <c r="J1751"/>
      <c r="K1751"/>
      <c r="L1751"/>
    </row>
    <row r="1752" spans="8:12">
      <c r="H1752"/>
      <c r="I1752"/>
      <c r="J1752"/>
      <c r="K1752"/>
      <c r="L1752"/>
    </row>
    <row r="1753" spans="8:12">
      <c r="H1753"/>
      <c r="I1753"/>
      <c r="J1753"/>
      <c r="K1753"/>
      <c r="L1753"/>
    </row>
    <row r="1754" spans="8:12">
      <c r="H1754"/>
      <c r="I1754"/>
      <c r="J1754"/>
      <c r="K1754"/>
      <c r="L1754"/>
    </row>
    <row r="1755" spans="8:12">
      <c r="H1755"/>
      <c r="I1755"/>
      <c r="J1755"/>
      <c r="K1755"/>
      <c r="L1755"/>
    </row>
    <row r="1756" spans="8:12">
      <c r="H1756"/>
      <c r="I1756"/>
      <c r="J1756"/>
      <c r="K1756"/>
      <c r="L1756"/>
    </row>
    <row r="1757" spans="8:12">
      <c r="H1757"/>
      <c r="I1757"/>
      <c r="J1757"/>
      <c r="K1757"/>
      <c r="L1757"/>
    </row>
    <row r="1758" spans="8:12">
      <c r="H1758"/>
      <c r="I1758"/>
      <c r="J1758"/>
      <c r="K1758"/>
      <c r="L1758"/>
    </row>
    <row r="1759" spans="8:12">
      <c r="H1759"/>
      <c r="I1759"/>
      <c r="J1759"/>
      <c r="K1759"/>
      <c r="L1759"/>
    </row>
    <row r="1760" spans="8:12">
      <c r="H1760"/>
      <c r="I1760"/>
      <c r="J1760"/>
      <c r="K1760"/>
      <c r="L1760"/>
    </row>
    <row r="1761" spans="8:12">
      <c r="H1761"/>
      <c r="I1761"/>
      <c r="J1761"/>
      <c r="K1761"/>
      <c r="L1761"/>
    </row>
    <row r="1762" spans="8:12">
      <c r="H1762"/>
      <c r="I1762"/>
      <c r="J1762"/>
      <c r="K1762"/>
      <c r="L1762"/>
    </row>
    <row r="1763" spans="8:12">
      <c r="H1763"/>
      <c r="I1763"/>
      <c r="J1763"/>
      <c r="K1763"/>
      <c r="L1763"/>
    </row>
    <row r="1764" spans="8:12">
      <c r="H1764"/>
      <c r="I1764"/>
      <c r="J1764"/>
      <c r="K1764"/>
      <c r="L1764"/>
    </row>
    <row r="1765" spans="8:12">
      <c r="H1765"/>
      <c r="I1765"/>
      <c r="J1765"/>
      <c r="K1765"/>
      <c r="L1765"/>
    </row>
    <row r="1766" spans="8:12">
      <c r="H1766"/>
      <c r="I1766"/>
      <c r="J1766"/>
      <c r="K1766"/>
      <c r="L1766"/>
    </row>
    <row r="1767" spans="8:12">
      <c r="H1767"/>
      <c r="I1767"/>
      <c r="J1767"/>
      <c r="K1767"/>
      <c r="L1767"/>
    </row>
    <row r="1768" spans="8:12">
      <c r="H1768"/>
      <c r="I1768"/>
      <c r="J1768"/>
      <c r="K1768"/>
      <c r="L1768"/>
    </row>
    <row r="1769" spans="8:12">
      <c r="H1769"/>
      <c r="I1769"/>
      <c r="J1769"/>
      <c r="K1769"/>
      <c r="L1769"/>
    </row>
    <row r="1770" spans="8:12">
      <c r="H1770"/>
      <c r="I1770"/>
      <c r="J1770"/>
      <c r="K1770"/>
      <c r="L1770"/>
    </row>
    <row r="1771" spans="8:12">
      <c r="H1771"/>
      <c r="I1771"/>
      <c r="J1771"/>
      <c r="K1771"/>
      <c r="L1771"/>
    </row>
    <row r="1772" spans="8:12">
      <c r="H1772"/>
      <c r="I1772"/>
      <c r="J1772"/>
      <c r="K1772"/>
      <c r="L1772"/>
    </row>
    <row r="1773" spans="8:12">
      <c r="H1773"/>
      <c r="I1773"/>
      <c r="J1773"/>
      <c r="K1773"/>
      <c r="L1773"/>
    </row>
    <row r="1774" spans="8:12">
      <c r="H1774"/>
      <c r="I1774"/>
      <c r="J1774"/>
      <c r="K1774"/>
      <c r="L1774"/>
    </row>
    <row r="1775" spans="8:12">
      <c r="H1775"/>
      <c r="I1775"/>
      <c r="J1775"/>
      <c r="K1775"/>
      <c r="L1775"/>
    </row>
    <row r="1776" spans="8:12">
      <c r="H1776"/>
      <c r="I1776"/>
      <c r="J1776"/>
      <c r="K1776"/>
      <c r="L1776"/>
    </row>
    <row r="1777" spans="8:12">
      <c r="H1777"/>
      <c r="I1777"/>
      <c r="J1777"/>
      <c r="K1777"/>
      <c r="L1777"/>
    </row>
    <row r="1778" spans="8:12">
      <c r="H1778"/>
      <c r="I1778"/>
      <c r="J1778"/>
      <c r="K1778"/>
      <c r="L1778"/>
    </row>
    <row r="1779" spans="8:12">
      <c r="H1779"/>
      <c r="I1779"/>
      <c r="J1779"/>
      <c r="K1779"/>
      <c r="L1779"/>
    </row>
    <row r="1780" spans="8:12">
      <c r="H1780"/>
      <c r="I1780"/>
      <c r="J1780"/>
      <c r="K1780"/>
      <c r="L1780"/>
    </row>
    <row r="1781" spans="8:12">
      <c r="H1781"/>
      <c r="I1781"/>
      <c r="J1781"/>
      <c r="K1781"/>
      <c r="L1781"/>
    </row>
    <row r="1782" spans="8:12">
      <c r="H1782"/>
      <c r="I1782"/>
      <c r="J1782"/>
      <c r="K1782"/>
      <c r="L1782"/>
    </row>
    <row r="1783" spans="8:12">
      <c r="H1783"/>
      <c r="I1783"/>
      <c r="J1783"/>
      <c r="K1783"/>
      <c r="L1783"/>
    </row>
    <row r="1784" spans="8:12">
      <c r="H1784"/>
      <c r="I1784"/>
      <c r="J1784"/>
      <c r="K1784"/>
      <c r="L1784"/>
    </row>
    <row r="1785" spans="8:12">
      <c r="H1785"/>
      <c r="I1785"/>
      <c r="J1785"/>
      <c r="K1785"/>
      <c r="L1785"/>
    </row>
    <row r="1786" spans="8:12">
      <c r="H1786"/>
      <c r="I1786"/>
      <c r="J1786"/>
      <c r="K1786"/>
      <c r="L1786"/>
    </row>
    <row r="1787" spans="8:12">
      <c r="H1787"/>
      <c r="I1787"/>
      <c r="J1787"/>
      <c r="K1787"/>
      <c r="L1787"/>
    </row>
    <row r="1788" spans="8:12">
      <c r="H1788"/>
      <c r="I1788"/>
      <c r="J1788"/>
      <c r="K1788"/>
      <c r="L1788"/>
    </row>
    <row r="1789" spans="8:12">
      <c r="H1789"/>
      <c r="I1789"/>
      <c r="J1789"/>
      <c r="K1789"/>
      <c r="L1789"/>
    </row>
    <row r="1790" spans="8:12">
      <c r="H1790"/>
      <c r="I1790"/>
      <c r="J1790"/>
      <c r="K1790"/>
      <c r="L1790"/>
    </row>
    <row r="1791" spans="8:12">
      <c r="H1791"/>
      <c r="I1791"/>
      <c r="J1791"/>
      <c r="K1791"/>
      <c r="L1791"/>
    </row>
    <row r="1792" spans="8:12">
      <c r="H1792"/>
      <c r="I1792"/>
      <c r="J1792"/>
      <c r="K1792"/>
      <c r="L1792"/>
    </row>
    <row r="1793" spans="8:12">
      <c r="H1793"/>
      <c r="I1793"/>
      <c r="J1793"/>
      <c r="K1793"/>
      <c r="L1793"/>
    </row>
    <row r="1794" spans="8:12">
      <c r="H1794"/>
      <c r="I1794"/>
      <c r="J1794"/>
      <c r="K1794"/>
      <c r="L1794"/>
    </row>
    <row r="1795" spans="8:12">
      <c r="H1795"/>
      <c r="I1795"/>
      <c r="J1795"/>
      <c r="K1795"/>
      <c r="L1795"/>
    </row>
    <row r="1796" spans="8:12">
      <c r="H1796"/>
      <c r="I1796"/>
      <c r="J1796"/>
      <c r="K1796"/>
      <c r="L1796"/>
    </row>
    <row r="1797" spans="8:12">
      <c r="H1797"/>
      <c r="I1797"/>
      <c r="J1797"/>
      <c r="K1797"/>
      <c r="L1797"/>
    </row>
    <row r="1798" spans="8:12">
      <c r="H1798"/>
      <c r="I1798"/>
      <c r="J1798"/>
      <c r="K1798"/>
      <c r="L1798"/>
    </row>
    <row r="1799" spans="8:12">
      <c r="H1799"/>
      <c r="I1799"/>
      <c r="J1799"/>
      <c r="K1799"/>
      <c r="L1799"/>
    </row>
    <row r="1800" spans="8:12">
      <c r="H1800"/>
      <c r="I1800"/>
      <c r="J1800"/>
      <c r="K1800"/>
      <c r="L1800"/>
    </row>
    <row r="1801" spans="8:12">
      <c r="H1801"/>
      <c r="I1801"/>
      <c r="J1801"/>
      <c r="K1801"/>
      <c r="L1801"/>
    </row>
    <row r="1802" spans="8:12">
      <c r="H1802"/>
      <c r="I1802"/>
      <c r="J1802"/>
      <c r="K1802"/>
      <c r="L1802"/>
    </row>
    <row r="1803" spans="8:12">
      <c r="H1803"/>
      <c r="I1803"/>
      <c r="J1803"/>
      <c r="K1803"/>
      <c r="L1803"/>
    </row>
    <row r="1804" spans="8:12">
      <c r="H1804"/>
      <c r="I1804"/>
      <c r="J1804"/>
      <c r="K1804"/>
      <c r="L1804"/>
    </row>
    <row r="1805" spans="8:12">
      <c r="H1805"/>
      <c r="I1805"/>
      <c r="J1805"/>
      <c r="K1805"/>
      <c r="L1805"/>
    </row>
    <row r="1806" spans="8:12">
      <c r="H1806"/>
      <c r="I1806"/>
      <c r="J1806"/>
      <c r="K1806"/>
      <c r="L1806"/>
    </row>
    <row r="1807" spans="8:12">
      <c r="H1807"/>
      <c r="I1807"/>
      <c r="J1807"/>
      <c r="K1807"/>
      <c r="L1807"/>
    </row>
    <row r="1808" spans="8:12">
      <c r="H1808"/>
      <c r="I1808"/>
      <c r="J1808"/>
      <c r="K1808"/>
      <c r="L1808"/>
    </row>
    <row r="1809" spans="8:12">
      <c r="H1809"/>
      <c r="I1809"/>
      <c r="J1809"/>
      <c r="K1809"/>
      <c r="L1809"/>
    </row>
    <row r="1810" spans="8:12">
      <c r="H1810"/>
      <c r="I1810"/>
      <c r="J1810"/>
      <c r="K1810"/>
      <c r="L1810"/>
    </row>
    <row r="1811" spans="8:12">
      <c r="H1811"/>
      <c r="I1811"/>
      <c r="J1811"/>
      <c r="K1811"/>
      <c r="L1811"/>
    </row>
    <row r="1812" spans="8:12">
      <c r="H1812"/>
      <c r="I1812"/>
      <c r="J1812"/>
      <c r="K1812"/>
      <c r="L1812"/>
    </row>
    <row r="1813" spans="8:12">
      <c r="H1813"/>
      <c r="I1813"/>
      <c r="J1813"/>
      <c r="K1813"/>
      <c r="L1813"/>
    </row>
    <row r="1814" spans="8:12">
      <c r="H1814"/>
      <c r="I1814"/>
      <c r="J1814"/>
      <c r="K1814"/>
      <c r="L1814"/>
    </row>
    <row r="1815" spans="8:12">
      <c r="H1815"/>
      <c r="I1815"/>
      <c r="J1815"/>
      <c r="K1815"/>
      <c r="L1815"/>
    </row>
    <row r="1816" spans="8:12">
      <c r="H1816"/>
      <c r="I1816"/>
      <c r="J1816"/>
      <c r="K1816"/>
      <c r="L1816"/>
    </row>
    <row r="1817" spans="8:12">
      <c r="H1817"/>
      <c r="I1817"/>
      <c r="J1817"/>
      <c r="K1817"/>
      <c r="L1817"/>
    </row>
    <row r="1818" spans="8:12">
      <c r="H1818"/>
      <c r="I1818"/>
      <c r="J1818"/>
      <c r="K1818"/>
      <c r="L1818"/>
    </row>
    <row r="1819" spans="8:12">
      <c r="H1819"/>
      <c r="I1819"/>
      <c r="J1819"/>
      <c r="K1819"/>
      <c r="L1819"/>
    </row>
    <row r="1820" spans="8:12">
      <c r="H1820"/>
      <c r="I1820"/>
      <c r="J1820"/>
      <c r="K1820"/>
      <c r="L1820"/>
    </row>
    <row r="1821" spans="8:12">
      <c r="H1821"/>
      <c r="I1821"/>
      <c r="J1821"/>
      <c r="K1821"/>
      <c r="L1821"/>
    </row>
    <row r="1822" spans="8:12">
      <c r="H1822"/>
      <c r="I1822"/>
      <c r="J1822"/>
      <c r="K1822"/>
      <c r="L1822"/>
    </row>
    <row r="1823" spans="8:12">
      <c r="H1823"/>
      <c r="I1823"/>
      <c r="J1823"/>
      <c r="K1823"/>
      <c r="L1823"/>
    </row>
    <row r="1824" spans="8:12">
      <c r="H1824"/>
      <c r="I1824"/>
      <c r="J1824"/>
      <c r="K1824"/>
      <c r="L1824"/>
    </row>
    <row r="1825" spans="8:12">
      <c r="H1825"/>
      <c r="I1825"/>
      <c r="J1825"/>
      <c r="K1825"/>
      <c r="L1825"/>
    </row>
    <row r="1826" spans="8:12">
      <c r="H1826"/>
      <c r="I1826"/>
      <c r="J1826"/>
      <c r="K1826"/>
      <c r="L1826"/>
    </row>
    <row r="1827" spans="8:12">
      <c r="H1827"/>
      <c r="I1827"/>
      <c r="J1827"/>
      <c r="K1827"/>
      <c r="L1827"/>
    </row>
    <row r="1828" spans="8:12">
      <c r="H1828"/>
      <c r="I1828"/>
      <c r="J1828"/>
      <c r="K1828"/>
      <c r="L1828"/>
    </row>
    <row r="1829" spans="8:12">
      <c r="H1829"/>
      <c r="I1829"/>
      <c r="J1829"/>
      <c r="K1829"/>
      <c r="L1829"/>
    </row>
    <row r="1830" spans="8:12">
      <c r="H1830"/>
      <c r="I1830"/>
      <c r="J1830"/>
      <c r="K1830"/>
      <c r="L1830"/>
    </row>
    <row r="1831" spans="8:12">
      <c r="H1831"/>
      <c r="I1831"/>
      <c r="J1831"/>
      <c r="K1831"/>
      <c r="L1831"/>
    </row>
    <row r="1832" spans="8:12">
      <c r="H1832"/>
      <c r="I1832"/>
      <c r="J1832"/>
      <c r="K1832"/>
      <c r="L1832"/>
    </row>
    <row r="1833" spans="8:12">
      <c r="H1833"/>
      <c r="I1833"/>
      <c r="J1833"/>
      <c r="K1833"/>
      <c r="L1833"/>
    </row>
    <row r="1834" spans="8:12">
      <c r="H1834"/>
      <c r="I1834"/>
      <c r="J1834"/>
      <c r="K1834"/>
      <c r="L1834"/>
    </row>
    <row r="1835" spans="8:12">
      <c r="H1835"/>
      <c r="I1835"/>
      <c r="J1835"/>
      <c r="K1835"/>
      <c r="L1835"/>
    </row>
    <row r="1836" spans="8:12">
      <c r="H1836"/>
      <c r="I1836"/>
      <c r="J1836"/>
      <c r="K1836"/>
      <c r="L1836"/>
    </row>
    <row r="1837" spans="8:12">
      <c r="H1837"/>
      <c r="I1837"/>
      <c r="J1837"/>
      <c r="K1837"/>
      <c r="L1837"/>
    </row>
    <row r="1838" spans="8:12">
      <c r="H1838"/>
      <c r="I1838"/>
      <c r="J1838"/>
      <c r="K1838"/>
      <c r="L1838"/>
    </row>
    <row r="1839" spans="8:12">
      <c r="H1839"/>
      <c r="I1839"/>
      <c r="J1839"/>
      <c r="K1839"/>
      <c r="L1839"/>
    </row>
    <row r="1840" spans="8:12">
      <c r="H1840"/>
      <c r="I1840"/>
      <c r="J1840"/>
      <c r="K1840"/>
      <c r="L1840"/>
    </row>
    <row r="1841" spans="8:12">
      <c r="H1841"/>
      <c r="I1841"/>
      <c r="J1841"/>
      <c r="K1841"/>
      <c r="L1841"/>
    </row>
    <row r="1842" spans="8:12">
      <c r="H1842"/>
      <c r="I1842"/>
      <c r="J1842"/>
      <c r="K1842"/>
      <c r="L1842"/>
    </row>
    <row r="1843" spans="8:12">
      <c r="H1843"/>
      <c r="I1843"/>
      <c r="J1843"/>
      <c r="K1843"/>
      <c r="L1843"/>
    </row>
    <row r="1844" spans="8:12">
      <c r="H1844"/>
      <c r="I1844"/>
      <c r="J1844"/>
      <c r="K1844"/>
      <c r="L1844"/>
    </row>
    <row r="1845" spans="8:12">
      <c r="H1845"/>
      <c r="I1845"/>
      <c r="J1845"/>
      <c r="K1845"/>
      <c r="L1845"/>
    </row>
    <row r="1846" spans="8:12">
      <c r="H1846"/>
      <c r="I1846"/>
      <c r="J1846"/>
      <c r="K1846"/>
      <c r="L1846"/>
    </row>
    <row r="1847" spans="8:12">
      <c r="H1847"/>
      <c r="I1847"/>
      <c r="J1847"/>
      <c r="K1847"/>
      <c r="L1847"/>
    </row>
    <row r="1848" spans="8:12">
      <c r="H1848"/>
      <c r="I1848"/>
      <c r="J1848"/>
      <c r="K1848"/>
      <c r="L1848"/>
    </row>
    <row r="1849" spans="8:12">
      <c r="H1849"/>
      <c r="I1849"/>
      <c r="J1849"/>
      <c r="K1849"/>
      <c r="L1849"/>
    </row>
    <row r="1850" spans="8:12">
      <c r="H1850"/>
      <c r="I1850"/>
      <c r="J1850"/>
      <c r="K1850"/>
      <c r="L1850"/>
    </row>
    <row r="1851" spans="8:12">
      <c r="H1851"/>
      <c r="I1851"/>
      <c r="J1851"/>
      <c r="K1851"/>
      <c r="L1851"/>
    </row>
    <row r="1852" spans="8:12">
      <c r="H1852"/>
      <c r="I1852"/>
      <c r="J1852"/>
      <c r="K1852"/>
      <c r="L1852"/>
    </row>
    <row r="1853" spans="8:12">
      <c r="H1853"/>
      <c r="I1853"/>
      <c r="J1853"/>
      <c r="K1853"/>
      <c r="L1853"/>
    </row>
    <row r="1854" spans="8:12">
      <c r="H1854"/>
      <c r="I1854"/>
      <c r="J1854"/>
      <c r="K1854"/>
      <c r="L1854"/>
    </row>
    <row r="1855" spans="8:12">
      <c r="H1855"/>
      <c r="I1855"/>
      <c r="J1855"/>
      <c r="K1855"/>
      <c r="L1855"/>
    </row>
    <row r="1856" spans="8:12">
      <c r="H1856"/>
      <c r="I1856"/>
      <c r="J1856"/>
      <c r="K1856"/>
      <c r="L1856"/>
    </row>
    <row r="1857" spans="8:12">
      <c r="H1857"/>
      <c r="I1857"/>
      <c r="J1857"/>
      <c r="K1857"/>
      <c r="L1857"/>
    </row>
    <row r="1858" spans="8:12">
      <c r="H1858"/>
      <c r="I1858"/>
      <c r="J1858"/>
      <c r="K1858"/>
      <c r="L1858"/>
    </row>
    <row r="1859" spans="8:12">
      <c r="H1859"/>
      <c r="I1859"/>
      <c r="J1859"/>
      <c r="K1859"/>
      <c r="L1859"/>
    </row>
    <row r="1860" spans="8:12">
      <c r="H1860"/>
      <c r="I1860"/>
      <c r="J1860"/>
      <c r="K1860"/>
      <c r="L1860"/>
    </row>
    <row r="1861" spans="8:12">
      <c r="H1861"/>
      <c r="I1861"/>
      <c r="J1861"/>
      <c r="K1861"/>
      <c r="L1861"/>
    </row>
    <row r="1862" spans="8:12">
      <c r="H1862"/>
      <c r="I1862"/>
      <c r="J1862"/>
      <c r="K1862"/>
      <c r="L1862"/>
    </row>
    <row r="1863" spans="8:12">
      <c r="H1863"/>
      <c r="I1863"/>
      <c r="J1863"/>
      <c r="K1863"/>
      <c r="L1863"/>
    </row>
    <row r="1864" spans="8:12">
      <c r="H1864"/>
      <c r="I1864"/>
      <c r="J1864"/>
      <c r="K1864"/>
      <c r="L1864"/>
    </row>
    <row r="1865" spans="8:12">
      <c r="H1865"/>
      <c r="I1865"/>
      <c r="J1865"/>
      <c r="K1865"/>
      <c r="L1865"/>
    </row>
    <row r="1866" spans="8:12">
      <c r="H1866"/>
      <c r="I1866"/>
      <c r="J1866"/>
      <c r="K1866"/>
      <c r="L1866"/>
    </row>
    <row r="1867" spans="8:12">
      <c r="H1867"/>
      <c r="I1867"/>
      <c r="J1867"/>
      <c r="K1867"/>
      <c r="L1867"/>
    </row>
    <row r="1868" spans="8:12">
      <c r="H1868"/>
      <c r="I1868"/>
      <c r="J1868"/>
      <c r="K1868"/>
      <c r="L1868"/>
    </row>
    <row r="1869" spans="8:12">
      <c r="H1869"/>
      <c r="I1869"/>
      <c r="J1869"/>
      <c r="K1869"/>
      <c r="L1869"/>
    </row>
    <row r="1870" spans="8:12">
      <c r="H1870"/>
      <c r="I1870"/>
      <c r="J1870"/>
      <c r="K1870"/>
      <c r="L1870"/>
    </row>
    <row r="1871" spans="8:12">
      <c r="H1871"/>
      <c r="I1871"/>
      <c r="J1871"/>
      <c r="K1871"/>
      <c r="L1871"/>
    </row>
    <row r="1872" spans="8:12">
      <c r="H1872"/>
      <c r="I1872"/>
      <c r="J1872"/>
      <c r="K1872"/>
      <c r="L1872"/>
    </row>
    <row r="1873" spans="8:12">
      <c r="H1873"/>
      <c r="I1873"/>
      <c r="J1873"/>
      <c r="K1873"/>
      <c r="L1873"/>
    </row>
    <row r="1874" spans="8:12">
      <c r="H1874"/>
      <c r="I1874"/>
      <c r="J1874"/>
      <c r="K1874"/>
      <c r="L1874"/>
    </row>
    <row r="1875" spans="8:12">
      <c r="H1875"/>
      <c r="I1875"/>
      <c r="J1875"/>
      <c r="K1875"/>
      <c r="L1875"/>
    </row>
    <row r="1876" spans="8:12">
      <c r="H1876"/>
      <c r="I1876"/>
      <c r="J1876"/>
      <c r="K1876"/>
      <c r="L1876"/>
    </row>
    <row r="1877" spans="8:12">
      <c r="H1877"/>
      <c r="I1877"/>
      <c r="J1877"/>
      <c r="K1877"/>
      <c r="L1877"/>
    </row>
    <row r="1878" spans="8:12">
      <c r="H1878"/>
      <c r="I1878"/>
      <c r="J1878"/>
      <c r="K1878"/>
      <c r="L1878"/>
    </row>
    <row r="1879" spans="8:12">
      <c r="H1879"/>
      <c r="I1879"/>
      <c r="J1879"/>
      <c r="K1879"/>
      <c r="L1879"/>
    </row>
    <row r="1880" spans="8:12">
      <c r="H1880"/>
      <c r="I1880"/>
      <c r="J1880"/>
      <c r="K1880"/>
      <c r="L1880"/>
    </row>
    <row r="1881" spans="8:12">
      <c r="H1881"/>
      <c r="I1881"/>
      <c r="J1881"/>
      <c r="K1881"/>
      <c r="L1881"/>
    </row>
    <row r="1882" spans="8:12">
      <c r="H1882"/>
      <c r="I1882"/>
      <c r="J1882"/>
      <c r="K1882"/>
      <c r="L1882"/>
    </row>
    <row r="1883" spans="8:12">
      <c r="H1883"/>
      <c r="I1883"/>
      <c r="J1883"/>
      <c r="K1883"/>
      <c r="L1883"/>
    </row>
    <row r="1884" spans="8:12">
      <c r="H1884"/>
      <c r="I1884"/>
      <c r="J1884"/>
      <c r="K1884"/>
      <c r="L1884"/>
    </row>
    <row r="1885" spans="8:12">
      <c r="H1885"/>
      <c r="I1885"/>
      <c r="J1885"/>
      <c r="K1885"/>
      <c r="L1885"/>
    </row>
    <row r="1886" spans="8:12">
      <c r="H1886"/>
      <c r="I1886"/>
      <c r="J1886"/>
      <c r="K1886"/>
      <c r="L1886"/>
    </row>
    <row r="1887" spans="8:12">
      <c r="H1887"/>
      <c r="I1887"/>
      <c r="J1887"/>
      <c r="K1887"/>
      <c r="L1887"/>
    </row>
    <row r="1888" spans="8:12">
      <c r="H1888"/>
      <c r="I1888"/>
      <c r="J1888"/>
      <c r="K1888"/>
      <c r="L1888"/>
    </row>
    <row r="1889" spans="8:12">
      <c r="H1889"/>
      <c r="I1889"/>
      <c r="J1889"/>
      <c r="K1889"/>
      <c r="L1889"/>
    </row>
    <row r="1890" spans="8:12">
      <c r="H1890"/>
      <c r="I1890"/>
      <c r="J1890"/>
      <c r="K1890"/>
      <c r="L1890"/>
    </row>
    <row r="1891" spans="8:12">
      <c r="H1891"/>
      <c r="I1891"/>
      <c r="J1891"/>
      <c r="K1891"/>
      <c r="L1891"/>
    </row>
    <row r="1892" spans="8:12">
      <c r="H1892"/>
      <c r="I1892"/>
      <c r="J1892"/>
      <c r="K1892"/>
      <c r="L1892"/>
    </row>
    <row r="1893" spans="8:12">
      <c r="H1893"/>
      <c r="I1893"/>
      <c r="J1893"/>
      <c r="K1893"/>
      <c r="L1893"/>
    </row>
    <row r="1894" spans="8:12">
      <c r="H1894"/>
      <c r="I1894"/>
      <c r="J1894"/>
      <c r="K1894"/>
      <c r="L1894"/>
    </row>
    <row r="1895" spans="8:12">
      <c r="H1895"/>
      <c r="I1895"/>
      <c r="J1895"/>
      <c r="K1895"/>
      <c r="L1895"/>
    </row>
    <row r="1896" spans="8:12">
      <c r="H1896"/>
      <c r="I1896"/>
      <c r="J1896"/>
      <c r="K1896"/>
      <c r="L1896"/>
    </row>
    <row r="1897" spans="8:12">
      <c r="H1897"/>
      <c r="I1897"/>
      <c r="J1897"/>
      <c r="K1897"/>
      <c r="L1897"/>
    </row>
    <row r="1898" spans="8:12">
      <c r="H1898"/>
      <c r="I1898"/>
      <c r="J1898"/>
      <c r="K1898"/>
      <c r="L1898"/>
    </row>
    <row r="1899" spans="8:12">
      <c r="H1899"/>
      <c r="I1899"/>
      <c r="J1899"/>
      <c r="K1899"/>
      <c r="L1899"/>
    </row>
    <row r="1900" spans="8:12">
      <c r="H1900"/>
      <c r="I1900"/>
      <c r="J1900"/>
      <c r="K1900"/>
      <c r="L1900"/>
    </row>
    <row r="1901" spans="8:12">
      <c r="H1901"/>
      <c r="I1901"/>
      <c r="J1901"/>
      <c r="K1901"/>
      <c r="L1901"/>
    </row>
    <row r="1902" spans="8:12">
      <c r="H1902"/>
      <c r="I1902"/>
      <c r="J1902"/>
      <c r="K1902"/>
      <c r="L1902"/>
    </row>
    <row r="1903" spans="8:12">
      <c r="H1903"/>
      <c r="I1903"/>
      <c r="J1903"/>
      <c r="K1903"/>
      <c r="L1903"/>
    </row>
    <row r="1904" spans="8:12">
      <c r="H1904"/>
      <c r="I1904"/>
      <c r="J1904"/>
      <c r="K1904"/>
      <c r="L1904"/>
    </row>
    <row r="1905" spans="8:12">
      <c r="H1905"/>
      <c r="I1905"/>
      <c r="J1905"/>
      <c r="K1905"/>
      <c r="L1905"/>
    </row>
    <row r="1906" spans="8:12">
      <c r="H1906"/>
      <c r="I1906"/>
      <c r="J1906"/>
      <c r="K1906"/>
      <c r="L1906"/>
    </row>
    <row r="1907" spans="8:12">
      <c r="H1907"/>
      <c r="I1907"/>
      <c r="J1907"/>
      <c r="K1907"/>
      <c r="L1907"/>
    </row>
    <row r="1908" spans="8:12">
      <c r="H1908"/>
      <c r="I1908"/>
      <c r="J1908"/>
      <c r="K1908"/>
      <c r="L1908"/>
    </row>
    <row r="1909" spans="8:12">
      <c r="H1909"/>
      <c r="I1909"/>
      <c r="J1909"/>
      <c r="K1909"/>
      <c r="L1909"/>
    </row>
    <row r="1910" spans="8:12">
      <c r="H1910"/>
      <c r="I1910"/>
      <c r="J1910"/>
      <c r="K1910"/>
      <c r="L1910"/>
    </row>
    <row r="1911" spans="8:12">
      <c r="H1911"/>
      <c r="I1911"/>
      <c r="J1911"/>
      <c r="K1911"/>
      <c r="L1911"/>
    </row>
    <row r="1912" spans="8:12">
      <c r="H1912"/>
      <c r="I1912"/>
      <c r="J1912"/>
      <c r="K1912"/>
      <c r="L1912"/>
    </row>
    <row r="1913" spans="8:12">
      <c r="H1913"/>
      <c r="I1913"/>
      <c r="J1913"/>
      <c r="K1913"/>
      <c r="L1913"/>
    </row>
    <row r="1914" spans="8:12">
      <c r="H1914"/>
      <c r="I1914"/>
      <c r="J1914"/>
      <c r="K1914"/>
      <c r="L1914"/>
    </row>
    <row r="1915" spans="8:12">
      <c r="H1915"/>
      <c r="I1915"/>
      <c r="J1915"/>
      <c r="K1915"/>
      <c r="L1915"/>
    </row>
    <row r="1916" spans="8:12">
      <c r="H1916"/>
      <c r="I1916"/>
      <c r="J1916"/>
      <c r="K1916"/>
      <c r="L1916"/>
    </row>
    <row r="1917" spans="8:12">
      <c r="H1917"/>
      <c r="I1917"/>
      <c r="J1917"/>
      <c r="K1917"/>
      <c r="L1917"/>
    </row>
    <row r="1918" spans="8:12">
      <c r="H1918"/>
      <c r="I1918"/>
      <c r="J1918"/>
      <c r="K1918"/>
      <c r="L1918"/>
    </row>
    <row r="1919" spans="8:12">
      <c r="H1919"/>
      <c r="I1919"/>
      <c r="J1919"/>
      <c r="K1919"/>
      <c r="L1919"/>
    </row>
    <row r="1920" spans="8:12">
      <c r="H1920"/>
      <c r="I1920"/>
      <c r="J1920"/>
      <c r="K1920"/>
      <c r="L1920"/>
    </row>
    <row r="1921" spans="8:12">
      <c r="H1921"/>
      <c r="I1921"/>
      <c r="J1921"/>
      <c r="K1921"/>
      <c r="L1921"/>
    </row>
    <row r="1922" spans="8:12">
      <c r="H1922"/>
      <c r="I1922"/>
      <c r="J1922"/>
      <c r="K1922"/>
      <c r="L1922"/>
    </row>
    <row r="1923" spans="8:12">
      <c r="H1923"/>
      <c r="I1923"/>
      <c r="J1923"/>
      <c r="K1923"/>
      <c r="L1923"/>
    </row>
    <row r="1924" spans="8:12">
      <c r="H1924"/>
      <c r="I1924"/>
      <c r="J1924"/>
      <c r="K1924"/>
      <c r="L1924"/>
    </row>
    <row r="1925" spans="8:12">
      <c r="H1925"/>
      <c r="I1925"/>
      <c r="J1925"/>
      <c r="K1925"/>
      <c r="L1925"/>
    </row>
    <row r="1926" spans="8:12">
      <c r="H1926"/>
      <c r="I1926"/>
      <c r="J1926"/>
      <c r="K1926"/>
      <c r="L1926"/>
    </row>
    <row r="1927" spans="8:12">
      <c r="H1927"/>
      <c r="I1927"/>
      <c r="J1927"/>
      <c r="K1927"/>
      <c r="L1927"/>
    </row>
    <row r="1928" spans="8:12">
      <c r="H1928"/>
      <c r="I1928"/>
      <c r="J1928"/>
      <c r="K1928"/>
      <c r="L1928"/>
    </row>
    <row r="1929" spans="8:12">
      <c r="H1929"/>
      <c r="I1929"/>
      <c r="J1929"/>
      <c r="K1929"/>
      <c r="L1929"/>
    </row>
    <row r="1930" spans="8:12">
      <c r="H1930"/>
      <c r="I1930"/>
      <c r="J1930"/>
      <c r="K1930"/>
      <c r="L1930"/>
    </row>
    <row r="1931" spans="8:12">
      <c r="H1931"/>
      <c r="I1931"/>
      <c r="J1931"/>
      <c r="K1931"/>
      <c r="L1931"/>
    </row>
    <row r="1932" spans="8:12">
      <c r="H1932"/>
      <c r="I1932"/>
      <c r="J1932"/>
      <c r="K1932"/>
      <c r="L1932"/>
    </row>
    <row r="1933" spans="8:12">
      <c r="H1933"/>
      <c r="I1933"/>
      <c r="J1933"/>
      <c r="K1933"/>
      <c r="L1933"/>
    </row>
    <row r="1934" spans="8:12">
      <c r="H1934"/>
      <c r="I1934"/>
      <c r="J1934"/>
      <c r="K1934"/>
      <c r="L1934"/>
    </row>
    <row r="1935" spans="8:12">
      <c r="H1935"/>
      <c r="I1935"/>
      <c r="J1935"/>
      <c r="K1935"/>
      <c r="L1935"/>
    </row>
    <row r="1936" spans="8:12">
      <c r="H1936"/>
      <c r="I1936"/>
      <c r="J1936"/>
      <c r="K1936"/>
      <c r="L1936"/>
    </row>
    <row r="1937" spans="8:12">
      <c r="H1937"/>
      <c r="I1937"/>
      <c r="J1937"/>
      <c r="K1937"/>
      <c r="L1937"/>
    </row>
    <row r="1938" spans="8:12">
      <c r="H1938"/>
      <c r="I1938"/>
      <c r="J1938"/>
      <c r="K1938"/>
      <c r="L1938"/>
    </row>
    <row r="1939" spans="8:12">
      <c r="H1939"/>
      <c r="I1939"/>
      <c r="J1939"/>
      <c r="K1939"/>
      <c r="L1939"/>
    </row>
    <row r="1940" spans="8:12">
      <c r="H1940"/>
      <c r="I1940"/>
      <c r="J1940"/>
      <c r="K1940"/>
      <c r="L1940"/>
    </row>
    <row r="1941" spans="8:12">
      <c r="H1941"/>
      <c r="I1941"/>
      <c r="J1941"/>
      <c r="K1941"/>
      <c r="L1941"/>
    </row>
    <row r="1942" spans="8:12">
      <c r="H1942"/>
      <c r="I1942"/>
      <c r="J1942"/>
      <c r="K1942"/>
      <c r="L1942"/>
    </row>
    <row r="1943" spans="8:12">
      <c r="H1943"/>
      <c r="I1943"/>
      <c r="J1943"/>
      <c r="K1943"/>
      <c r="L1943"/>
    </row>
    <row r="1944" spans="8:12">
      <c r="H1944"/>
      <c r="I1944"/>
      <c r="J1944"/>
      <c r="K1944"/>
      <c r="L1944"/>
    </row>
    <row r="1945" spans="8:12">
      <c r="H1945"/>
      <c r="I1945"/>
      <c r="J1945"/>
      <c r="K1945"/>
      <c r="L1945"/>
    </row>
    <row r="1946" spans="8:12">
      <c r="H1946"/>
      <c r="I1946"/>
      <c r="J1946"/>
      <c r="K1946"/>
      <c r="L1946"/>
    </row>
    <row r="1947" spans="8:12">
      <c r="H1947"/>
      <c r="I1947"/>
      <c r="J1947"/>
      <c r="K1947"/>
      <c r="L1947"/>
    </row>
    <row r="1948" spans="8:12">
      <c r="H1948"/>
      <c r="I1948"/>
      <c r="J1948"/>
      <c r="K1948"/>
      <c r="L1948"/>
    </row>
    <row r="1949" spans="8:12">
      <c r="H1949"/>
      <c r="I1949"/>
      <c r="J1949"/>
      <c r="K1949"/>
      <c r="L1949"/>
    </row>
    <row r="1950" spans="8:12">
      <c r="H1950"/>
      <c r="I1950"/>
      <c r="J1950"/>
      <c r="K1950"/>
      <c r="L1950"/>
    </row>
    <row r="1951" spans="8:12">
      <c r="H1951"/>
      <c r="I1951"/>
      <c r="J1951"/>
      <c r="K1951"/>
      <c r="L1951"/>
    </row>
    <row r="1952" spans="8:12">
      <c r="H1952"/>
      <c r="I1952"/>
      <c r="J1952"/>
      <c r="K1952"/>
      <c r="L1952"/>
    </row>
    <row r="1953" spans="8:12">
      <c r="H1953"/>
      <c r="I1953"/>
      <c r="J1953"/>
      <c r="K1953"/>
      <c r="L1953"/>
    </row>
    <row r="1954" spans="8:12">
      <c r="H1954"/>
      <c r="I1954"/>
      <c r="J1954"/>
      <c r="K1954"/>
      <c r="L1954"/>
    </row>
    <row r="1955" spans="8:12">
      <c r="H1955"/>
      <c r="I1955"/>
      <c r="J1955"/>
      <c r="K1955"/>
      <c r="L1955"/>
    </row>
    <row r="1956" spans="8:12">
      <c r="H1956"/>
      <c r="I1956"/>
      <c r="J1956"/>
      <c r="K1956"/>
      <c r="L1956"/>
    </row>
    <row r="1957" spans="8:12">
      <c r="H1957"/>
      <c r="I1957"/>
      <c r="J1957"/>
      <c r="K1957"/>
      <c r="L1957"/>
    </row>
    <row r="1958" spans="8:12">
      <c r="H1958"/>
      <c r="I1958"/>
      <c r="J1958"/>
      <c r="K1958"/>
      <c r="L1958"/>
    </row>
    <row r="1959" spans="8:12">
      <c r="H1959"/>
      <c r="I1959"/>
      <c r="J1959"/>
      <c r="K1959"/>
      <c r="L1959"/>
    </row>
    <row r="1960" spans="8:12">
      <c r="H1960"/>
      <c r="I1960"/>
      <c r="J1960"/>
      <c r="K1960"/>
      <c r="L1960"/>
    </row>
    <row r="1961" spans="8:12">
      <c r="H1961"/>
      <c r="I1961"/>
      <c r="J1961"/>
      <c r="K1961"/>
      <c r="L1961"/>
    </row>
    <row r="1962" spans="8:12">
      <c r="H1962"/>
      <c r="I1962"/>
      <c r="J1962"/>
      <c r="K1962"/>
      <c r="L1962"/>
    </row>
    <row r="1963" spans="8:12">
      <c r="H1963"/>
      <c r="I1963"/>
      <c r="J1963"/>
      <c r="K1963"/>
      <c r="L1963"/>
    </row>
    <row r="1964" spans="8:12">
      <c r="H1964"/>
      <c r="I1964"/>
      <c r="J1964"/>
      <c r="K1964"/>
      <c r="L1964"/>
    </row>
    <row r="1965" spans="8:12">
      <c r="H1965"/>
      <c r="I1965"/>
      <c r="J1965"/>
      <c r="K1965"/>
      <c r="L1965"/>
    </row>
    <row r="1966" spans="8:12">
      <c r="H1966"/>
      <c r="I1966"/>
      <c r="J1966"/>
      <c r="K1966"/>
      <c r="L1966"/>
    </row>
    <row r="1967" spans="8:12">
      <c r="H1967"/>
      <c r="I1967"/>
      <c r="J1967"/>
      <c r="K1967"/>
      <c r="L1967"/>
    </row>
    <row r="1968" spans="8:12">
      <c r="H1968"/>
      <c r="I1968"/>
      <c r="J1968"/>
      <c r="K1968"/>
      <c r="L1968"/>
    </row>
    <row r="1969" spans="8:12">
      <c r="H1969"/>
      <c r="I1969"/>
      <c r="J1969"/>
      <c r="K1969"/>
      <c r="L1969"/>
    </row>
    <row r="1970" spans="8:12">
      <c r="H1970"/>
      <c r="I1970"/>
      <c r="J1970"/>
      <c r="K1970"/>
      <c r="L1970"/>
    </row>
    <row r="1971" spans="8:12">
      <c r="H1971"/>
      <c r="I1971"/>
      <c r="J1971"/>
      <c r="K1971"/>
      <c r="L1971"/>
    </row>
    <row r="1972" spans="8:12">
      <c r="H1972"/>
      <c r="I1972"/>
      <c r="J1972"/>
      <c r="K1972"/>
      <c r="L1972"/>
    </row>
    <row r="1973" spans="8:12">
      <c r="H1973"/>
      <c r="I1973"/>
      <c r="J1973"/>
      <c r="K1973"/>
      <c r="L1973"/>
    </row>
    <row r="1974" spans="8:12">
      <c r="H1974"/>
      <c r="I1974"/>
      <c r="J1974"/>
      <c r="K1974"/>
      <c r="L1974"/>
    </row>
    <row r="1975" spans="8:12">
      <c r="H1975"/>
      <c r="I1975"/>
      <c r="J1975"/>
      <c r="K1975"/>
      <c r="L1975"/>
    </row>
    <row r="1976" spans="8:12">
      <c r="H1976"/>
      <c r="I1976"/>
      <c r="J1976"/>
      <c r="K1976"/>
      <c r="L1976"/>
    </row>
    <row r="1977" spans="8:12">
      <c r="H1977"/>
      <c r="I1977"/>
      <c r="J1977"/>
      <c r="K1977"/>
      <c r="L1977"/>
    </row>
    <row r="1978" spans="8:12">
      <c r="H1978"/>
      <c r="I1978"/>
      <c r="J1978"/>
      <c r="K1978"/>
      <c r="L1978"/>
    </row>
    <row r="1979" spans="8:12">
      <c r="H1979"/>
      <c r="I1979"/>
      <c r="J1979"/>
      <c r="K1979"/>
      <c r="L1979"/>
    </row>
    <row r="1980" spans="8:12">
      <c r="H1980"/>
      <c r="I1980"/>
      <c r="J1980"/>
      <c r="K1980"/>
      <c r="L1980"/>
    </row>
    <row r="1981" spans="8:12">
      <c r="H1981"/>
      <c r="I1981"/>
      <c r="J1981"/>
      <c r="K1981"/>
      <c r="L1981"/>
    </row>
    <row r="1982" spans="8:12">
      <c r="H1982"/>
      <c r="I1982"/>
      <c r="J1982"/>
      <c r="K1982"/>
      <c r="L1982"/>
    </row>
    <row r="1983" spans="8:12">
      <c r="H1983"/>
      <c r="I1983"/>
      <c r="J1983"/>
      <c r="K1983"/>
      <c r="L1983"/>
    </row>
    <row r="1984" spans="8:12">
      <c r="H1984"/>
      <c r="I1984"/>
      <c r="J1984"/>
      <c r="K1984"/>
      <c r="L1984"/>
    </row>
    <row r="1985" spans="8:12">
      <c r="H1985"/>
      <c r="I1985"/>
      <c r="J1985"/>
      <c r="K1985"/>
      <c r="L1985"/>
    </row>
    <row r="1986" spans="8:12">
      <c r="H1986"/>
      <c r="I1986"/>
      <c r="J1986"/>
      <c r="K1986"/>
      <c r="L1986"/>
    </row>
    <row r="1987" spans="8:12">
      <c r="H1987"/>
      <c r="I1987"/>
      <c r="J1987"/>
      <c r="K1987"/>
      <c r="L1987"/>
    </row>
    <row r="1988" spans="8:12">
      <c r="H1988"/>
      <c r="I1988"/>
      <c r="J1988"/>
      <c r="K1988"/>
      <c r="L1988"/>
    </row>
    <row r="1989" spans="8:12">
      <c r="H1989"/>
      <c r="I1989"/>
      <c r="J1989"/>
      <c r="K1989"/>
      <c r="L1989"/>
    </row>
    <row r="1990" spans="8:12">
      <c r="H1990"/>
      <c r="I1990"/>
      <c r="J1990"/>
      <c r="K1990"/>
      <c r="L1990"/>
    </row>
    <row r="1991" spans="8:12">
      <c r="H1991"/>
      <c r="I1991"/>
      <c r="J1991"/>
      <c r="K1991"/>
      <c r="L1991"/>
    </row>
    <row r="1992" spans="8:12">
      <c r="H1992"/>
      <c r="I1992"/>
      <c r="J1992"/>
      <c r="K1992"/>
      <c r="L1992"/>
    </row>
    <row r="1993" spans="8:12">
      <c r="H1993"/>
      <c r="I1993"/>
      <c r="J1993"/>
      <c r="K1993"/>
      <c r="L1993"/>
    </row>
    <row r="1994" spans="8:12">
      <c r="H1994"/>
      <c r="I1994"/>
      <c r="J1994"/>
      <c r="K1994"/>
      <c r="L1994"/>
    </row>
    <row r="1995" spans="8:12">
      <c r="H1995"/>
      <c r="I1995"/>
      <c r="J1995"/>
      <c r="K1995"/>
      <c r="L1995"/>
    </row>
    <row r="1996" spans="8:12">
      <c r="H1996"/>
      <c r="I1996"/>
      <c r="J1996"/>
      <c r="K1996"/>
      <c r="L1996"/>
    </row>
    <row r="1997" spans="8:12">
      <c r="H1997"/>
      <c r="I1997"/>
      <c r="J1997"/>
      <c r="K1997"/>
      <c r="L1997"/>
    </row>
    <row r="1998" spans="8:12">
      <c r="H1998"/>
      <c r="I1998"/>
      <c r="J1998"/>
      <c r="K1998"/>
      <c r="L1998"/>
    </row>
    <row r="1999" spans="8:12">
      <c r="H1999"/>
      <c r="I1999"/>
      <c r="J1999"/>
      <c r="K1999"/>
      <c r="L1999"/>
    </row>
    <row r="2000" spans="8:12">
      <c r="H2000"/>
      <c r="I2000"/>
      <c r="J2000"/>
      <c r="K2000"/>
      <c r="L2000"/>
    </row>
    <row r="2001" spans="8:12">
      <c r="H2001"/>
      <c r="I2001"/>
      <c r="J2001"/>
      <c r="K2001"/>
      <c r="L2001"/>
    </row>
    <row r="2002" spans="8:12">
      <c r="H2002"/>
      <c r="I2002"/>
      <c r="J2002"/>
      <c r="K2002"/>
      <c r="L2002"/>
    </row>
    <row r="2003" spans="8:12">
      <c r="H2003"/>
      <c r="I2003"/>
      <c r="J2003"/>
      <c r="K2003"/>
      <c r="L2003"/>
    </row>
    <row r="2004" spans="8:12">
      <c r="H2004"/>
      <c r="I2004"/>
      <c r="J2004"/>
      <c r="K2004"/>
      <c r="L2004"/>
    </row>
    <row r="2005" spans="8:12">
      <c r="H2005"/>
      <c r="I2005"/>
      <c r="J2005"/>
      <c r="K2005"/>
      <c r="L2005"/>
    </row>
    <row r="2006" spans="8:12">
      <c r="H2006"/>
      <c r="I2006"/>
      <c r="J2006"/>
      <c r="K2006"/>
      <c r="L2006"/>
    </row>
    <row r="2007" spans="8:12">
      <c r="H2007"/>
      <c r="I2007"/>
      <c r="J2007"/>
      <c r="K2007"/>
      <c r="L2007"/>
    </row>
    <row r="2008" spans="8:12">
      <c r="H2008"/>
      <c r="I2008"/>
      <c r="J2008"/>
      <c r="K2008"/>
      <c r="L2008"/>
    </row>
    <row r="2009" spans="8:12">
      <c r="H2009"/>
      <c r="I2009"/>
      <c r="J2009"/>
      <c r="K2009"/>
      <c r="L2009"/>
    </row>
    <row r="2010" spans="8:12">
      <c r="H2010"/>
      <c r="I2010"/>
      <c r="J2010"/>
      <c r="K2010"/>
      <c r="L2010"/>
    </row>
    <row r="2011" spans="8:12">
      <c r="H2011"/>
      <c r="I2011"/>
      <c r="J2011"/>
      <c r="K2011"/>
      <c r="L2011"/>
    </row>
    <row r="2012" spans="8:12">
      <c r="H2012"/>
      <c r="I2012"/>
      <c r="J2012"/>
      <c r="K2012"/>
      <c r="L2012"/>
    </row>
    <row r="2013" spans="8:12">
      <c r="H2013"/>
      <c r="I2013"/>
      <c r="J2013"/>
      <c r="K2013"/>
      <c r="L2013"/>
    </row>
    <row r="2014" spans="8:12">
      <c r="H2014"/>
      <c r="I2014"/>
      <c r="J2014"/>
      <c r="K2014"/>
      <c r="L2014"/>
    </row>
    <row r="2015" spans="8:12">
      <c r="H2015"/>
      <c r="I2015"/>
      <c r="J2015"/>
      <c r="K2015"/>
      <c r="L2015"/>
    </row>
    <row r="2016" spans="8:12">
      <c r="H2016"/>
      <c r="I2016"/>
      <c r="J2016"/>
      <c r="K2016"/>
      <c r="L2016"/>
    </row>
    <row r="2017" spans="8:12">
      <c r="H2017"/>
      <c r="I2017"/>
      <c r="J2017"/>
      <c r="K2017"/>
      <c r="L2017"/>
    </row>
    <row r="2018" spans="8:12">
      <c r="H2018"/>
      <c r="I2018"/>
      <c r="J2018"/>
      <c r="K2018"/>
      <c r="L2018"/>
    </row>
    <row r="2019" spans="8:12">
      <c r="H2019"/>
      <c r="I2019"/>
      <c r="J2019"/>
      <c r="K2019"/>
      <c r="L2019"/>
    </row>
    <row r="2020" spans="8:12">
      <c r="H2020"/>
      <c r="I2020"/>
      <c r="J2020"/>
      <c r="K2020"/>
      <c r="L2020"/>
    </row>
    <row r="2021" spans="8:12">
      <c r="H2021"/>
      <c r="I2021"/>
      <c r="J2021"/>
      <c r="K2021"/>
      <c r="L2021"/>
    </row>
    <row r="2022" spans="8:12">
      <c r="H2022"/>
      <c r="I2022"/>
      <c r="J2022"/>
      <c r="K2022"/>
      <c r="L2022"/>
    </row>
    <row r="2023" spans="8:12">
      <c r="H2023"/>
      <c r="I2023"/>
      <c r="J2023"/>
      <c r="K2023"/>
      <c r="L2023"/>
    </row>
    <row r="2024" spans="8:12">
      <c r="H2024"/>
      <c r="I2024"/>
      <c r="J2024"/>
      <c r="K2024"/>
      <c r="L2024"/>
    </row>
    <row r="2025" spans="8:12">
      <c r="H2025"/>
      <c r="I2025"/>
      <c r="J2025"/>
      <c r="K2025"/>
      <c r="L2025"/>
    </row>
    <row r="2026" spans="8:12">
      <c r="H2026"/>
      <c r="I2026"/>
      <c r="J2026"/>
      <c r="K2026"/>
      <c r="L2026"/>
    </row>
    <row r="2027" spans="8:12">
      <c r="H2027"/>
      <c r="I2027"/>
      <c r="J2027"/>
      <c r="K2027"/>
      <c r="L2027"/>
    </row>
    <row r="2028" spans="8:12">
      <c r="H2028"/>
      <c r="I2028"/>
      <c r="J2028"/>
      <c r="K2028"/>
      <c r="L2028"/>
    </row>
    <row r="2029" spans="8:12">
      <c r="H2029"/>
      <c r="I2029"/>
      <c r="J2029"/>
      <c r="K2029"/>
      <c r="L2029"/>
    </row>
    <row r="2030" spans="8:12">
      <c r="H2030"/>
      <c r="I2030"/>
      <c r="J2030"/>
      <c r="K2030"/>
      <c r="L2030"/>
    </row>
    <row r="2031" spans="8:12">
      <c r="H2031"/>
      <c r="I2031"/>
      <c r="J2031"/>
      <c r="K2031"/>
      <c r="L2031"/>
    </row>
    <row r="2032" spans="8:12">
      <c r="H2032"/>
      <c r="I2032"/>
      <c r="J2032"/>
      <c r="K2032"/>
      <c r="L2032"/>
    </row>
    <row r="2033" spans="8:12">
      <c r="H2033"/>
      <c r="I2033"/>
      <c r="J2033"/>
      <c r="K2033"/>
      <c r="L2033"/>
    </row>
    <row r="2034" spans="8:12">
      <c r="H2034"/>
      <c r="I2034"/>
      <c r="J2034"/>
      <c r="K2034"/>
      <c r="L2034"/>
    </row>
    <row r="2035" spans="8:12">
      <c r="H2035"/>
      <c r="I2035"/>
      <c r="J2035"/>
      <c r="K2035"/>
      <c r="L2035"/>
    </row>
    <row r="2036" spans="8:12">
      <c r="H2036"/>
      <c r="I2036"/>
      <c r="J2036"/>
      <c r="K2036"/>
      <c r="L2036"/>
    </row>
    <row r="2037" spans="8:12">
      <c r="H2037"/>
      <c r="I2037"/>
      <c r="J2037"/>
      <c r="K2037"/>
      <c r="L2037"/>
    </row>
    <row r="2038" spans="8:12">
      <c r="H2038"/>
      <c r="I2038"/>
      <c r="J2038"/>
      <c r="K2038"/>
      <c r="L2038"/>
    </row>
    <row r="2039" spans="8:12">
      <c r="H2039"/>
      <c r="I2039"/>
      <c r="J2039"/>
      <c r="K2039"/>
      <c r="L2039"/>
    </row>
    <row r="2040" spans="8:12">
      <c r="H2040"/>
      <c r="I2040"/>
      <c r="J2040"/>
      <c r="K2040"/>
      <c r="L2040"/>
    </row>
    <row r="2041" spans="8:12">
      <c r="H2041"/>
      <c r="I2041"/>
      <c r="J2041"/>
      <c r="K2041"/>
      <c r="L2041"/>
    </row>
    <row r="2042" spans="8:12">
      <c r="H2042"/>
      <c r="I2042"/>
      <c r="J2042"/>
      <c r="K2042"/>
      <c r="L2042"/>
    </row>
    <row r="2043" spans="8:12">
      <c r="H2043"/>
      <c r="I2043"/>
      <c r="J2043"/>
      <c r="K2043"/>
      <c r="L2043"/>
    </row>
    <row r="2044" spans="8:12">
      <c r="H2044"/>
      <c r="I2044"/>
      <c r="J2044"/>
      <c r="K2044"/>
      <c r="L2044"/>
    </row>
    <row r="2045" spans="8:12">
      <c r="H2045"/>
      <c r="I2045"/>
      <c r="J2045"/>
      <c r="K2045"/>
      <c r="L2045"/>
    </row>
    <row r="2046" spans="8:12">
      <c r="H2046"/>
      <c r="I2046"/>
      <c r="J2046"/>
      <c r="K2046"/>
      <c r="L2046"/>
    </row>
    <row r="2047" spans="8:12">
      <c r="H2047"/>
      <c r="I2047"/>
      <c r="J2047"/>
      <c r="K2047"/>
      <c r="L2047"/>
    </row>
    <row r="2048" spans="8:12">
      <c r="H2048"/>
      <c r="I2048"/>
      <c r="J2048"/>
      <c r="K2048"/>
      <c r="L2048"/>
    </row>
    <row r="2049" spans="8:12">
      <c r="H2049"/>
      <c r="I2049"/>
      <c r="J2049"/>
      <c r="K2049"/>
      <c r="L2049"/>
    </row>
    <row r="2050" spans="8:12">
      <c r="H2050"/>
      <c r="I2050"/>
      <c r="J2050"/>
      <c r="K2050"/>
      <c r="L2050"/>
    </row>
    <row r="2051" spans="8:12">
      <c r="H2051"/>
      <c r="I2051"/>
      <c r="J2051"/>
      <c r="K2051"/>
      <c r="L2051"/>
    </row>
    <row r="2052" spans="8:12">
      <c r="H2052"/>
      <c r="I2052"/>
      <c r="J2052"/>
      <c r="K2052"/>
      <c r="L2052"/>
    </row>
    <row r="2053" spans="8:12">
      <c r="H2053"/>
      <c r="I2053"/>
      <c r="J2053"/>
      <c r="K2053"/>
      <c r="L2053"/>
    </row>
    <row r="2054" spans="8:12">
      <c r="H2054"/>
      <c r="I2054"/>
      <c r="J2054"/>
      <c r="K2054"/>
      <c r="L2054"/>
    </row>
    <row r="2055" spans="8:12">
      <c r="H2055"/>
      <c r="I2055"/>
      <c r="J2055"/>
      <c r="K2055"/>
      <c r="L2055"/>
    </row>
    <row r="2056" spans="8:12">
      <c r="H2056"/>
      <c r="I2056"/>
      <c r="J2056"/>
      <c r="K2056"/>
      <c r="L2056"/>
    </row>
    <row r="2057" spans="8:12">
      <c r="H2057"/>
      <c r="I2057"/>
      <c r="J2057"/>
      <c r="K2057"/>
      <c r="L2057"/>
    </row>
    <row r="2058" spans="8:12">
      <c r="H2058"/>
      <c r="I2058"/>
      <c r="J2058"/>
      <c r="K2058"/>
      <c r="L2058"/>
    </row>
    <row r="2059" spans="8:12">
      <c r="H2059"/>
      <c r="I2059"/>
      <c r="J2059"/>
      <c r="K2059"/>
      <c r="L2059"/>
    </row>
    <row r="2060" spans="8:12">
      <c r="H2060"/>
      <c r="I2060"/>
      <c r="J2060"/>
      <c r="K2060"/>
      <c r="L2060"/>
    </row>
    <row r="2061" spans="8:12">
      <c r="H2061"/>
      <c r="I2061"/>
      <c r="J2061"/>
      <c r="K2061"/>
      <c r="L2061"/>
    </row>
    <row r="2062" spans="8:12">
      <c r="H2062"/>
      <c r="I2062"/>
      <c r="J2062"/>
      <c r="K2062"/>
      <c r="L2062"/>
    </row>
    <row r="2063" spans="8:12">
      <c r="H2063"/>
      <c r="I2063"/>
      <c r="J2063"/>
      <c r="K2063"/>
      <c r="L2063"/>
    </row>
    <row r="2064" spans="8:12">
      <c r="H2064"/>
      <c r="I2064"/>
      <c r="J2064"/>
      <c r="K2064"/>
      <c r="L2064"/>
    </row>
    <row r="2065" spans="8:12">
      <c r="H2065"/>
      <c r="I2065"/>
      <c r="J2065"/>
      <c r="K2065"/>
      <c r="L2065"/>
    </row>
    <row r="2066" spans="8:12">
      <c r="H2066"/>
      <c r="I2066"/>
      <c r="J2066"/>
      <c r="K2066"/>
      <c r="L2066"/>
    </row>
    <row r="2067" spans="8:12">
      <c r="H2067"/>
      <c r="I2067"/>
      <c r="J2067"/>
      <c r="K2067"/>
      <c r="L2067"/>
    </row>
    <row r="2068" spans="8:12">
      <c r="H2068"/>
      <c r="I2068"/>
      <c r="J2068"/>
      <c r="K2068"/>
      <c r="L2068"/>
    </row>
    <row r="2069" spans="8:12">
      <c r="H2069"/>
      <c r="I2069"/>
      <c r="J2069"/>
      <c r="K2069"/>
      <c r="L2069"/>
    </row>
    <row r="2070" spans="8:12">
      <c r="H2070"/>
      <c r="I2070"/>
      <c r="J2070"/>
      <c r="K2070"/>
      <c r="L2070"/>
    </row>
    <row r="2071" spans="8:12">
      <c r="H2071"/>
      <c r="I2071"/>
      <c r="J2071"/>
      <c r="K2071"/>
      <c r="L2071"/>
    </row>
    <row r="2072" spans="8:12">
      <c r="H2072"/>
      <c r="I2072"/>
      <c r="J2072"/>
      <c r="K2072"/>
      <c r="L2072"/>
    </row>
    <row r="2073" spans="8:12">
      <c r="H2073"/>
      <c r="I2073"/>
      <c r="J2073"/>
      <c r="K2073"/>
      <c r="L2073"/>
    </row>
    <row r="2074" spans="8:12">
      <c r="H2074"/>
      <c r="I2074"/>
      <c r="J2074"/>
      <c r="K2074"/>
      <c r="L2074"/>
    </row>
    <row r="2075" spans="8:12">
      <c r="H2075"/>
      <c r="I2075"/>
      <c r="J2075"/>
      <c r="K2075"/>
      <c r="L2075"/>
    </row>
    <row r="2076" spans="8:12">
      <c r="H2076"/>
      <c r="I2076"/>
      <c r="J2076"/>
      <c r="K2076"/>
      <c r="L2076"/>
    </row>
    <row r="2077" spans="8:12">
      <c r="H2077"/>
      <c r="I2077"/>
      <c r="J2077"/>
      <c r="K2077"/>
      <c r="L2077"/>
    </row>
    <row r="2078" spans="8:12">
      <c r="H2078"/>
      <c r="I2078"/>
      <c r="J2078"/>
      <c r="K2078"/>
      <c r="L2078"/>
    </row>
    <row r="2079" spans="8:12">
      <c r="H2079"/>
      <c r="I2079"/>
      <c r="J2079"/>
      <c r="K2079"/>
      <c r="L2079"/>
    </row>
    <row r="2080" spans="8:12">
      <c r="H2080"/>
      <c r="I2080"/>
      <c r="J2080"/>
      <c r="K2080"/>
      <c r="L2080"/>
    </row>
    <row r="2081" spans="8:12">
      <c r="H2081"/>
      <c r="I2081"/>
      <c r="J2081"/>
      <c r="K2081"/>
      <c r="L2081"/>
    </row>
    <row r="2082" spans="8:12">
      <c r="H2082"/>
      <c r="I2082"/>
      <c r="J2082"/>
      <c r="K2082"/>
      <c r="L2082"/>
    </row>
    <row r="2083" spans="8:12">
      <c r="H2083"/>
      <c r="I2083"/>
      <c r="J2083"/>
      <c r="K2083"/>
      <c r="L2083"/>
    </row>
    <row r="2084" spans="8:12">
      <c r="H2084"/>
      <c r="I2084"/>
      <c r="J2084"/>
      <c r="K2084"/>
      <c r="L2084"/>
    </row>
    <row r="2085" spans="8:12">
      <c r="H2085"/>
      <c r="I2085"/>
      <c r="J2085"/>
      <c r="K2085"/>
      <c r="L2085"/>
    </row>
    <row r="2086" spans="8:12">
      <c r="H2086"/>
      <c r="I2086"/>
      <c r="J2086"/>
      <c r="K2086"/>
      <c r="L2086"/>
    </row>
    <row r="2087" spans="8:12">
      <c r="H2087"/>
      <c r="I2087"/>
      <c r="J2087"/>
      <c r="K2087"/>
      <c r="L2087"/>
    </row>
    <row r="2088" spans="8:12">
      <c r="H2088"/>
      <c r="I2088"/>
      <c r="J2088"/>
      <c r="K2088"/>
      <c r="L2088"/>
    </row>
    <row r="2089" spans="8:12">
      <c r="H2089"/>
      <c r="I2089"/>
      <c r="J2089"/>
      <c r="K2089"/>
      <c r="L2089"/>
    </row>
    <row r="2090" spans="8:12">
      <c r="H2090"/>
      <c r="I2090"/>
      <c r="J2090"/>
      <c r="K2090"/>
      <c r="L2090"/>
    </row>
    <row r="2091" spans="8:12">
      <c r="H2091"/>
      <c r="I2091"/>
      <c r="J2091"/>
      <c r="K2091"/>
      <c r="L2091"/>
    </row>
    <row r="2092" spans="8:12">
      <c r="H2092"/>
      <c r="I2092"/>
      <c r="J2092"/>
      <c r="K2092"/>
      <c r="L2092"/>
    </row>
    <row r="2093" spans="8:12">
      <c r="H2093"/>
      <c r="I2093"/>
      <c r="J2093"/>
      <c r="K2093"/>
      <c r="L2093"/>
    </row>
    <row r="2094" spans="8:12">
      <c r="H2094"/>
      <c r="I2094"/>
      <c r="J2094"/>
      <c r="K2094"/>
      <c r="L2094"/>
    </row>
    <row r="2095" spans="8:12">
      <c r="H2095"/>
      <c r="I2095"/>
      <c r="J2095"/>
      <c r="K2095"/>
      <c r="L2095"/>
    </row>
    <row r="2096" spans="8:12">
      <c r="H2096"/>
      <c r="I2096"/>
      <c r="J2096"/>
      <c r="K2096"/>
      <c r="L2096"/>
    </row>
    <row r="2097" spans="8:12">
      <c r="H2097"/>
      <c r="I2097"/>
      <c r="J2097"/>
      <c r="K2097"/>
      <c r="L2097"/>
    </row>
    <row r="2098" spans="8:12">
      <c r="H2098"/>
      <c r="I2098"/>
      <c r="J2098"/>
      <c r="K2098"/>
      <c r="L2098"/>
    </row>
    <row r="2099" spans="8:12">
      <c r="H2099"/>
      <c r="I2099"/>
      <c r="J2099"/>
      <c r="K2099"/>
      <c r="L2099"/>
    </row>
    <row r="2100" spans="8:12">
      <c r="H2100"/>
      <c r="I2100"/>
      <c r="J2100"/>
      <c r="K2100"/>
      <c r="L2100"/>
    </row>
    <row r="2101" spans="8:12">
      <c r="H2101"/>
      <c r="I2101"/>
      <c r="J2101"/>
      <c r="K2101"/>
      <c r="L2101"/>
    </row>
    <row r="2102" spans="8:12">
      <c r="H2102"/>
      <c r="I2102"/>
      <c r="J2102"/>
      <c r="K2102"/>
      <c r="L2102"/>
    </row>
    <row r="2103" spans="8:12">
      <c r="H2103"/>
      <c r="I2103"/>
      <c r="J2103"/>
      <c r="K2103"/>
      <c r="L2103"/>
    </row>
    <row r="2104" spans="8:12">
      <c r="H2104"/>
      <c r="I2104"/>
      <c r="J2104"/>
      <c r="K2104"/>
      <c r="L2104"/>
    </row>
    <row r="2105" spans="8:12">
      <c r="H2105"/>
      <c r="I2105"/>
      <c r="J2105"/>
      <c r="K2105"/>
      <c r="L2105"/>
    </row>
    <row r="2106" spans="8:12">
      <c r="H2106"/>
      <c r="I2106"/>
      <c r="J2106"/>
      <c r="K2106"/>
      <c r="L2106"/>
    </row>
    <row r="2107" spans="8:12">
      <c r="H2107"/>
      <c r="I2107"/>
      <c r="J2107"/>
      <c r="K2107"/>
      <c r="L2107"/>
    </row>
    <row r="2108" spans="8:12">
      <c r="H2108"/>
      <c r="I2108"/>
      <c r="J2108"/>
      <c r="K2108"/>
      <c r="L2108"/>
    </row>
    <row r="2109" spans="8:12">
      <c r="H2109"/>
      <c r="I2109"/>
      <c r="J2109"/>
      <c r="K2109"/>
      <c r="L2109"/>
    </row>
    <row r="2110" spans="8:12">
      <c r="H2110"/>
      <c r="I2110"/>
      <c r="J2110"/>
      <c r="K2110"/>
      <c r="L2110"/>
    </row>
    <row r="2111" spans="8:12">
      <c r="H2111"/>
      <c r="I2111"/>
      <c r="J2111"/>
      <c r="K2111"/>
      <c r="L2111"/>
    </row>
    <row r="2112" spans="8:12">
      <c r="H2112"/>
      <c r="I2112"/>
      <c r="J2112"/>
      <c r="K2112"/>
      <c r="L2112"/>
    </row>
    <row r="2113" spans="8:12">
      <c r="H2113"/>
      <c r="I2113"/>
      <c r="J2113"/>
      <c r="K2113"/>
      <c r="L2113"/>
    </row>
    <row r="2114" spans="8:12">
      <c r="H2114"/>
      <c r="I2114"/>
      <c r="J2114"/>
      <c r="K2114"/>
      <c r="L2114"/>
    </row>
    <row r="2115" spans="8:12">
      <c r="H2115"/>
      <c r="I2115"/>
      <c r="J2115"/>
      <c r="K2115"/>
      <c r="L2115"/>
    </row>
    <row r="2116" spans="8:12">
      <c r="H2116"/>
      <c r="I2116"/>
      <c r="J2116"/>
      <c r="K2116"/>
      <c r="L2116"/>
    </row>
    <row r="2117" spans="8:12">
      <c r="H2117"/>
      <c r="I2117"/>
      <c r="J2117"/>
      <c r="K2117"/>
      <c r="L2117"/>
    </row>
    <row r="2118" spans="8:12">
      <c r="H2118"/>
      <c r="I2118"/>
      <c r="J2118"/>
      <c r="K2118"/>
      <c r="L2118"/>
    </row>
    <row r="2119" spans="8:12">
      <c r="H2119"/>
      <c r="I2119"/>
      <c r="J2119"/>
      <c r="K2119"/>
      <c r="L2119"/>
    </row>
    <row r="2120" spans="8:12">
      <c r="H2120"/>
      <c r="I2120"/>
      <c r="J2120"/>
      <c r="K2120"/>
      <c r="L2120"/>
    </row>
    <row r="2121" spans="8:12">
      <c r="H2121"/>
      <c r="I2121"/>
      <c r="J2121"/>
      <c r="K2121"/>
      <c r="L2121"/>
    </row>
    <row r="2122" spans="8:12">
      <c r="H2122"/>
      <c r="I2122"/>
      <c r="J2122"/>
      <c r="K2122"/>
      <c r="L2122"/>
    </row>
    <row r="2123" spans="8:12">
      <c r="H2123"/>
      <c r="I2123"/>
      <c r="J2123"/>
      <c r="K2123"/>
      <c r="L2123"/>
    </row>
    <row r="2124" spans="8:12">
      <c r="H2124"/>
      <c r="I2124"/>
      <c r="J2124"/>
      <c r="K2124"/>
      <c r="L2124"/>
    </row>
    <row r="2125" spans="8:12">
      <c r="H2125"/>
      <c r="I2125"/>
      <c r="J2125"/>
      <c r="K2125"/>
      <c r="L2125"/>
    </row>
    <row r="2126" spans="8:12">
      <c r="H2126"/>
      <c r="I2126"/>
      <c r="J2126"/>
      <c r="K2126"/>
      <c r="L2126"/>
    </row>
    <row r="2127" spans="8:12">
      <c r="H2127"/>
      <c r="I2127"/>
      <c r="J2127"/>
      <c r="K2127"/>
      <c r="L2127"/>
    </row>
    <row r="2128" spans="8:12">
      <c r="H2128"/>
      <c r="I2128"/>
      <c r="J2128"/>
      <c r="K2128"/>
      <c r="L2128"/>
    </row>
    <row r="2129" spans="8:12">
      <c r="H2129"/>
      <c r="I2129"/>
      <c r="J2129"/>
      <c r="K2129"/>
      <c r="L2129"/>
    </row>
    <row r="2130" spans="8:12">
      <c r="H2130"/>
      <c r="I2130"/>
      <c r="J2130"/>
      <c r="K2130"/>
      <c r="L2130"/>
    </row>
    <row r="2131" spans="8:12">
      <c r="H2131"/>
      <c r="I2131"/>
      <c r="J2131"/>
      <c r="K2131"/>
      <c r="L2131"/>
    </row>
    <row r="2132" spans="8:12">
      <c r="H2132"/>
      <c r="I2132"/>
      <c r="J2132"/>
      <c r="K2132"/>
      <c r="L2132"/>
    </row>
    <row r="2133" spans="8:12">
      <c r="H2133"/>
      <c r="I2133"/>
      <c r="J2133"/>
      <c r="K2133"/>
      <c r="L2133"/>
    </row>
    <row r="2134" spans="8:12">
      <c r="H2134"/>
      <c r="I2134"/>
      <c r="J2134"/>
      <c r="K2134"/>
      <c r="L2134"/>
    </row>
    <row r="2135" spans="8:12">
      <c r="H2135"/>
      <c r="I2135"/>
      <c r="J2135"/>
      <c r="K2135"/>
      <c r="L2135"/>
    </row>
    <row r="2136" spans="8:12">
      <c r="H2136"/>
      <c r="I2136"/>
      <c r="J2136"/>
      <c r="K2136"/>
      <c r="L2136"/>
    </row>
    <row r="2137" spans="8:12">
      <c r="H2137"/>
      <c r="I2137"/>
      <c r="J2137"/>
      <c r="K2137"/>
      <c r="L2137"/>
    </row>
    <row r="2138" spans="8:12">
      <c r="H2138"/>
      <c r="I2138"/>
      <c r="J2138"/>
      <c r="K2138"/>
      <c r="L2138"/>
    </row>
    <row r="2139" spans="8:12">
      <c r="H2139"/>
      <c r="I2139"/>
      <c r="J2139"/>
      <c r="K2139"/>
      <c r="L2139"/>
    </row>
    <row r="2140" spans="8:12">
      <c r="H2140"/>
      <c r="I2140"/>
      <c r="J2140"/>
      <c r="K2140"/>
      <c r="L2140"/>
    </row>
    <row r="2141" spans="8:12">
      <c r="H2141"/>
      <c r="I2141"/>
      <c r="J2141"/>
      <c r="K2141"/>
      <c r="L2141"/>
    </row>
    <row r="2142" spans="8:12">
      <c r="H2142"/>
      <c r="I2142"/>
      <c r="J2142"/>
      <c r="K2142"/>
      <c r="L2142"/>
    </row>
    <row r="2143" spans="8:12">
      <c r="H2143"/>
      <c r="I2143"/>
      <c r="J2143"/>
      <c r="K2143"/>
      <c r="L2143"/>
    </row>
    <row r="2144" spans="8:12">
      <c r="H2144"/>
      <c r="I2144"/>
      <c r="J2144"/>
      <c r="K2144"/>
      <c r="L2144"/>
    </row>
    <row r="2145" spans="8:12">
      <c r="H2145"/>
      <c r="I2145"/>
      <c r="J2145"/>
      <c r="K2145"/>
      <c r="L2145"/>
    </row>
    <row r="2146" spans="8:12">
      <c r="H2146"/>
      <c r="I2146"/>
      <c r="J2146"/>
      <c r="K2146"/>
      <c r="L2146"/>
    </row>
    <row r="2147" spans="8:12">
      <c r="H2147"/>
      <c r="I2147"/>
      <c r="J2147"/>
      <c r="K2147"/>
      <c r="L2147"/>
    </row>
    <row r="2148" spans="8:12">
      <c r="H2148"/>
      <c r="I2148"/>
      <c r="J2148"/>
      <c r="K2148"/>
      <c r="L2148"/>
    </row>
    <row r="2149" spans="8:12">
      <c r="H2149"/>
      <c r="I2149"/>
      <c r="J2149"/>
      <c r="K2149"/>
      <c r="L2149"/>
    </row>
    <row r="2150" spans="8:12">
      <c r="H2150"/>
      <c r="I2150"/>
      <c r="J2150"/>
      <c r="K2150"/>
      <c r="L2150"/>
    </row>
    <row r="2151" spans="8:12">
      <c r="H2151"/>
      <c r="I2151"/>
      <c r="J2151"/>
      <c r="K2151"/>
      <c r="L2151"/>
    </row>
    <row r="2152" spans="8:12">
      <c r="H2152"/>
      <c r="I2152"/>
      <c r="J2152"/>
      <c r="K2152"/>
      <c r="L2152"/>
    </row>
    <row r="2153" spans="8:12">
      <c r="H2153"/>
      <c r="I2153"/>
      <c r="J2153"/>
      <c r="K2153"/>
      <c r="L2153"/>
    </row>
    <row r="2154" spans="8:12">
      <c r="H2154"/>
      <c r="I2154"/>
      <c r="J2154"/>
      <c r="K2154"/>
      <c r="L2154"/>
    </row>
    <row r="2155" spans="8:12">
      <c r="H2155"/>
      <c r="I2155"/>
      <c r="J2155"/>
      <c r="K2155"/>
      <c r="L2155"/>
    </row>
    <row r="2156" spans="8:12">
      <c r="H2156"/>
      <c r="I2156"/>
      <c r="J2156"/>
      <c r="K2156"/>
      <c r="L2156"/>
    </row>
    <row r="2157" spans="8:12">
      <c r="H2157"/>
      <c r="I2157"/>
      <c r="J2157"/>
      <c r="K2157"/>
      <c r="L2157"/>
    </row>
    <row r="2158" spans="8:12">
      <c r="H2158"/>
      <c r="I2158"/>
      <c r="J2158"/>
      <c r="K2158"/>
      <c r="L2158"/>
    </row>
    <row r="2159" spans="8:12">
      <c r="H2159"/>
      <c r="I2159"/>
      <c r="J2159"/>
      <c r="K2159"/>
      <c r="L2159"/>
    </row>
    <row r="2160" spans="8:12">
      <c r="H2160"/>
      <c r="I2160"/>
      <c r="J2160"/>
      <c r="K2160"/>
      <c r="L2160"/>
    </row>
    <row r="2161" spans="8:12">
      <c r="H2161"/>
      <c r="I2161"/>
      <c r="J2161"/>
      <c r="K2161"/>
      <c r="L2161"/>
    </row>
    <row r="2162" spans="8:12">
      <c r="H2162"/>
      <c r="I2162"/>
      <c r="J2162"/>
      <c r="K2162"/>
      <c r="L2162"/>
    </row>
    <row r="2163" spans="8:12">
      <c r="H2163"/>
      <c r="I2163"/>
      <c r="J2163"/>
      <c r="K2163"/>
      <c r="L2163"/>
    </row>
    <row r="2164" spans="8:12">
      <c r="H2164"/>
      <c r="I2164"/>
      <c r="J2164"/>
      <c r="K2164"/>
      <c r="L2164"/>
    </row>
    <row r="2165" spans="8:12">
      <c r="H2165"/>
      <c r="I2165"/>
      <c r="J2165"/>
      <c r="K2165"/>
      <c r="L2165"/>
    </row>
    <row r="2166" spans="8:12">
      <c r="H2166"/>
      <c r="I2166"/>
      <c r="J2166"/>
      <c r="K2166"/>
      <c r="L2166"/>
    </row>
    <row r="2167" spans="8:12">
      <c r="H2167"/>
      <c r="I2167"/>
      <c r="J2167"/>
      <c r="K2167"/>
      <c r="L2167"/>
    </row>
    <row r="2168" spans="8:12">
      <c r="H2168"/>
      <c r="I2168"/>
      <c r="J2168"/>
      <c r="K2168"/>
      <c r="L2168"/>
    </row>
    <row r="2169" spans="8:12">
      <c r="H2169"/>
      <c r="I2169"/>
      <c r="J2169"/>
      <c r="K2169"/>
      <c r="L2169"/>
    </row>
    <row r="2170" spans="8:12">
      <c r="H2170"/>
      <c r="I2170"/>
      <c r="J2170"/>
      <c r="K2170"/>
      <c r="L2170"/>
    </row>
    <row r="2171" spans="8:12">
      <c r="H2171"/>
      <c r="I2171"/>
      <c r="J2171"/>
      <c r="K2171"/>
      <c r="L2171"/>
    </row>
    <row r="2172" spans="8:12">
      <c r="H2172"/>
      <c r="I2172"/>
      <c r="J2172"/>
      <c r="K2172"/>
      <c r="L2172"/>
    </row>
    <row r="2173" spans="8:12">
      <c r="H2173"/>
      <c r="I2173"/>
      <c r="J2173"/>
      <c r="K2173"/>
      <c r="L2173"/>
    </row>
    <row r="2174" spans="8:12">
      <c r="H2174"/>
      <c r="I2174"/>
      <c r="J2174"/>
      <c r="K2174"/>
      <c r="L2174"/>
    </row>
    <row r="2175" spans="8:12">
      <c r="H2175"/>
      <c r="I2175"/>
      <c r="J2175"/>
      <c r="K2175"/>
      <c r="L2175"/>
    </row>
    <row r="2176" spans="8:12">
      <c r="H2176"/>
      <c r="I2176"/>
      <c r="J2176"/>
      <c r="K2176"/>
      <c r="L2176"/>
    </row>
    <row r="2177" spans="8:12">
      <c r="H2177"/>
      <c r="I2177"/>
      <c r="J2177"/>
      <c r="K2177"/>
      <c r="L2177"/>
    </row>
    <row r="2178" spans="8:12">
      <c r="H2178"/>
      <c r="I2178"/>
      <c r="J2178"/>
      <c r="K2178"/>
      <c r="L2178"/>
    </row>
    <row r="2179" spans="8:12">
      <c r="H2179"/>
      <c r="I2179"/>
      <c r="J2179"/>
      <c r="K2179"/>
      <c r="L2179"/>
    </row>
    <row r="2180" spans="8:12">
      <c r="H2180"/>
      <c r="I2180"/>
      <c r="J2180"/>
      <c r="K2180"/>
      <c r="L2180"/>
    </row>
    <row r="2181" spans="8:12">
      <c r="H2181"/>
      <c r="I2181"/>
      <c r="J2181"/>
      <c r="K2181"/>
      <c r="L2181"/>
    </row>
    <row r="2182" spans="8:12">
      <c r="H2182"/>
      <c r="I2182"/>
      <c r="J2182"/>
      <c r="K2182"/>
      <c r="L2182"/>
    </row>
    <row r="2183" spans="8:12">
      <c r="H2183"/>
      <c r="I2183"/>
      <c r="J2183"/>
      <c r="K2183"/>
      <c r="L2183"/>
    </row>
    <row r="2184" spans="8:12">
      <c r="H2184"/>
      <c r="I2184"/>
      <c r="J2184"/>
      <c r="K2184"/>
      <c r="L2184"/>
    </row>
    <row r="2185" spans="8:12">
      <c r="H2185"/>
      <c r="I2185"/>
      <c r="J2185"/>
      <c r="K2185"/>
      <c r="L2185"/>
    </row>
    <row r="2186" spans="8:12">
      <c r="H2186"/>
      <c r="I2186"/>
      <c r="J2186"/>
      <c r="K2186"/>
      <c r="L2186"/>
    </row>
    <row r="2187" spans="8:12">
      <c r="H2187"/>
      <c r="I2187"/>
      <c r="J2187"/>
      <c r="K2187"/>
      <c r="L2187"/>
    </row>
    <row r="2188" spans="8:12">
      <c r="H2188"/>
      <c r="I2188"/>
      <c r="J2188"/>
      <c r="K2188"/>
      <c r="L2188"/>
    </row>
    <row r="2189" spans="8:12">
      <c r="H2189"/>
      <c r="I2189"/>
      <c r="J2189"/>
      <c r="K2189"/>
      <c r="L2189"/>
    </row>
    <row r="2190" spans="8:12">
      <c r="H2190"/>
      <c r="I2190"/>
      <c r="J2190"/>
      <c r="K2190"/>
      <c r="L2190"/>
    </row>
    <row r="2191" spans="8:12">
      <c r="H2191"/>
      <c r="I2191"/>
      <c r="J2191"/>
      <c r="K2191"/>
      <c r="L2191"/>
    </row>
    <row r="2192" spans="8:12">
      <c r="H2192"/>
      <c r="I2192"/>
      <c r="J2192"/>
      <c r="K2192"/>
      <c r="L2192"/>
    </row>
    <row r="2193" spans="8:12">
      <c r="H2193"/>
      <c r="I2193"/>
      <c r="J2193"/>
      <c r="K2193"/>
      <c r="L2193"/>
    </row>
    <row r="2194" spans="8:12">
      <c r="H2194"/>
      <c r="I2194"/>
      <c r="J2194"/>
      <c r="K2194"/>
      <c r="L2194"/>
    </row>
    <row r="2195" spans="8:12">
      <c r="H2195"/>
      <c r="I2195"/>
      <c r="J2195"/>
      <c r="K2195"/>
      <c r="L2195"/>
    </row>
    <row r="2196" spans="8:12">
      <c r="H2196"/>
      <c r="I2196"/>
      <c r="J2196"/>
      <c r="K2196"/>
      <c r="L2196"/>
    </row>
    <row r="2197" spans="8:12">
      <c r="H2197"/>
      <c r="I2197"/>
      <c r="J2197"/>
      <c r="K2197"/>
      <c r="L2197"/>
    </row>
    <row r="2198" spans="8:12">
      <c r="H2198"/>
      <c r="I2198"/>
      <c r="J2198"/>
      <c r="K2198"/>
      <c r="L2198"/>
    </row>
    <row r="2199" spans="8:12">
      <c r="H2199"/>
      <c r="I2199"/>
      <c r="J2199"/>
      <c r="K2199"/>
      <c r="L2199"/>
    </row>
    <row r="2200" spans="8:12">
      <c r="H2200"/>
      <c r="I2200"/>
      <c r="J2200"/>
      <c r="K2200"/>
      <c r="L2200"/>
    </row>
    <row r="2201" spans="8:12">
      <c r="H2201"/>
      <c r="I2201"/>
      <c r="J2201"/>
      <c r="K2201"/>
      <c r="L2201"/>
    </row>
    <row r="2202" spans="8:12">
      <c r="H2202"/>
      <c r="I2202"/>
      <c r="J2202"/>
      <c r="K2202"/>
      <c r="L2202"/>
    </row>
    <row r="2203" spans="8:12">
      <c r="H2203"/>
      <c r="I2203"/>
      <c r="J2203"/>
      <c r="K2203"/>
      <c r="L2203"/>
    </row>
    <row r="2204" spans="8:12">
      <c r="H2204"/>
      <c r="I2204"/>
      <c r="J2204"/>
      <c r="K2204"/>
      <c r="L2204"/>
    </row>
    <row r="2205" spans="8:12">
      <c r="H2205"/>
      <c r="I2205"/>
      <c r="J2205"/>
      <c r="K2205"/>
      <c r="L2205"/>
    </row>
    <row r="2206" spans="8:12">
      <c r="H2206"/>
      <c r="I2206"/>
      <c r="J2206"/>
      <c r="K2206"/>
      <c r="L2206"/>
    </row>
    <row r="2207" spans="8:12">
      <c r="H2207"/>
      <c r="I2207"/>
      <c r="J2207"/>
      <c r="K2207"/>
      <c r="L2207"/>
    </row>
    <row r="2208" spans="8:12">
      <c r="H2208"/>
      <c r="I2208"/>
      <c r="J2208"/>
      <c r="K2208"/>
      <c r="L2208"/>
    </row>
    <row r="2209" spans="8:12">
      <c r="H2209"/>
      <c r="I2209"/>
      <c r="J2209"/>
      <c r="K2209"/>
      <c r="L2209"/>
    </row>
    <row r="2210" spans="8:12">
      <c r="H2210"/>
      <c r="I2210"/>
      <c r="J2210"/>
      <c r="K2210"/>
      <c r="L2210"/>
    </row>
    <row r="2211" spans="8:12">
      <c r="H2211"/>
      <c r="I2211"/>
      <c r="J2211"/>
      <c r="K2211"/>
      <c r="L2211"/>
    </row>
    <row r="2212" spans="8:12">
      <c r="H2212"/>
      <c r="I2212"/>
      <c r="J2212"/>
      <c r="K2212"/>
      <c r="L2212"/>
    </row>
    <row r="2213" spans="8:12">
      <c r="H2213"/>
      <c r="I2213"/>
      <c r="J2213"/>
      <c r="K2213"/>
      <c r="L2213"/>
    </row>
    <row r="2214" spans="8:12">
      <c r="H2214"/>
      <c r="I2214"/>
      <c r="J2214"/>
      <c r="K2214"/>
      <c r="L2214"/>
    </row>
    <row r="2215" spans="8:12">
      <c r="H2215"/>
      <c r="I2215"/>
      <c r="J2215"/>
      <c r="K2215"/>
      <c r="L2215"/>
    </row>
    <row r="2216" spans="8:12">
      <c r="H2216"/>
      <c r="I2216"/>
      <c r="J2216"/>
      <c r="K2216"/>
      <c r="L2216"/>
    </row>
    <row r="2217" spans="8:12">
      <c r="H2217"/>
      <c r="I2217"/>
      <c r="J2217"/>
      <c r="K2217"/>
      <c r="L2217"/>
    </row>
    <row r="2218" spans="8:12">
      <c r="H2218"/>
      <c r="I2218"/>
      <c r="J2218"/>
      <c r="K2218"/>
      <c r="L2218"/>
    </row>
    <row r="2219" spans="8:12">
      <c r="H2219"/>
      <c r="I2219"/>
      <c r="J2219"/>
      <c r="K2219"/>
      <c r="L2219"/>
    </row>
    <row r="2220" spans="8:12">
      <c r="H2220"/>
      <c r="I2220"/>
      <c r="J2220"/>
      <c r="K2220"/>
      <c r="L2220"/>
    </row>
    <row r="2221" spans="8:12">
      <c r="H2221"/>
      <c r="I2221"/>
      <c r="J2221"/>
      <c r="K2221"/>
      <c r="L2221"/>
    </row>
    <row r="2222" spans="8:12">
      <c r="H2222"/>
      <c r="I2222"/>
      <c r="J2222"/>
      <c r="K2222"/>
      <c r="L2222"/>
    </row>
    <row r="2223" spans="8:12">
      <c r="H2223"/>
      <c r="I2223"/>
      <c r="J2223"/>
      <c r="K2223"/>
      <c r="L2223"/>
    </row>
    <row r="2224" spans="8:12">
      <c r="H2224"/>
      <c r="I2224"/>
      <c r="J2224"/>
      <c r="K2224"/>
      <c r="L2224"/>
    </row>
    <row r="2225" spans="8:12">
      <c r="H2225"/>
      <c r="I2225"/>
      <c r="J2225"/>
      <c r="K2225"/>
      <c r="L2225"/>
    </row>
    <row r="2226" spans="8:12">
      <c r="H2226"/>
      <c r="I2226"/>
      <c r="J2226"/>
      <c r="K2226"/>
      <c r="L2226"/>
    </row>
    <row r="2227" spans="8:12">
      <c r="H2227"/>
      <c r="I2227"/>
      <c r="J2227"/>
      <c r="K2227"/>
      <c r="L2227"/>
    </row>
    <row r="2228" spans="8:12">
      <c r="H2228"/>
      <c r="I2228"/>
      <c r="J2228"/>
      <c r="K2228"/>
      <c r="L2228"/>
    </row>
    <row r="2229" spans="8:12">
      <c r="H2229"/>
      <c r="I2229"/>
      <c r="J2229"/>
      <c r="K2229"/>
      <c r="L2229"/>
    </row>
    <row r="2230" spans="8:12">
      <c r="H2230"/>
      <c r="I2230"/>
      <c r="J2230"/>
      <c r="K2230"/>
      <c r="L2230"/>
    </row>
    <row r="2231" spans="8:12">
      <c r="H2231"/>
      <c r="I2231"/>
      <c r="J2231"/>
      <c r="K2231"/>
      <c r="L2231"/>
    </row>
    <row r="2232" spans="8:12">
      <c r="H2232"/>
      <c r="I2232"/>
      <c r="J2232"/>
      <c r="K2232"/>
      <c r="L2232"/>
    </row>
    <row r="2233" spans="8:12">
      <c r="H2233"/>
      <c r="I2233"/>
      <c r="J2233"/>
      <c r="K2233"/>
      <c r="L2233"/>
    </row>
    <row r="2234" spans="8:12">
      <c r="H2234"/>
      <c r="I2234"/>
      <c r="J2234"/>
      <c r="K2234"/>
      <c r="L2234"/>
    </row>
    <row r="2235" spans="8:12">
      <c r="H2235"/>
      <c r="I2235"/>
      <c r="J2235"/>
      <c r="K2235"/>
      <c r="L2235"/>
    </row>
    <row r="2236" spans="8:12">
      <c r="H2236"/>
      <c r="I2236"/>
      <c r="J2236"/>
      <c r="K2236"/>
      <c r="L2236"/>
    </row>
    <row r="2237" spans="8:12">
      <c r="H2237"/>
      <c r="I2237"/>
      <c r="J2237"/>
      <c r="K2237"/>
      <c r="L2237"/>
    </row>
    <row r="2238" spans="8:12">
      <c r="H2238"/>
      <c r="I2238"/>
      <c r="J2238"/>
      <c r="K2238"/>
      <c r="L2238"/>
    </row>
    <row r="2239" spans="8:12">
      <c r="H2239"/>
      <c r="I2239"/>
      <c r="J2239"/>
      <c r="K2239"/>
      <c r="L2239"/>
    </row>
    <row r="2240" spans="8:12">
      <c r="H2240"/>
      <c r="I2240"/>
      <c r="J2240"/>
      <c r="K2240"/>
      <c r="L2240"/>
    </row>
    <row r="2241" spans="8:12">
      <c r="H2241"/>
      <c r="I2241"/>
      <c r="J2241"/>
      <c r="K2241"/>
      <c r="L2241"/>
    </row>
    <row r="2242" spans="8:12">
      <c r="H2242"/>
      <c r="I2242"/>
      <c r="J2242"/>
      <c r="K2242"/>
      <c r="L2242"/>
    </row>
    <row r="2243" spans="8:12">
      <c r="H2243"/>
      <c r="I2243"/>
      <c r="J2243"/>
      <c r="K2243"/>
      <c r="L2243"/>
    </row>
    <row r="2244" spans="8:12">
      <c r="H2244"/>
      <c r="I2244"/>
      <c r="J2244"/>
      <c r="K2244"/>
      <c r="L2244"/>
    </row>
    <row r="2245" spans="8:12">
      <c r="H2245"/>
      <c r="I2245"/>
      <c r="J2245"/>
      <c r="K2245"/>
      <c r="L2245"/>
    </row>
    <row r="2246" spans="8:12">
      <c r="H2246"/>
      <c r="I2246"/>
      <c r="J2246"/>
      <c r="K2246"/>
      <c r="L2246"/>
    </row>
    <row r="2247" spans="8:12">
      <c r="H2247"/>
      <c r="I2247"/>
      <c r="J2247"/>
      <c r="K2247"/>
      <c r="L2247"/>
    </row>
    <row r="2248" spans="8:12">
      <c r="H2248"/>
      <c r="I2248"/>
      <c r="J2248"/>
      <c r="K2248"/>
      <c r="L2248"/>
    </row>
    <row r="2249" spans="8:12">
      <c r="H2249"/>
      <c r="I2249"/>
      <c r="J2249"/>
      <c r="K2249"/>
      <c r="L2249"/>
    </row>
    <row r="2250" spans="8:12">
      <c r="H2250"/>
      <c r="I2250"/>
      <c r="J2250"/>
      <c r="K2250"/>
      <c r="L2250"/>
    </row>
    <row r="2251" spans="8:12">
      <c r="H2251"/>
      <c r="I2251"/>
      <c r="J2251"/>
      <c r="K2251"/>
      <c r="L2251"/>
    </row>
    <row r="2252" spans="8:12">
      <c r="H2252"/>
      <c r="I2252"/>
      <c r="J2252"/>
      <c r="K2252"/>
      <c r="L2252"/>
    </row>
    <row r="2253" spans="8:12">
      <c r="H2253"/>
      <c r="I2253"/>
      <c r="J2253"/>
      <c r="K2253"/>
      <c r="L2253"/>
    </row>
    <row r="2254" spans="8:12">
      <c r="H2254"/>
      <c r="I2254"/>
      <c r="J2254"/>
      <c r="K2254"/>
      <c r="L2254"/>
    </row>
    <row r="2255" spans="8:12">
      <c r="H2255"/>
      <c r="I2255"/>
      <c r="J2255"/>
      <c r="K2255"/>
      <c r="L2255"/>
    </row>
    <row r="2256" spans="8:12">
      <c r="H2256"/>
      <c r="I2256"/>
      <c r="J2256"/>
      <c r="K2256"/>
      <c r="L2256"/>
    </row>
    <row r="2257" spans="8:12">
      <c r="H2257"/>
      <c r="I2257"/>
      <c r="J2257"/>
      <c r="K2257"/>
      <c r="L2257"/>
    </row>
    <row r="2258" spans="8:12">
      <c r="H2258"/>
      <c r="I2258"/>
      <c r="J2258"/>
      <c r="K2258"/>
      <c r="L2258"/>
    </row>
    <row r="2259" spans="8:12">
      <c r="H2259"/>
      <c r="I2259"/>
      <c r="J2259"/>
      <c r="K2259"/>
      <c r="L2259"/>
    </row>
    <row r="2260" spans="8:12">
      <c r="H2260"/>
      <c r="I2260"/>
      <c r="J2260"/>
      <c r="K2260"/>
      <c r="L2260"/>
    </row>
    <row r="2261" spans="8:12">
      <c r="H2261"/>
      <c r="I2261"/>
      <c r="J2261"/>
      <c r="K2261"/>
      <c r="L2261"/>
    </row>
    <row r="2262" spans="8:12">
      <c r="H2262"/>
      <c r="I2262"/>
      <c r="J2262"/>
      <c r="K2262"/>
      <c r="L2262"/>
    </row>
    <row r="2263" spans="8:12">
      <c r="H2263"/>
      <c r="I2263"/>
      <c r="J2263"/>
      <c r="K2263"/>
      <c r="L2263"/>
    </row>
    <row r="2264" spans="8:12">
      <c r="H2264"/>
      <c r="I2264"/>
      <c r="J2264"/>
      <c r="K2264"/>
      <c r="L2264"/>
    </row>
    <row r="2265" spans="8:12">
      <c r="H2265"/>
      <c r="I2265"/>
      <c r="J2265"/>
      <c r="K2265"/>
      <c r="L2265"/>
    </row>
    <row r="2266" spans="8:12">
      <c r="H2266"/>
      <c r="I2266"/>
      <c r="J2266"/>
      <c r="K2266"/>
      <c r="L2266"/>
    </row>
    <row r="2267" spans="8:12">
      <c r="H2267"/>
      <c r="I2267"/>
      <c r="J2267"/>
      <c r="K2267"/>
      <c r="L2267"/>
    </row>
    <row r="2268" spans="8:12">
      <c r="H2268"/>
      <c r="I2268"/>
      <c r="J2268"/>
      <c r="K2268"/>
      <c r="L2268"/>
    </row>
    <row r="2269" spans="8:12">
      <c r="H2269"/>
      <c r="I2269"/>
      <c r="J2269"/>
      <c r="K2269"/>
      <c r="L2269"/>
    </row>
    <row r="2270" spans="8:12">
      <c r="H2270"/>
      <c r="I2270"/>
      <c r="J2270"/>
      <c r="K2270"/>
      <c r="L2270"/>
    </row>
    <row r="2271" spans="8:12">
      <c r="H2271"/>
      <c r="I2271"/>
      <c r="J2271"/>
      <c r="K2271"/>
      <c r="L2271"/>
    </row>
    <row r="2272" spans="8:12">
      <c r="H2272"/>
      <c r="I2272"/>
      <c r="J2272"/>
      <c r="K2272"/>
      <c r="L2272"/>
    </row>
    <row r="2273" spans="8:12">
      <c r="H2273"/>
      <c r="I2273"/>
      <c r="J2273"/>
      <c r="K2273"/>
      <c r="L2273"/>
    </row>
    <row r="2274" spans="8:12">
      <c r="H2274"/>
      <c r="I2274"/>
      <c r="J2274"/>
      <c r="K2274"/>
      <c r="L2274"/>
    </row>
    <row r="2275" spans="8:12">
      <c r="H2275"/>
      <c r="I2275"/>
      <c r="J2275"/>
      <c r="K2275"/>
      <c r="L2275"/>
    </row>
    <row r="2276" spans="8:12">
      <c r="H2276"/>
      <c r="I2276"/>
      <c r="J2276"/>
      <c r="K2276"/>
      <c r="L2276"/>
    </row>
    <row r="2277" spans="8:12">
      <c r="H2277"/>
      <c r="I2277"/>
      <c r="J2277"/>
      <c r="K2277"/>
      <c r="L2277"/>
    </row>
    <row r="2278" spans="8:12">
      <c r="H2278"/>
      <c r="I2278"/>
      <c r="J2278"/>
      <c r="K2278"/>
      <c r="L2278"/>
    </row>
    <row r="2279" spans="8:12">
      <c r="H2279"/>
      <c r="I2279"/>
      <c r="J2279"/>
      <c r="K2279"/>
      <c r="L2279"/>
    </row>
    <row r="2280" spans="8:12">
      <c r="H2280"/>
      <c r="I2280"/>
      <c r="J2280"/>
      <c r="K2280"/>
      <c r="L2280"/>
    </row>
    <row r="2281" spans="8:12">
      <c r="H2281"/>
      <c r="I2281"/>
      <c r="J2281"/>
      <c r="K2281"/>
      <c r="L2281"/>
    </row>
    <row r="2282" spans="8:12">
      <c r="H2282"/>
      <c r="I2282"/>
      <c r="J2282"/>
      <c r="K2282"/>
      <c r="L2282"/>
    </row>
    <row r="2283" spans="8:12">
      <c r="H2283"/>
      <c r="I2283"/>
      <c r="J2283"/>
      <c r="K2283"/>
      <c r="L2283"/>
    </row>
    <row r="2284" spans="8:12">
      <c r="H2284"/>
      <c r="I2284"/>
      <c r="J2284"/>
      <c r="K2284"/>
      <c r="L2284"/>
    </row>
    <row r="2285" spans="8:12">
      <c r="H2285"/>
      <c r="I2285"/>
      <c r="J2285"/>
      <c r="K2285"/>
      <c r="L2285"/>
    </row>
    <row r="2286" spans="8:12">
      <c r="H2286"/>
      <c r="I2286"/>
      <c r="J2286"/>
      <c r="K2286"/>
      <c r="L2286"/>
    </row>
    <row r="2287" spans="8:12">
      <c r="H2287"/>
      <c r="I2287"/>
      <c r="J2287"/>
      <c r="K2287"/>
      <c r="L2287"/>
    </row>
    <row r="2288" spans="8:12">
      <c r="H2288"/>
      <c r="I2288"/>
      <c r="J2288"/>
      <c r="K2288"/>
      <c r="L2288"/>
    </row>
    <row r="2289" spans="8:12">
      <c r="H2289"/>
      <c r="I2289"/>
      <c r="J2289"/>
      <c r="K2289"/>
      <c r="L2289"/>
    </row>
    <row r="2290" spans="8:12">
      <c r="H2290"/>
      <c r="I2290"/>
      <c r="J2290"/>
      <c r="K2290"/>
      <c r="L2290"/>
    </row>
    <row r="2291" spans="8:12">
      <c r="H2291"/>
      <c r="I2291"/>
      <c r="J2291"/>
      <c r="K2291"/>
      <c r="L2291"/>
    </row>
    <row r="2292" spans="8:12">
      <c r="H2292"/>
      <c r="I2292"/>
      <c r="J2292"/>
      <c r="K2292"/>
      <c r="L2292"/>
    </row>
    <row r="2293" spans="8:12">
      <c r="H2293"/>
      <c r="I2293"/>
      <c r="J2293"/>
      <c r="K2293"/>
      <c r="L2293"/>
    </row>
    <row r="2294" spans="8:12">
      <c r="H2294"/>
      <c r="I2294"/>
      <c r="J2294"/>
      <c r="K2294"/>
      <c r="L2294"/>
    </row>
    <row r="2295" spans="8:12">
      <c r="H2295"/>
      <c r="I2295"/>
      <c r="J2295"/>
      <c r="K2295"/>
      <c r="L2295"/>
    </row>
    <row r="2296" spans="8:12">
      <c r="H2296"/>
      <c r="I2296"/>
      <c r="J2296"/>
      <c r="K2296"/>
      <c r="L2296"/>
    </row>
    <row r="2297" spans="8:12">
      <c r="H2297"/>
      <c r="I2297"/>
      <c r="J2297"/>
      <c r="K2297"/>
      <c r="L2297"/>
    </row>
    <row r="2298" spans="8:12">
      <c r="H2298"/>
      <c r="I2298"/>
      <c r="J2298"/>
      <c r="K2298"/>
      <c r="L2298"/>
    </row>
    <row r="2299" spans="8:12">
      <c r="H2299"/>
      <c r="I2299"/>
      <c r="J2299"/>
      <c r="K2299"/>
      <c r="L2299"/>
    </row>
    <row r="2300" spans="8:12">
      <c r="H2300"/>
      <c r="I2300"/>
      <c r="J2300"/>
      <c r="K2300"/>
      <c r="L2300"/>
    </row>
    <row r="2301" spans="8:12">
      <c r="H2301"/>
      <c r="I2301"/>
      <c r="J2301"/>
      <c r="K2301"/>
      <c r="L2301"/>
    </row>
    <row r="2302" spans="8:12">
      <c r="H2302"/>
      <c r="I2302"/>
      <c r="J2302"/>
      <c r="K2302"/>
      <c r="L2302"/>
    </row>
    <row r="2303" spans="8:12">
      <c r="H2303"/>
      <c r="I2303"/>
      <c r="J2303"/>
      <c r="K2303"/>
      <c r="L2303"/>
    </row>
    <row r="2304" spans="8:12">
      <c r="H2304"/>
      <c r="I2304"/>
      <c r="J2304"/>
      <c r="K2304"/>
      <c r="L2304"/>
    </row>
    <row r="2305" spans="8:12">
      <c r="H2305"/>
      <c r="I2305"/>
      <c r="J2305"/>
      <c r="K2305"/>
      <c r="L2305"/>
    </row>
    <row r="2306" spans="8:12">
      <c r="H2306"/>
      <c r="I2306"/>
      <c r="J2306"/>
      <c r="K2306"/>
      <c r="L2306"/>
    </row>
    <row r="2307" spans="8:12">
      <c r="H2307"/>
      <c r="I2307"/>
      <c r="J2307"/>
      <c r="K2307"/>
      <c r="L2307"/>
    </row>
    <row r="2308" spans="8:12">
      <c r="H2308"/>
      <c r="I2308"/>
      <c r="J2308"/>
      <c r="K2308"/>
      <c r="L2308"/>
    </row>
    <row r="2309" spans="8:12">
      <c r="H2309"/>
      <c r="I2309"/>
      <c r="J2309"/>
      <c r="K2309"/>
      <c r="L2309"/>
    </row>
    <row r="2310" spans="8:12">
      <c r="H2310"/>
      <c r="I2310"/>
      <c r="J2310"/>
      <c r="K2310"/>
      <c r="L2310"/>
    </row>
    <row r="2311" spans="8:12">
      <c r="H2311"/>
      <c r="I2311"/>
      <c r="J2311"/>
      <c r="K2311"/>
      <c r="L2311"/>
    </row>
    <row r="2312" spans="8:12">
      <c r="H2312"/>
      <c r="I2312"/>
      <c r="J2312"/>
      <c r="K2312"/>
      <c r="L2312"/>
    </row>
    <row r="2313" spans="8:12">
      <c r="H2313"/>
      <c r="I2313"/>
      <c r="J2313"/>
      <c r="K2313"/>
      <c r="L2313"/>
    </row>
    <row r="2314" spans="8:12">
      <c r="H2314"/>
      <c r="I2314"/>
      <c r="J2314"/>
      <c r="K2314"/>
      <c r="L2314"/>
    </row>
    <row r="2315" spans="8:12">
      <c r="H2315"/>
      <c r="I2315"/>
      <c r="J2315"/>
      <c r="K2315"/>
      <c r="L2315"/>
    </row>
    <row r="2316" spans="8:12">
      <c r="H2316"/>
      <c r="I2316"/>
      <c r="J2316"/>
      <c r="K2316"/>
      <c r="L2316"/>
    </row>
    <row r="2317" spans="8:12">
      <c r="H2317"/>
      <c r="I2317"/>
      <c r="J2317"/>
      <c r="K2317"/>
      <c r="L2317"/>
    </row>
    <row r="2318" spans="8:12">
      <c r="H2318"/>
      <c r="I2318"/>
      <c r="J2318"/>
      <c r="K2318"/>
      <c r="L2318"/>
    </row>
    <row r="2319" spans="8:12">
      <c r="H2319"/>
      <c r="I2319"/>
      <c r="J2319"/>
      <c r="K2319"/>
      <c r="L2319"/>
    </row>
    <row r="2320" spans="8:12">
      <c r="H2320"/>
      <c r="I2320"/>
      <c r="J2320"/>
      <c r="K2320"/>
      <c r="L2320"/>
    </row>
    <row r="2321" spans="8:12">
      <c r="H2321"/>
      <c r="I2321"/>
      <c r="J2321"/>
      <c r="K2321"/>
      <c r="L2321"/>
    </row>
    <row r="2322" spans="8:12">
      <c r="H2322"/>
      <c r="I2322"/>
      <c r="J2322"/>
      <c r="K2322"/>
      <c r="L2322"/>
    </row>
    <row r="2323" spans="8:12">
      <c r="H2323"/>
      <c r="I2323"/>
      <c r="J2323"/>
      <c r="K2323"/>
      <c r="L2323"/>
    </row>
    <row r="2324" spans="8:12">
      <c r="H2324"/>
      <c r="I2324"/>
      <c r="J2324"/>
      <c r="K2324"/>
      <c r="L2324"/>
    </row>
    <row r="2325" spans="8:12">
      <c r="H2325"/>
      <c r="I2325"/>
      <c r="J2325"/>
      <c r="K2325"/>
      <c r="L2325"/>
    </row>
    <row r="2326" spans="8:12">
      <c r="H2326"/>
      <c r="I2326"/>
      <c r="J2326"/>
      <c r="K2326"/>
      <c r="L2326"/>
    </row>
    <row r="2327" spans="8:12">
      <c r="H2327"/>
      <c r="I2327"/>
      <c r="J2327"/>
      <c r="K2327"/>
      <c r="L2327"/>
    </row>
    <row r="2328" spans="8:12">
      <c r="H2328"/>
      <c r="I2328"/>
      <c r="J2328"/>
      <c r="K2328"/>
      <c r="L2328"/>
    </row>
    <row r="2329" spans="8:12">
      <c r="H2329"/>
      <c r="I2329"/>
      <c r="J2329"/>
      <c r="K2329"/>
      <c r="L2329"/>
    </row>
    <row r="2330" spans="8:12">
      <c r="H2330"/>
      <c r="I2330"/>
      <c r="J2330"/>
      <c r="K2330"/>
      <c r="L2330"/>
    </row>
    <row r="2331" spans="8:12">
      <c r="H2331"/>
      <c r="I2331"/>
      <c r="J2331"/>
      <c r="K2331"/>
      <c r="L2331"/>
    </row>
    <row r="2332" spans="8:12">
      <c r="H2332"/>
      <c r="I2332"/>
      <c r="J2332"/>
      <c r="K2332"/>
      <c r="L2332"/>
    </row>
    <row r="2333" spans="8:12">
      <c r="H2333"/>
      <c r="I2333"/>
      <c r="J2333"/>
      <c r="K2333"/>
      <c r="L2333"/>
    </row>
    <row r="2334" spans="8:12">
      <c r="H2334"/>
      <c r="I2334"/>
      <c r="J2334"/>
      <c r="K2334"/>
      <c r="L2334"/>
    </row>
    <row r="2335" spans="8:12">
      <c r="H2335"/>
      <c r="I2335"/>
      <c r="J2335"/>
      <c r="K2335"/>
      <c r="L2335"/>
    </row>
    <row r="2336" spans="8:12">
      <c r="H2336"/>
      <c r="I2336"/>
      <c r="J2336"/>
      <c r="K2336"/>
      <c r="L2336"/>
    </row>
    <row r="2337" spans="8:12">
      <c r="H2337"/>
      <c r="I2337"/>
      <c r="J2337"/>
      <c r="K2337"/>
      <c r="L2337"/>
    </row>
    <row r="2338" spans="8:12">
      <c r="H2338"/>
      <c r="I2338"/>
      <c r="J2338"/>
      <c r="K2338"/>
      <c r="L2338"/>
    </row>
    <row r="2339" spans="8:12">
      <c r="H2339"/>
      <c r="I2339"/>
      <c r="J2339"/>
      <c r="K2339"/>
      <c r="L2339"/>
    </row>
    <row r="2340" spans="8:12">
      <c r="H2340"/>
      <c r="I2340"/>
      <c r="J2340"/>
      <c r="K2340"/>
      <c r="L2340"/>
    </row>
    <row r="2341" spans="8:12">
      <c r="H2341"/>
      <c r="I2341"/>
      <c r="J2341"/>
      <c r="K2341"/>
      <c r="L2341"/>
    </row>
    <row r="2342" spans="8:12">
      <c r="H2342"/>
      <c r="I2342"/>
      <c r="J2342"/>
      <c r="K2342"/>
      <c r="L2342"/>
    </row>
    <row r="2343" spans="8:12">
      <c r="H2343"/>
      <c r="I2343"/>
      <c r="J2343"/>
      <c r="K2343"/>
      <c r="L2343"/>
    </row>
    <row r="2344" spans="8:12">
      <c r="H2344"/>
      <c r="I2344"/>
      <c r="J2344"/>
      <c r="K2344"/>
      <c r="L2344"/>
    </row>
    <row r="2345" spans="8:12">
      <c r="H2345"/>
      <c r="I2345"/>
      <c r="J2345"/>
      <c r="K2345"/>
      <c r="L2345"/>
    </row>
    <row r="2346" spans="8:12">
      <c r="H2346"/>
      <c r="I2346"/>
      <c r="J2346"/>
      <c r="K2346"/>
      <c r="L2346"/>
    </row>
    <row r="2347" spans="8:12">
      <c r="H2347"/>
      <c r="I2347"/>
      <c r="J2347"/>
      <c r="K2347"/>
      <c r="L2347"/>
    </row>
    <row r="2348" spans="8:12">
      <c r="H2348"/>
      <c r="I2348"/>
      <c r="J2348"/>
      <c r="K2348"/>
      <c r="L2348"/>
    </row>
    <row r="2349" spans="8:12">
      <c r="H2349"/>
      <c r="I2349"/>
      <c r="J2349"/>
      <c r="K2349"/>
      <c r="L2349"/>
    </row>
    <row r="2350" spans="8:12">
      <c r="H2350"/>
      <c r="I2350"/>
      <c r="J2350"/>
      <c r="K2350"/>
      <c r="L2350"/>
    </row>
    <row r="2351" spans="8:12">
      <c r="H2351"/>
      <c r="I2351"/>
      <c r="J2351"/>
      <c r="K2351"/>
      <c r="L2351"/>
    </row>
    <row r="2352" spans="8:12">
      <c r="H2352"/>
      <c r="I2352"/>
      <c r="J2352"/>
      <c r="K2352"/>
      <c r="L2352"/>
    </row>
    <row r="2353" spans="8:12">
      <c r="H2353"/>
      <c r="I2353"/>
      <c r="J2353"/>
      <c r="K2353"/>
      <c r="L2353"/>
    </row>
    <row r="2354" spans="8:12">
      <c r="H2354"/>
      <c r="I2354"/>
      <c r="J2354"/>
      <c r="K2354"/>
      <c r="L2354"/>
    </row>
    <row r="2355" spans="8:12">
      <c r="H2355"/>
      <c r="I2355"/>
      <c r="J2355"/>
      <c r="K2355"/>
      <c r="L2355"/>
    </row>
    <row r="2356" spans="8:12">
      <c r="H2356"/>
      <c r="I2356"/>
      <c r="J2356"/>
      <c r="K2356"/>
      <c r="L2356"/>
    </row>
    <row r="2357" spans="8:12">
      <c r="H2357"/>
      <c r="I2357"/>
      <c r="J2357"/>
      <c r="K2357"/>
      <c r="L2357"/>
    </row>
    <row r="2358" spans="8:12">
      <c r="H2358"/>
      <c r="I2358"/>
      <c r="J2358"/>
      <c r="K2358"/>
      <c r="L2358"/>
    </row>
    <row r="2359" spans="8:12">
      <c r="H2359"/>
      <c r="I2359"/>
      <c r="J2359"/>
      <c r="K2359"/>
      <c r="L2359"/>
    </row>
    <row r="2360" spans="8:12">
      <c r="H2360"/>
      <c r="I2360"/>
      <c r="J2360"/>
      <c r="K2360"/>
      <c r="L2360"/>
    </row>
    <row r="2361" spans="8:12">
      <c r="H2361"/>
      <c r="I2361"/>
      <c r="J2361"/>
      <c r="K2361"/>
      <c r="L2361"/>
    </row>
    <row r="2362" spans="8:12">
      <c r="H2362"/>
      <c r="I2362"/>
      <c r="J2362"/>
      <c r="K2362"/>
      <c r="L2362"/>
    </row>
    <row r="2363" spans="8:12">
      <c r="H2363"/>
      <c r="I2363"/>
      <c r="J2363"/>
      <c r="K2363"/>
      <c r="L2363"/>
    </row>
    <row r="2364" spans="8:12">
      <c r="H2364"/>
      <c r="I2364"/>
      <c r="J2364"/>
      <c r="K2364"/>
      <c r="L2364"/>
    </row>
    <row r="2365" spans="8:12">
      <c r="H2365"/>
      <c r="I2365"/>
      <c r="J2365"/>
      <c r="K2365"/>
      <c r="L2365"/>
    </row>
    <row r="2366" spans="8:12">
      <c r="H2366"/>
      <c r="I2366"/>
      <c r="J2366"/>
      <c r="K2366"/>
      <c r="L2366"/>
    </row>
    <row r="2367" spans="8:12">
      <c r="H2367"/>
      <c r="I2367"/>
      <c r="J2367"/>
      <c r="K2367"/>
      <c r="L2367"/>
    </row>
    <row r="2368" spans="8:12">
      <c r="H2368"/>
      <c r="I2368"/>
      <c r="J2368"/>
      <c r="K2368"/>
      <c r="L2368"/>
    </row>
    <row r="2369" spans="8:12">
      <c r="H2369"/>
      <c r="I2369"/>
      <c r="J2369"/>
      <c r="K2369"/>
      <c r="L2369"/>
    </row>
    <row r="2370" spans="8:12">
      <c r="H2370"/>
      <c r="I2370"/>
      <c r="J2370"/>
      <c r="K2370"/>
      <c r="L2370"/>
    </row>
    <row r="2371" spans="8:12">
      <c r="H2371"/>
      <c r="I2371"/>
      <c r="J2371"/>
      <c r="K2371"/>
      <c r="L2371"/>
    </row>
    <row r="2372" spans="8:12">
      <c r="H2372"/>
      <c r="I2372"/>
      <c r="J2372"/>
      <c r="K2372"/>
      <c r="L2372"/>
    </row>
    <row r="2373" spans="8:12">
      <c r="H2373"/>
      <c r="I2373"/>
      <c r="J2373"/>
      <c r="K2373"/>
      <c r="L2373"/>
    </row>
    <row r="2374" spans="8:12">
      <c r="H2374"/>
      <c r="I2374"/>
      <c r="J2374"/>
      <c r="K2374"/>
      <c r="L2374"/>
    </row>
    <row r="2375" spans="8:12">
      <c r="H2375"/>
      <c r="I2375"/>
      <c r="J2375"/>
      <c r="K2375"/>
      <c r="L2375"/>
    </row>
    <row r="2376" spans="8:12">
      <c r="H2376"/>
      <c r="I2376"/>
      <c r="J2376"/>
      <c r="K2376"/>
      <c r="L2376"/>
    </row>
    <row r="2377" spans="8:12">
      <c r="H2377"/>
      <c r="I2377"/>
      <c r="J2377"/>
      <c r="K2377"/>
      <c r="L2377"/>
    </row>
    <row r="2378" spans="8:12">
      <c r="H2378"/>
      <c r="I2378"/>
      <c r="J2378"/>
      <c r="K2378"/>
      <c r="L2378"/>
    </row>
    <row r="2379" spans="8:12">
      <c r="H2379"/>
      <c r="I2379"/>
      <c r="J2379"/>
      <c r="K2379"/>
      <c r="L2379"/>
    </row>
    <row r="2380" spans="8:12">
      <c r="H2380"/>
      <c r="I2380"/>
      <c r="J2380"/>
      <c r="K2380"/>
      <c r="L2380"/>
    </row>
    <row r="2381" spans="8:12">
      <c r="H2381"/>
      <c r="I2381"/>
      <c r="J2381"/>
      <c r="K2381"/>
      <c r="L2381"/>
    </row>
    <row r="2382" spans="8:12">
      <c r="H2382"/>
      <c r="I2382"/>
      <c r="J2382"/>
      <c r="K2382"/>
      <c r="L2382"/>
    </row>
    <row r="2383" spans="8:12">
      <c r="H2383"/>
      <c r="I2383"/>
      <c r="J2383"/>
      <c r="K2383"/>
      <c r="L2383"/>
    </row>
    <row r="2384" spans="8:12">
      <c r="H2384"/>
      <c r="I2384"/>
      <c r="J2384"/>
      <c r="K2384"/>
      <c r="L2384"/>
    </row>
    <row r="2385" spans="8:12">
      <c r="H2385"/>
      <c r="I2385"/>
      <c r="J2385"/>
      <c r="K2385"/>
      <c r="L2385"/>
    </row>
    <row r="2386" spans="8:12">
      <c r="H2386"/>
      <c r="I2386"/>
      <c r="J2386"/>
      <c r="K2386"/>
      <c r="L2386"/>
    </row>
    <row r="2387" spans="8:12">
      <c r="H2387"/>
      <c r="I2387"/>
      <c r="J2387"/>
      <c r="K2387"/>
      <c r="L2387"/>
    </row>
    <row r="2388" spans="8:12">
      <c r="H2388"/>
      <c r="I2388"/>
      <c r="J2388"/>
      <c r="K2388"/>
      <c r="L2388"/>
    </row>
    <row r="2389" spans="8:12">
      <c r="H2389"/>
      <c r="I2389"/>
      <c r="J2389"/>
      <c r="K2389"/>
      <c r="L2389"/>
    </row>
    <row r="2390" spans="8:12">
      <c r="H2390"/>
      <c r="I2390"/>
      <c r="J2390"/>
      <c r="K2390"/>
      <c r="L2390"/>
    </row>
    <row r="2391" spans="8:12">
      <c r="H2391"/>
      <c r="I2391"/>
      <c r="J2391"/>
      <c r="K2391"/>
      <c r="L2391"/>
    </row>
    <row r="2392" spans="8:12">
      <c r="H2392"/>
      <c r="I2392"/>
      <c r="J2392"/>
      <c r="K2392"/>
      <c r="L2392"/>
    </row>
    <row r="2393" spans="8:12">
      <c r="H2393"/>
      <c r="I2393"/>
      <c r="J2393"/>
      <c r="K2393"/>
      <c r="L2393"/>
    </row>
    <row r="2394" spans="8:12">
      <c r="H2394"/>
      <c r="I2394"/>
      <c r="J2394"/>
      <c r="K2394"/>
      <c r="L2394"/>
    </row>
    <row r="2395" spans="8:12">
      <c r="H2395"/>
      <c r="I2395"/>
      <c r="J2395"/>
      <c r="K2395"/>
      <c r="L2395"/>
    </row>
    <row r="2396" spans="8:12">
      <c r="H2396"/>
      <c r="I2396"/>
      <c r="J2396"/>
      <c r="K2396"/>
      <c r="L2396"/>
    </row>
    <row r="2397" spans="8:12">
      <c r="H2397"/>
      <c r="I2397"/>
      <c r="J2397"/>
      <c r="K2397"/>
      <c r="L2397"/>
    </row>
    <row r="2398" spans="8:12">
      <c r="H2398"/>
      <c r="I2398"/>
      <c r="J2398"/>
      <c r="K2398"/>
      <c r="L2398"/>
    </row>
    <row r="2399" spans="8:12">
      <c r="H2399"/>
      <c r="I2399"/>
      <c r="J2399"/>
      <c r="K2399"/>
      <c r="L2399"/>
    </row>
    <row r="2400" spans="8:12">
      <c r="H2400"/>
      <c r="I2400"/>
      <c r="J2400"/>
      <c r="K2400"/>
      <c r="L2400"/>
    </row>
    <row r="2401" spans="8:12">
      <c r="H2401"/>
      <c r="I2401"/>
      <c r="J2401"/>
      <c r="K2401"/>
      <c r="L2401"/>
    </row>
    <row r="2402" spans="8:12">
      <c r="H2402"/>
      <c r="I2402"/>
      <c r="J2402"/>
      <c r="K2402"/>
      <c r="L2402"/>
    </row>
    <row r="2403" spans="8:12">
      <c r="H2403"/>
      <c r="I2403"/>
      <c r="J2403"/>
      <c r="K2403"/>
      <c r="L2403"/>
    </row>
    <row r="2404" spans="8:12">
      <c r="H2404"/>
      <c r="I2404"/>
      <c r="J2404"/>
      <c r="K2404"/>
      <c r="L2404"/>
    </row>
    <row r="2405" spans="8:12">
      <c r="H2405"/>
      <c r="I2405"/>
      <c r="J2405"/>
      <c r="K2405"/>
      <c r="L2405"/>
    </row>
    <row r="2406" spans="8:12">
      <c r="H2406"/>
      <c r="I2406"/>
      <c r="J2406"/>
      <c r="K2406"/>
      <c r="L2406"/>
    </row>
    <row r="2407" spans="8:12">
      <c r="H2407"/>
      <c r="I2407"/>
      <c r="J2407"/>
      <c r="K2407"/>
      <c r="L2407"/>
    </row>
    <row r="2408" spans="8:12">
      <c r="H2408"/>
      <c r="I2408"/>
      <c r="J2408"/>
      <c r="K2408"/>
      <c r="L2408"/>
    </row>
    <row r="2409" spans="8:12">
      <c r="H2409"/>
      <c r="I2409"/>
      <c r="J2409"/>
      <c r="K2409"/>
      <c r="L2409"/>
    </row>
    <row r="2410" spans="8:12">
      <c r="H2410"/>
      <c r="I2410"/>
      <c r="J2410"/>
      <c r="K2410"/>
      <c r="L2410"/>
    </row>
    <row r="2411" spans="8:12">
      <c r="H2411"/>
      <c r="I2411"/>
      <c r="J2411"/>
      <c r="K2411"/>
      <c r="L2411"/>
    </row>
    <row r="2412" spans="8:12">
      <c r="H2412"/>
      <c r="I2412"/>
      <c r="J2412"/>
      <c r="K2412"/>
      <c r="L2412"/>
    </row>
    <row r="2413" spans="8:12">
      <c r="H2413"/>
      <c r="I2413"/>
      <c r="J2413"/>
      <c r="K2413"/>
      <c r="L2413"/>
    </row>
    <row r="2414" spans="8:12">
      <c r="H2414"/>
      <c r="I2414"/>
      <c r="J2414"/>
      <c r="K2414"/>
      <c r="L2414"/>
    </row>
    <row r="2415" spans="8:12">
      <c r="H2415"/>
      <c r="I2415"/>
      <c r="J2415"/>
      <c r="K2415"/>
      <c r="L2415"/>
    </row>
    <row r="2416" spans="8:12">
      <c r="H2416"/>
      <c r="I2416"/>
      <c r="J2416"/>
      <c r="K2416"/>
      <c r="L2416"/>
    </row>
    <row r="2417" spans="8:12">
      <c r="H2417"/>
      <c r="I2417"/>
      <c r="J2417"/>
      <c r="K2417"/>
      <c r="L2417"/>
    </row>
    <row r="2418" spans="8:12">
      <c r="H2418"/>
      <c r="I2418"/>
      <c r="J2418"/>
      <c r="K2418"/>
      <c r="L2418"/>
    </row>
    <row r="2419" spans="8:12">
      <c r="H2419"/>
      <c r="I2419"/>
      <c r="J2419"/>
      <c r="K2419"/>
      <c r="L2419"/>
    </row>
    <row r="2420" spans="8:12">
      <c r="H2420"/>
      <c r="I2420"/>
      <c r="J2420"/>
      <c r="K2420"/>
      <c r="L2420"/>
    </row>
    <row r="2421" spans="8:12">
      <c r="H2421"/>
      <c r="I2421"/>
      <c r="J2421"/>
      <c r="K2421"/>
      <c r="L2421"/>
    </row>
    <row r="2422" spans="8:12">
      <c r="H2422"/>
      <c r="I2422"/>
      <c r="J2422"/>
      <c r="K2422"/>
      <c r="L2422"/>
    </row>
    <row r="2423" spans="8:12">
      <c r="H2423"/>
      <c r="I2423"/>
      <c r="J2423"/>
      <c r="K2423"/>
      <c r="L2423"/>
    </row>
    <row r="2424" spans="8:12">
      <c r="H2424"/>
      <c r="I2424"/>
      <c r="J2424"/>
      <c r="K2424"/>
      <c r="L2424"/>
    </row>
    <row r="2425" spans="8:12">
      <c r="H2425"/>
      <c r="I2425"/>
      <c r="J2425"/>
      <c r="K2425"/>
      <c r="L2425"/>
    </row>
    <row r="2426" spans="8:12">
      <c r="H2426"/>
      <c r="I2426"/>
      <c r="J2426"/>
      <c r="K2426"/>
      <c r="L2426"/>
    </row>
    <row r="2427" spans="8:12">
      <c r="H2427"/>
      <c r="I2427"/>
      <c r="J2427"/>
      <c r="K2427"/>
      <c r="L2427"/>
    </row>
    <row r="2428" spans="8:12">
      <c r="H2428"/>
      <c r="I2428"/>
      <c r="J2428"/>
      <c r="K2428"/>
      <c r="L2428"/>
    </row>
    <row r="2429" spans="8:12">
      <c r="H2429"/>
      <c r="I2429"/>
      <c r="J2429"/>
      <c r="K2429"/>
      <c r="L2429"/>
    </row>
    <row r="2430" spans="8:12">
      <c r="H2430"/>
      <c r="I2430"/>
      <c r="J2430"/>
      <c r="K2430"/>
      <c r="L2430"/>
    </row>
    <row r="2431" spans="8:12">
      <c r="H2431"/>
      <c r="I2431"/>
      <c r="J2431"/>
      <c r="K2431"/>
      <c r="L2431"/>
    </row>
    <row r="2432" spans="8:12">
      <c r="H2432"/>
      <c r="I2432"/>
      <c r="J2432"/>
      <c r="K2432"/>
      <c r="L2432"/>
    </row>
    <row r="2433" spans="8:12">
      <c r="H2433"/>
      <c r="I2433"/>
      <c r="J2433"/>
      <c r="K2433"/>
      <c r="L2433"/>
    </row>
    <row r="2434" spans="8:12">
      <c r="H2434"/>
      <c r="I2434"/>
      <c r="J2434"/>
      <c r="K2434"/>
      <c r="L2434"/>
    </row>
    <row r="2435" spans="8:12">
      <c r="H2435"/>
      <c r="I2435"/>
      <c r="J2435"/>
      <c r="K2435"/>
      <c r="L2435"/>
    </row>
    <row r="2436" spans="8:12">
      <c r="H2436"/>
      <c r="I2436"/>
      <c r="J2436"/>
      <c r="K2436"/>
      <c r="L2436"/>
    </row>
    <row r="2437" spans="8:12">
      <c r="H2437"/>
      <c r="I2437"/>
      <c r="J2437"/>
      <c r="K2437"/>
      <c r="L2437"/>
    </row>
    <row r="2438" spans="8:12">
      <c r="H2438"/>
      <c r="I2438"/>
      <c r="J2438"/>
      <c r="K2438"/>
      <c r="L2438"/>
    </row>
    <row r="2439" spans="8:12">
      <c r="H2439"/>
      <c r="I2439"/>
      <c r="J2439"/>
      <c r="K2439"/>
      <c r="L2439"/>
    </row>
    <row r="2440" spans="8:12">
      <c r="H2440"/>
      <c r="I2440"/>
      <c r="J2440"/>
      <c r="K2440"/>
      <c r="L2440"/>
    </row>
    <row r="2441" spans="8:12">
      <c r="H2441"/>
      <c r="I2441"/>
      <c r="J2441"/>
      <c r="K2441"/>
      <c r="L2441"/>
    </row>
    <row r="2442" spans="8:12">
      <c r="H2442"/>
      <c r="I2442"/>
      <c r="J2442"/>
      <c r="K2442"/>
      <c r="L2442"/>
    </row>
    <row r="2443" spans="8:12">
      <c r="H2443"/>
      <c r="I2443"/>
      <c r="J2443"/>
      <c r="K2443"/>
      <c r="L2443"/>
    </row>
    <row r="2444" spans="8:12">
      <c r="H2444"/>
      <c r="I2444"/>
      <c r="J2444"/>
      <c r="K2444"/>
      <c r="L2444"/>
    </row>
    <row r="2445" spans="8:12">
      <c r="H2445"/>
      <c r="I2445"/>
      <c r="J2445"/>
      <c r="K2445"/>
      <c r="L2445"/>
    </row>
    <row r="2446" spans="8:12">
      <c r="H2446"/>
      <c r="I2446"/>
      <c r="J2446"/>
      <c r="K2446"/>
      <c r="L2446"/>
    </row>
    <row r="2447" spans="8:12">
      <c r="H2447"/>
      <c r="I2447"/>
      <c r="J2447"/>
      <c r="K2447"/>
      <c r="L2447"/>
    </row>
    <row r="2448" spans="8:12">
      <c r="H2448"/>
      <c r="I2448"/>
      <c r="J2448"/>
      <c r="K2448"/>
      <c r="L2448"/>
    </row>
    <row r="2449" spans="8:12">
      <c r="H2449"/>
      <c r="I2449"/>
      <c r="J2449"/>
      <c r="K2449"/>
      <c r="L2449"/>
    </row>
    <row r="2450" spans="8:12">
      <c r="H2450"/>
      <c r="I2450"/>
      <c r="J2450"/>
      <c r="K2450"/>
      <c r="L2450"/>
    </row>
    <row r="2451" spans="8:12">
      <c r="H2451"/>
      <c r="I2451"/>
      <c r="J2451"/>
      <c r="K2451"/>
      <c r="L2451"/>
    </row>
    <row r="2452" spans="8:12">
      <c r="H2452"/>
      <c r="I2452"/>
      <c r="J2452"/>
      <c r="K2452"/>
      <c r="L2452"/>
    </row>
    <row r="2453" spans="8:12">
      <c r="H2453"/>
      <c r="I2453"/>
      <c r="J2453"/>
      <c r="K2453"/>
      <c r="L2453"/>
    </row>
    <row r="2454" spans="8:12">
      <c r="H2454"/>
      <c r="I2454"/>
      <c r="J2454"/>
      <c r="K2454"/>
      <c r="L2454"/>
    </row>
    <row r="2455" spans="8:12">
      <c r="H2455"/>
      <c r="I2455"/>
      <c r="J2455"/>
      <c r="K2455"/>
      <c r="L2455"/>
    </row>
    <row r="2456" spans="8:12">
      <c r="H2456"/>
      <c r="I2456"/>
      <c r="J2456"/>
      <c r="K2456"/>
      <c r="L2456"/>
    </row>
    <row r="2457" spans="8:12">
      <c r="H2457"/>
      <c r="I2457"/>
      <c r="J2457"/>
      <c r="K2457"/>
      <c r="L2457"/>
    </row>
    <row r="2458" spans="8:12">
      <c r="H2458"/>
      <c r="I2458"/>
      <c r="J2458"/>
      <c r="K2458"/>
      <c r="L2458"/>
    </row>
    <row r="2459" spans="8:12">
      <c r="H2459"/>
      <c r="I2459"/>
      <c r="J2459"/>
      <c r="K2459"/>
      <c r="L2459"/>
    </row>
    <row r="2460" spans="8:12">
      <c r="H2460"/>
      <c r="I2460"/>
      <c r="J2460"/>
      <c r="K2460"/>
      <c r="L2460"/>
    </row>
    <row r="2461" spans="8:12">
      <c r="H2461"/>
      <c r="I2461"/>
      <c r="J2461"/>
      <c r="K2461"/>
      <c r="L2461"/>
    </row>
    <row r="2462" spans="8:12">
      <c r="H2462"/>
      <c r="I2462"/>
      <c r="J2462"/>
      <c r="K2462"/>
      <c r="L2462"/>
    </row>
    <row r="2463" spans="8:12">
      <c r="H2463"/>
      <c r="I2463"/>
      <c r="J2463"/>
      <c r="K2463"/>
      <c r="L2463"/>
    </row>
    <row r="2464" spans="8:12">
      <c r="H2464"/>
      <c r="I2464"/>
      <c r="J2464"/>
      <c r="K2464"/>
      <c r="L2464"/>
    </row>
    <row r="2465" spans="8:12">
      <c r="H2465"/>
      <c r="I2465"/>
      <c r="J2465"/>
      <c r="K2465"/>
      <c r="L2465"/>
    </row>
    <row r="2466" spans="8:12">
      <c r="H2466"/>
      <c r="I2466"/>
      <c r="J2466"/>
      <c r="K2466"/>
      <c r="L2466"/>
    </row>
    <row r="2467" spans="8:12">
      <c r="H2467"/>
      <c r="I2467"/>
      <c r="J2467"/>
      <c r="K2467"/>
      <c r="L2467"/>
    </row>
    <row r="2468" spans="8:12">
      <c r="H2468"/>
      <c r="I2468"/>
      <c r="J2468"/>
      <c r="K2468"/>
      <c r="L2468"/>
    </row>
    <row r="2469" spans="8:12">
      <c r="H2469"/>
      <c r="I2469"/>
      <c r="J2469"/>
      <c r="K2469"/>
      <c r="L2469"/>
    </row>
    <row r="2470" spans="8:12">
      <c r="H2470"/>
      <c r="I2470"/>
      <c r="J2470"/>
      <c r="K2470"/>
      <c r="L2470"/>
    </row>
    <row r="2471" spans="8:12">
      <c r="H2471"/>
      <c r="I2471"/>
      <c r="J2471"/>
      <c r="K2471"/>
      <c r="L2471"/>
    </row>
    <row r="2472" spans="8:12">
      <c r="H2472"/>
      <c r="I2472"/>
      <c r="J2472"/>
      <c r="K2472"/>
      <c r="L2472"/>
    </row>
    <row r="2473" spans="8:12">
      <c r="H2473"/>
      <c r="I2473"/>
      <c r="J2473"/>
      <c r="K2473"/>
      <c r="L2473"/>
    </row>
    <row r="2474" spans="8:12">
      <c r="H2474"/>
      <c r="I2474"/>
      <c r="J2474"/>
      <c r="K2474"/>
      <c r="L2474"/>
    </row>
    <row r="2475" spans="8:12">
      <c r="H2475"/>
      <c r="I2475"/>
      <c r="J2475"/>
      <c r="K2475"/>
      <c r="L2475"/>
    </row>
    <row r="2476" spans="8:12">
      <c r="H2476"/>
      <c r="I2476"/>
      <c r="J2476"/>
      <c r="K2476"/>
      <c r="L2476"/>
    </row>
    <row r="2477" spans="8:12">
      <c r="H2477"/>
      <c r="I2477"/>
      <c r="J2477"/>
      <c r="K2477"/>
      <c r="L2477"/>
    </row>
    <row r="2478" spans="8:12">
      <c r="H2478"/>
      <c r="I2478"/>
      <c r="J2478"/>
      <c r="K2478"/>
      <c r="L2478"/>
    </row>
    <row r="2479" spans="8:12">
      <c r="H2479"/>
      <c r="I2479"/>
      <c r="J2479"/>
      <c r="K2479"/>
      <c r="L2479"/>
    </row>
    <row r="2480" spans="8:12">
      <c r="H2480"/>
      <c r="I2480"/>
      <c r="J2480"/>
      <c r="K2480"/>
      <c r="L2480"/>
    </row>
    <row r="2481" spans="8:12">
      <c r="H2481"/>
      <c r="I2481"/>
      <c r="J2481"/>
      <c r="K2481"/>
      <c r="L2481"/>
    </row>
    <row r="2482" spans="8:12">
      <c r="H2482"/>
      <c r="I2482"/>
      <c r="J2482"/>
      <c r="K2482"/>
      <c r="L2482"/>
    </row>
    <row r="2483" spans="8:12">
      <c r="H2483"/>
      <c r="I2483"/>
      <c r="J2483"/>
      <c r="K2483"/>
      <c r="L2483"/>
    </row>
    <row r="2484" spans="8:12">
      <c r="H2484"/>
      <c r="I2484"/>
      <c r="J2484"/>
      <c r="K2484"/>
      <c r="L2484"/>
    </row>
    <row r="2485" spans="8:12">
      <c r="H2485"/>
      <c r="I2485"/>
      <c r="J2485"/>
      <c r="K2485"/>
      <c r="L2485"/>
    </row>
    <row r="2486" spans="8:12">
      <c r="H2486"/>
      <c r="I2486"/>
      <c r="J2486"/>
      <c r="K2486"/>
      <c r="L2486"/>
    </row>
    <row r="2487" spans="8:12">
      <c r="H2487"/>
      <c r="I2487"/>
      <c r="J2487"/>
      <c r="K2487"/>
      <c r="L2487"/>
    </row>
    <row r="2488" spans="8:12">
      <c r="H2488"/>
      <c r="I2488"/>
      <c r="J2488"/>
      <c r="K2488"/>
      <c r="L2488"/>
    </row>
    <row r="2489" spans="8:12">
      <c r="H2489"/>
      <c r="I2489"/>
      <c r="J2489"/>
      <c r="K2489"/>
      <c r="L2489"/>
    </row>
    <row r="2490" spans="8:12">
      <c r="H2490"/>
      <c r="I2490"/>
      <c r="J2490"/>
      <c r="K2490"/>
      <c r="L2490"/>
    </row>
    <row r="2491" spans="8:12">
      <c r="H2491"/>
      <c r="I2491"/>
      <c r="J2491"/>
      <c r="K2491"/>
      <c r="L2491"/>
    </row>
    <row r="2492" spans="8:12">
      <c r="H2492"/>
      <c r="I2492"/>
      <c r="J2492"/>
      <c r="K2492"/>
      <c r="L2492"/>
    </row>
    <row r="2493" spans="8:12">
      <c r="H2493"/>
      <c r="I2493"/>
      <c r="J2493"/>
      <c r="K2493"/>
      <c r="L2493"/>
    </row>
    <row r="2494" spans="8:12">
      <c r="H2494"/>
      <c r="I2494"/>
      <c r="J2494"/>
      <c r="K2494"/>
      <c r="L2494"/>
    </row>
    <row r="2495" spans="8:12">
      <c r="H2495"/>
      <c r="I2495"/>
      <c r="J2495"/>
      <c r="K2495"/>
      <c r="L2495"/>
    </row>
    <row r="2496" spans="8:12">
      <c r="H2496"/>
      <c r="I2496"/>
      <c r="J2496"/>
      <c r="K2496"/>
      <c r="L2496"/>
    </row>
    <row r="2497" spans="8:12">
      <c r="H2497"/>
      <c r="I2497"/>
      <c r="J2497"/>
      <c r="K2497"/>
      <c r="L2497"/>
    </row>
    <row r="2498" spans="8:12">
      <c r="H2498"/>
      <c r="I2498"/>
      <c r="J2498"/>
      <c r="K2498"/>
      <c r="L2498"/>
    </row>
    <row r="2499" spans="8:12">
      <c r="H2499"/>
      <c r="I2499"/>
      <c r="J2499"/>
      <c r="K2499"/>
      <c r="L2499"/>
    </row>
    <row r="2500" spans="8:12">
      <c r="H2500"/>
      <c r="I2500"/>
      <c r="J2500"/>
      <c r="K2500"/>
      <c r="L2500"/>
    </row>
    <row r="2501" spans="8:12">
      <c r="H2501"/>
      <c r="I2501"/>
      <c r="J2501"/>
      <c r="K2501"/>
      <c r="L2501"/>
    </row>
    <row r="2502" spans="8:12">
      <c r="H2502"/>
      <c r="I2502"/>
      <c r="J2502"/>
      <c r="K2502"/>
      <c r="L2502"/>
    </row>
    <row r="2503" spans="8:12">
      <c r="H2503"/>
      <c r="I2503"/>
      <c r="J2503"/>
      <c r="K2503"/>
      <c r="L2503"/>
    </row>
    <row r="2504" spans="8:12">
      <c r="H2504"/>
      <c r="I2504"/>
      <c r="J2504"/>
      <c r="K2504"/>
      <c r="L2504"/>
    </row>
    <row r="2505" spans="8:12">
      <c r="H2505"/>
      <c r="I2505"/>
      <c r="J2505"/>
      <c r="K2505"/>
      <c r="L2505"/>
    </row>
    <row r="2506" spans="8:12">
      <c r="H2506"/>
      <c r="I2506"/>
      <c r="J2506"/>
      <c r="K2506"/>
      <c r="L2506"/>
    </row>
    <row r="2507" spans="8:12">
      <c r="H2507"/>
      <c r="I2507"/>
      <c r="J2507"/>
      <c r="K2507"/>
      <c r="L2507"/>
    </row>
    <row r="2508" spans="8:12">
      <c r="H2508"/>
      <c r="I2508"/>
      <c r="J2508"/>
      <c r="K2508"/>
      <c r="L2508"/>
    </row>
    <row r="2509" spans="8:12">
      <c r="H2509"/>
      <c r="I2509"/>
      <c r="J2509"/>
      <c r="K2509"/>
      <c r="L2509"/>
    </row>
    <row r="2510" spans="8:12">
      <c r="H2510"/>
      <c r="I2510"/>
      <c r="J2510"/>
      <c r="K2510"/>
      <c r="L2510"/>
    </row>
    <row r="2511" spans="8:12">
      <c r="H2511"/>
      <c r="I2511"/>
      <c r="J2511"/>
      <c r="K2511"/>
      <c r="L2511"/>
    </row>
    <row r="2512" spans="8:12">
      <c r="H2512"/>
      <c r="I2512"/>
      <c r="J2512"/>
      <c r="K2512"/>
      <c r="L2512"/>
    </row>
    <row r="2513" spans="8:12">
      <c r="H2513"/>
      <c r="I2513"/>
      <c r="J2513"/>
      <c r="K2513"/>
      <c r="L2513"/>
    </row>
    <row r="2514" spans="8:12">
      <c r="H2514"/>
      <c r="I2514"/>
      <c r="J2514"/>
      <c r="K2514"/>
      <c r="L2514"/>
    </row>
    <row r="2515" spans="8:12">
      <c r="H2515"/>
      <c r="I2515"/>
      <c r="J2515"/>
      <c r="K2515"/>
      <c r="L2515"/>
    </row>
    <row r="2516" spans="8:12">
      <c r="H2516"/>
      <c r="I2516"/>
      <c r="J2516"/>
      <c r="K2516"/>
      <c r="L2516"/>
    </row>
    <row r="2517" spans="8:12">
      <c r="H2517"/>
      <c r="I2517"/>
      <c r="J2517"/>
      <c r="K2517"/>
      <c r="L2517"/>
    </row>
    <row r="2518" spans="8:12">
      <c r="H2518"/>
      <c r="I2518"/>
      <c r="J2518"/>
      <c r="K2518"/>
      <c r="L2518"/>
    </row>
    <row r="2519" spans="8:12">
      <c r="H2519"/>
      <c r="I2519"/>
      <c r="J2519"/>
      <c r="K2519"/>
      <c r="L2519"/>
    </row>
    <row r="2520" spans="8:12">
      <c r="H2520"/>
      <c r="I2520"/>
      <c r="J2520"/>
      <c r="K2520"/>
      <c r="L2520"/>
    </row>
    <row r="2521" spans="8:12">
      <c r="H2521"/>
      <c r="I2521"/>
      <c r="J2521"/>
      <c r="K2521"/>
      <c r="L2521"/>
    </row>
    <row r="2522" spans="8:12">
      <c r="H2522"/>
      <c r="I2522"/>
      <c r="J2522"/>
      <c r="K2522"/>
      <c r="L2522"/>
    </row>
    <row r="2523" spans="8:12">
      <c r="H2523"/>
      <c r="I2523"/>
      <c r="J2523"/>
      <c r="K2523"/>
      <c r="L2523"/>
    </row>
    <row r="2524" spans="8:12">
      <c r="H2524"/>
      <c r="I2524"/>
      <c r="J2524"/>
      <c r="K2524"/>
      <c r="L2524"/>
    </row>
    <row r="2525" spans="8:12">
      <c r="H2525"/>
      <c r="I2525"/>
      <c r="J2525"/>
      <c r="K2525"/>
      <c r="L2525"/>
    </row>
    <row r="2526" spans="8:12">
      <c r="H2526"/>
      <c r="I2526"/>
      <c r="J2526"/>
      <c r="K2526"/>
      <c r="L2526"/>
    </row>
    <row r="2527" spans="8:12">
      <c r="H2527"/>
      <c r="I2527"/>
      <c r="J2527"/>
      <c r="K2527"/>
      <c r="L2527"/>
    </row>
    <row r="2528" spans="8:12">
      <c r="H2528"/>
      <c r="I2528"/>
      <c r="J2528"/>
      <c r="K2528"/>
      <c r="L2528"/>
    </row>
    <row r="2529" spans="8:12">
      <c r="H2529"/>
      <c r="I2529"/>
      <c r="J2529"/>
      <c r="K2529"/>
      <c r="L2529"/>
    </row>
    <row r="2530" spans="8:12">
      <c r="H2530"/>
      <c r="I2530"/>
      <c r="J2530"/>
      <c r="K2530"/>
      <c r="L2530"/>
    </row>
    <row r="2531" spans="8:12">
      <c r="H2531"/>
      <c r="I2531"/>
      <c r="J2531"/>
      <c r="K2531"/>
      <c r="L2531"/>
    </row>
    <row r="2532" spans="8:12">
      <c r="H2532"/>
      <c r="I2532"/>
      <c r="J2532"/>
      <c r="K2532"/>
      <c r="L2532"/>
    </row>
    <row r="2533" spans="8:12">
      <c r="H2533"/>
      <c r="I2533"/>
      <c r="J2533"/>
      <c r="K2533"/>
      <c r="L2533"/>
    </row>
    <row r="2534" spans="8:12">
      <c r="H2534"/>
      <c r="I2534"/>
      <c r="J2534"/>
      <c r="K2534"/>
      <c r="L2534"/>
    </row>
    <row r="2535" spans="8:12">
      <c r="H2535"/>
      <c r="I2535"/>
      <c r="J2535"/>
      <c r="K2535"/>
      <c r="L2535"/>
    </row>
    <row r="2536" spans="8:12">
      <c r="H2536"/>
      <c r="I2536"/>
      <c r="J2536"/>
      <c r="K2536"/>
      <c r="L2536"/>
    </row>
    <row r="2537" spans="8:12">
      <c r="H2537"/>
      <c r="I2537"/>
      <c r="J2537"/>
      <c r="K2537"/>
      <c r="L2537"/>
    </row>
    <row r="2538" spans="8:12">
      <c r="H2538"/>
      <c r="I2538"/>
      <c r="J2538"/>
      <c r="K2538"/>
      <c r="L2538"/>
    </row>
    <row r="2539" spans="8:12">
      <c r="H2539"/>
      <c r="I2539"/>
      <c r="J2539"/>
      <c r="K2539"/>
      <c r="L2539"/>
    </row>
    <row r="2540" spans="8:12">
      <c r="H2540"/>
      <c r="I2540"/>
      <c r="J2540"/>
      <c r="K2540"/>
      <c r="L2540"/>
    </row>
    <row r="2541" spans="8:12">
      <c r="H2541"/>
      <c r="I2541"/>
      <c r="J2541"/>
      <c r="K2541"/>
      <c r="L2541"/>
    </row>
    <row r="2542" spans="8:12">
      <c r="H2542"/>
      <c r="I2542"/>
      <c r="J2542"/>
      <c r="K2542"/>
      <c r="L2542"/>
    </row>
    <row r="2543" spans="8:12">
      <c r="H2543"/>
      <c r="I2543"/>
      <c r="J2543"/>
      <c r="K2543"/>
      <c r="L2543"/>
    </row>
    <row r="2544" spans="8:12">
      <c r="H2544"/>
      <c r="I2544"/>
      <c r="J2544"/>
      <c r="K2544"/>
      <c r="L2544"/>
    </row>
    <row r="2545" spans="8:12">
      <c r="H2545"/>
      <c r="I2545"/>
      <c r="J2545"/>
      <c r="K2545"/>
      <c r="L2545"/>
    </row>
    <row r="2546" spans="8:12">
      <c r="H2546"/>
      <c r="I2546"/>
      <c r="J2546"/>
      <c r="K2546"/>
      <c r="L2546"/>
    </row>
    <row r="2547" spans="8:12">
      <c r="H2547"/>
      <c r="I2547"/>
      <c r="J2547"/>
      <c r="K2547"/>
      <c r="L2547"/>
    </row>
    <row r="2548" spans="8:12">
      <c r="H2548"/>
      <c r="I2548"/>
      <c r="J2548"/>
      <c r="K2548"/>
      <c r="L2548"/>
    </row>
    <row r="2549" spans="8:12">
      <c r="H2549"/>
      <c r="I2549"/>
      <c r="J2549"/>
      <c r="K2549"/>
      <c r="L2549"/>
    </row>
    <row r="2550" spans="8:12">
      <c r="H2550"/>
      <c r="I2550"/>
      <c r="J2550"/>
      <c r="K2550"/>
      <c r="L2550"/>
    </row>
    <row r="2551" spans="8:12">
      <c r="H2551"/>
      <c r="I2551"/>
      <c r="J2551"/>
      <c r="K2551"/>
      <c r="L2551"/>
    </row>
    <row r="2552" spans="8:12">
      <c r="H2552"/>
      <c r="I2552"/>
      <c r="J2552"/>
      <c r="K2552"/>
      <c r="L2552"/>
    </row>
    <row r="2553" spans="8:12">
      <c r="H2553"/>
      <c r="I2553"/>
      <c r="J2553"/>
      <c r="K2553"/>
      <c r="L2553"/>
    </row>
    <row r="2554" spans="8:12">
      <c r="H2554"/>
      <c r="I2554"/>
      <c r="J2554"/>
      <c r="K2554"/>
      <c r="L2554"/>
    </row>
    <row r="2555" spans="8:12">
      <c r="H2555"/>
      <c r="I2555"/>
      <c r="J2555"/>
      <c r="K2555"/>
      <c r="L2555"/>
    </row>
    <row r="2556" spans="8:12">
      <c r="H2556"/>
      <c r="I2556"/>
      <c r="J2556"/>
      <c r="K2556"/>
      <c r="L2556"/>
    </row>
    <row r="2557" spans="8:12">
      <c r="H2557"/>
      <c r="I2557"/>
      <c r="J2557"/>
      <c r="K2557"/>
      <c r="L2557"/>
    </row>
    <row r="2558" spans="8:12">
      <c r="H2558"/>
      <c r="I2558"/>
      <c r="J2558"/>
      <c r="K2558"/>
      <c r="L2558"/>
    </row>
    <row r="2559" spans="8:12">
      <c r="H2559"/>
      <c r="I2559"/>
      <c r="J2559"/>
      <c r="K2559"/>
      <c r="L2559"/>
    </row>
    <row r="2560" spans="8:12">
      <c r="H2560"/>
      <c r="I2560"/>
      <c r="J2560"/>
      <c r="K2560"/>
      <c r="L2560"/>
    </row>
    <row r="2561" spans="8:12">
      <c r="H2561"/>
      <c r="I2561"/>
      <c r="J2561"/>
      <c r="K2561"/>
      <c r="L2561"/>
    </row>
    <row r="2562" spans="8:12">
      <c r="H2562"/>
      <c r="I2562"/>
      <c r="J2562"/>
      <c r="K2562"/>
      <c r="L2562"/>
    </row>
    <row r="2563" spans="8:12">
      <c r="H2563"/>
      <c r="I2563"/>
      <c r="J2563"/>
      <c r="K2563"/>
      <c r="L2563"/>
    </row>
    <row r="2564" spans="8:12">
      <c r="H2564"/>
      <c r="I2564"/>
      <c r="J2564"/>
      <c r="K2564"/>
      <c r="L2564"/>
    </row>
    <row r="2565" spans="8:12">
      <c r="H2565"/>
      <c r="I2565"/>
      <c r="J2565"/>
      <c r="K2565"/>
      <c r="L2565"/>
    </row>
    <row r="2566" spans="8:12">
      <c r="H2566"/>
      <c r="I2566"/>
      <c r="J2566"/>
      <c r="K2566"/>
      <c r="L2566"/>
    </row>
    <row r="2567" spans="8:12">
      <c r="H2567"/>
      <c r="I2567"/>
      <c r="J2567"/>
      <c r="K2567"/>
      <c r="L2567"/>
    </row>
    <row r="2568" spans="8:12">
      <c r="H2568"/>
      <c r="I2568"/>
      <c r="J2568"/>
      <c r="K2568"/>
      <c r="L2568"/>
    </row>
    <row r="2569" spans="8:12">
      <c r="H2569"/>
      <c r="I2569"/>
      <c r="J2569"/>
      <c r="K2569"/>
      <c r="L2569"/>
    </row>
    <row r="2570" spans="8:12">
      <c r="H2570"/>
      <c r="I2570"/>
      <c r="J2570"/>
      <c r="K2570"/>
      <c r="L2570"/>
    </row>
    <row r="2571" spans="8:12">
      <c r="H2571"/>
      <c r="I2571"/>
      <c r="J2571"/>
      <c r="K2571"/>
      <c r="L2571"/>
    </row>
    <row r="2572" spans="8:12">
      <c r="H2572"/>
      <c r="I2572"/>
      <c r="J2572"/>
      <c r="K2572"/>
      <c r="L2572"/>
    </row>
    <row r="2573" spans="8:12">
      <c r="H2573"/>
      <c r="I2573"/>
      <c r="J2573"/>
      <c r="K2573"/>
      <c r="L2573"/>
    </row>
    <row r="2574" spans="8:12">
      <c r="H2574"/>
      <c r="I2574"/>
      <c r="J2574"/>
      <c r="K2574"/>
      <c r="L2574"/>
    </row>
    <row r="2575" spans="8:12">
      <c r="H2575"/>
      <c r="I2575"/>
      <c r="J2575"/>
      <c r="K2575"/>
      <c r="L2575"/>
    </row>
    <row r="2576" spans="8:12">
      <c r="H2576"/>
      <c r="I2576"/>
      <c r="J2576"/>
      <c r="K2576"/>
      <c r="L2576"/>
    </row>
    <row r="2577" spans="8:12">
      <c r="H2577"/>
      <c r="I2577"/>
      <c r="J2577"/>
      <c r="K2577"/>
      <c r="L2577"/>
    </row>
    <row r="2578" spans="8:12">
      <c r="H2578"/>
      <c r="I2578"/>
      <c r="J2578"/>
      <c r="K2578"/>
      <c r="L2578"/>
    </row>
    <row r="2579" spans="8:12">
      <c r="H2579"/>
      <c r="I2579"/>
      <c r="J2579"/>
      <c r="K2579"/>
      <c r="L2579"/>
    </row>
    <row r="2580" spans="8:12">
      <c r="H2580"/>
      <c r="I2580"/>
      <c r="J2580"/>
      <c r="K2580"/>
      <c r="L2580"/>
    </row>
    <row r="2581" spans="8:12">
      <c r="H2581"/>
      <c r="I2581"/>
      <c r="J2581"/>
      <c r="K2581"/>
      <c r="L2581"/>
    </row>
    <row r="2582" spans="8:12">
      <c r="H2582"/>
      <c r="I2582"/>
      <c r="J2582"/>
      <c r="K2582"/>
      <c r="L2582"/>
    </row>
    <row r="2583" spans="8:12">
      <c r="H2583"/>
      <c r="I2583"/>
      <c r="J2583"/>
      <c r="K2583"/>
      <c r="L2583"/>
    </row>
    <row r="2584" spans="8:12">
      <c r="H2584"/>
      <c r="I2584"/>
      <c r="J2584"/>
      <c r="K2584"/>
      <c r="L2584"/>
    </row>
    <row r="2585" spans="8:12">
      <c r="H2585"/>
      <c r="I2585"/>
      <c r="J2585"/>
      <c r="K2585"/>
      <c r="L2585"/>
    </row>
    <row r="2586" spans="8:12">
      <c r="H2586"/>
      <c r="I2586"/>
      <c r="J2586"/>
      <c r="K2586"/>
      <c r="L2586"/>
    </row>
    <row r="2587" spans="8:12">
      <c r="H2587"/>
      <c r="I2587"/>
      <c r="J2587"/>
      <c r="K2587"/>
      <c r="L2587"/>
    </row>
    <row r="2588" spans="8:12">
      <c r="H2588"/>
      <c r="I2588"/>
      <c r="J2588"/>
      <c r="K2588"/>
      <c r="L2588"/>
    </row>
    <row r="2589" spans="8:12">
      <c r="H2589"/>
      <c r="I2589"/>
      <c r="J2589"/>
      <c r="K2589"/>
      <c r="L2589"/>
    </row>
    <row r="2590" spans="8:12">
      <c r="H2590"/>
      <c r="I2590"/>
      <c r="J2590"/>
      <c r="K2590"/>
      <c r="L2590"/>
    </row>
    <row r="2591" spans="8:12">
      <c r="H2591"/>
      <c r="I2591"/>
      <c r="J2591"/>
      <c r="K2591"/>
      <c r="L2591"/>
    </row>
    <row r="2592" spans="8:12">
      <c r="H2592"/>
      <c r="I2592"/>
      <c r="J2592"/>
      <c r="K2592"/>
      <c r="L2592"/>
    </row>
    <row r="2593" spans="8:12">
      <c r="H2593"/>
      <c r="I2593"/>
      <c r="J2593"/>
      <c r="K2593"/>
      <c r="L2593"/>
    </row>
    <row r="2594" spans="8:12">
      <c r="H2594"/>
      <c r="I2594"/>
      <c r="J2594"/>
      <c r="K2594"/>
      <c r="L2594"/>
    </row>
    <row r="2595" spans="8:12">
      <c r="H2595"/>
      <c r="I2595"/>
      <c r="J2595"/>
      <c r="K2595"/>
      <c r="L2595"/>
    </row>
    <row r="2596" spans="8:12">
      <c r="H2596"/>
      <c r="I2596"/>
      <c r="J2596"/>
      <c r="K2596"/>
      <c r="L2596"/>
    </row>
    <row r="2597" spans="8:12">
      <c r="H2597"/>
      <c r="I2597"/>
      <c r="J2597"/>
      <c r="K2597"/>
      <c r="L2597"/>
    </row>
    <row r="2598" spans="8:12">
      <c r="H2598"/>
      <c r="I2598"/>
      <c r="J2598"/>
      <c r="K2598"/>
      <c r="L2598"/>
    </row>
    <row r="2599" spans="8:12">
      <c r="H2599"/>
      <c r="I2599"/>
      <c r="J2599"/>
      <c r="K2599"/>
      <c r="L2599"/>
    </row>
    <row r="2600" spans="8:12">
      <c r="H2600"/>
      <c r="I2600"/>
      <c r="J2600"/>
      <c r="K2600"/>
      <c r="L2600"/>
    </row>
    <row r="2601" spans="8:12">
      <c r="H2601"/>
      <c r="I2601"/>
      <c r="J2601"/>
      <c r="K2601"/>
      <c r="L2601"/>
    </row>
    <row r="2602" spans="8:12">
      <c r="H2602"/>
      <c r="I2602"/>
      <c r="J2602"/>
      <c r="K2602"/>
      <c r="L2602"/>
    </row>
    <row r="2603" spans="8:12">
      <c r="H2603"/>
      <c r="I2603"/>
      <c r="J2603"/>
      <c r="K2603"/>
      <c r="L2603"/>
    </row>
    <row r="2604" spans="8:12">
      <c r="H2604"/>
      <c r="I2604"/>
      <c r="J2604"/>
      <c r="K2604"/>
      <c r="L2604"/>
    </row>
    <row r="2605" spans="8:12">
      <c r="H2605"/>
      <c r="I2605"/>
      <c r="J2605"/>
      <c r="K2605"/>
      <c r="L2605"/>
    </row>
    <row r="2606" spans="8:12">
      <c r="H2606"/>
      <c r="I2606"/>
      <c r="J2606"/>
      <c r="K2606"/>
      <c r="L2606"/>
    </row>
    <row r="2607" spans="8:12">
      <c r="H2607"/>
      <c r="I2607"/>
      <c r="J2607"/>
      <c r="K2607"/>
      <c r="L2607"/>
    </row>
    <row r="2608" spans="8:12">
      <c r="H2608"/>
      <c r="I2608"/>
      <c r="J2608"/>
      <c r="K2608"/>
      <c r="L2608"/>
    </row>
    <row r="2609" spans="8:12">
      <c r="H2609"/>
      <c r="I2609"/>
      <c r="J2609"/>
      <c r="K2609"/>
      <c r="L2609"/>
    </row>
    <row r="2610" spans="8:12">
      <c r="H2610"/>
      <c r="I2610"/>
      <c r="J2610"/>
      <c r="K2610"/>
      <c r="L2610"/>
    </row>
    <row r="2611" spans="8:12">
      <c r="H2611"/>
      <c r="I2611"/>
      <c r="J2611"/>
      <c r="K2611"/>
      <c r="L2611"/>
    </row>
    <row r="2612" spans="8:12">
      <c r="H2612"/>
      <c r="I2612"/>
      <c r="J2612"/>
      <c r="K2612"/>
      <c r="L2612"/>
    </row>
    <row r="2613" spans="8:12">
      <c r="H2613"/>
      <c r="I2613"/>
      <c r="J2613"/>
      <c r="K2613"/>
      <c r="L2613"/>
    </row>
    <row r="2614" spans="8:12">
      <c r="H2614"/>
      <c r="I2614"/>
      <c r="J2614"/>
      <c r="K2614"/>
      <c r="L2614"/>
    </row>
    <row r="2615" spans="8:12">
      <c r="H2615"/>
      <c r="I2615"/>
      <c r="J2615"/>
      <c r="K2615"/>
      <c r="L2615"/>
    </row>
    <row r="2616" spans="8:12">
      <c r="H2616"/>
      <c r="I2616"/>
      <c r="J2616"/>
      <c r="K2616"/>
      <c r="L2616"/>
    </row>
    <row r="2617" spans="8:12">
      <c r="H2617"/>
      <c r="I2617"/>
      <c r="J2617"/>
      <c r="K2617"/>
      <c r="L2617"/>
    </row>
    <row r="2618" spans="8:12">
      <c r="H2618"/>
      <c r="I2618"/>
      <c r="J2618"/>
      <c r="K2618"/>
      <c r="L2618"/>
    </row>
    <row r="2619" spans="8:12">
      <c r="H2619"/>
      <c r="I2619"/>
      <c r="J2619"/>
      <c r="K2619"/>
      <c r="L2619"/>
    </row>
    <row r="2620" spans="8:12">
      <c r="H2620"/>
      <c r="I2620"/>
      <c r="J2620"/>
      <c r="K2620"/>
      <c r="L2620"/>
    </row>
    <row r="2621" spans="8:12">
      <c r="H2621"/>
      <c r="I2621"/>
      <c r="J2621"/>
      <c r="K2621"/>
      <c r="L2621"/>
    </row>
    <row r="2622" spans="8:12">
      <c r="H2622"/>
      <c r="I2622"/>
      <c r="J2622"/>
      <c r="K2622"/>
      <c r="L2622"/>
    </row>
    <row r="2623" spans="8:12">
      <c r="H2623"/>
      <c r="I2623"/>
      <c r="J2623"/>
      <c r="K2623"/>
      <c r="L2623"/>
    </row>
    <row r="2624" spans="8:12">
      <c r="H2624"/>
      <c r="I2624"/>
      <c r="J2624"/>
      <c r="K2624"/>
      <c r="L2624"/>
    </row>
    <row r="2625" spans="8:12">
      <c r="H2625"/>
      <c r="I2625"/>
      <c r="J2625"/>
      <c r="K2625"/>
      <c r="L2625"/>
    </row>
    <row r="2626" spans="8:12">
      <c r="H2626"/>
      <c r="I2626"/>
      <c r="J2626"/>
      <c r="K2626"/>
      <c r="L2626"/>
    </row>
    <row r="2627" spans="8:12">
      <c r="H2627"/>
      <c r="I2627"/>
      <c r="J2627"/>
      <c r="K2627"/>
      <c r="L2627"/>
    </row>
    <row r="2628" spans="8:12">
      <c r="H2628"/>
      <c r="I2628"/>
      <c r="J2628"/>
      <c r="K2628"/>
      <c r="L2628"/>
    </row>
    <row r="2629" spans="8:12">
      <c r="H2629"/>
      <c r="I2629"/>
      <c r="J2629"/>
      <c r="K2629"/>
      <c r="L2629"/>
    </row>
    <row r="2630" spans="8:12">
      <c r="H2630"/>
      <c r="I2630"/>
      <c r="J2630"/>
      <c r="K2630"/>
      <c r="L2630"/>
    </row>
    <row r="2631" spans="8:12">
      <c r="H2631"/>
      <c r="I2631"/>
      <c r="J2631"/>
      <c r="K2631"/>
      <c r="L2631"/>
    </row>
    <row r="2632" spans="8:12">
      <c r="H2632"/>
      <c r="I2632"/>
      <c r="J2632"/>
      <c r="K2632"/>
      <c r="L2632"/>
    </row>
    <row r="2633" spans="8:12">
      <c r="H2633"/>
      <c r="I2633"/>
      <c r="J2633"/>
      <c r="K2633"/>
      <c r="L2633"/>
    </row>
    <row r="2634" spans="8:12">
      <c r="H2634"/>
      <c r="I2634"/>
      <c r="J2634"/>
      <c r="K2634"/>
      <c r="L2634"/>
    </row>
    <row r="2635" spans="8:12">
      <c r="H2635"/>
      <c r="I2635"/>
      <c r="J2635"/>
      <c r="K2635"/>
      <c r="L2635"/>
    </row>
    <row r="2636" spans="8:12">
      <c r="H2636"/>
      <c r="I2636"/>
      <c r="J2636"/>
      <c r="K2636"/>
      <c r="L2636"/>
    </row>
    <row r="2637" spans="8:12">
      <c r="H2637"/>
      <c r="I2637"/>
      <c r="J2637"/>
      <c r="K2637"/>
      <c r="L2637"/>
    </row>
    <row r="2638" spans="8:12">
      <c r="H2638"/>
      <c r="I2638"/>
      <c r="J2638"/>
      <c r="K2638"/>
      <c r="L2638"/>
    </row>
    <row r="2639" spans="8:12">
      <c r="H2639"/>
      <c r="I2639"/>
      <c r="J2639"/>
      <c r="K2639"/>
      <c r="L2639"/>
    </row>
    <row r="2640" spans="8:12">
      <c r="H2640"/>
      <c r="I2640"/>
      <c r="J2640"/>
      <c r="K2640"/>
      <c r="L2640"/>
    </row>
    <row r="2641" spans="8:12">
      <c r="H2641"/>
      <c r="I2641"/>
      <c r="J2641"/>
      <c r="K2641"/>
      <c r="L2641"/>
    </row>
    <row r="2642" spans="8:12">
      <c r="H2642"/>
      <c r="I2642"/>
      <c r="J2642"/>
      <c r="K2642"/>
      <c r="L2642"/>
    </row>
    <row r="2643" spans="8:12">
      <c r="H2643"/>
      <c r="I2643"/>
      <c r="J2643"/>
      <c r="K2643"/>
      <c r="L2643"/>
    </row>
    <row r="2644" spans="8:12">
      <c r="H2644"/>
      <c r="I2644"/>
      <c r="J2644"/>
      <c r="K2644"/>
      <c r="L2644"/>
    </row>
    <row r="2645" spans="8:12">
      <c r="H2645"/>
      <c r="I2645"/>
      <c r="J2645"/>
      <c r="K2645"/>
      <c r="L2645"/>
    </row>
    <row r="2646" spans="8:12">
      <c r="H2646"/>
      <c r="I2646"/>
      <c r="J2646"/>
      <c r="K2646"/>
      <c r="L2646"/>
    </row>
    <row r="2647" spans="8:12">
      <c r="H2647"/>
      <c r="I2647"/>
      <c r="J2647"/>
      <c r="K2647"/>
      <c r="L2647"/>
    </row>
    <row r="2648" spans="8:12">
      <c r="H2648"/>
      <c r="I2648"/>
      <c r="J2648"/>
      <c r="K2648"/>
      <c r="L2648"/>
    </row>
    <row r="2649" spans="8:12">
      <c r="H2649"/>
      <c r="I2649"/>
      <c r="J2649"/>
      <c r="K2649"/>
      <c r="L2649"/>
    </row>
    <row r="2650" spans="8:12">
      <c r="H2650"/>
      <c r="I2650"/>
      <c r="J2650"/>
      <c r="K2650"/>
      <c r="L2650"/>
    </row>
    <row r="2651" spans="8:12">
      <c r="H2651"/>
      <c r="I2651"/>
      <c r="J2651"/>
      <c r="K2651"/>
      <c r="L2651"/>
    </row>
    <row r="2652" spans="8:12">
      <c r="H2652"/>
      <c r="I2652"/>
      <c r="J2652"/>
      <c r="K2652"/>
      <c r="L2652"/>
    </row>
    <row r="2653" spans="8:12">
      <c r="H2653"/>
      <c r="I2653"/>
      <c r="J2653"/>
      <c r="K2653"/>
      <c r="L2653"/>
    </row>
    <row r="2654" spans="8:12">
      <c r="H2654"/>
      <c r="I2654"/>
      <c r="J2654"/>
      <c r="K2654"/>
      <c r="L2654"/>
    </row>
    <row r="2655" spans="8:12">
      <c r="H2655"/>
      <c r="I2655"/>
      <c r="J2655"/>
      <c r="K2655"/>
      <c r="L2655"/>
    </row>
    <row r="2656" spans="8:12">
      <c r="H2656"/>
      <c r="I2656"/>
      <c r="J2656"/>
      <c r="K2656"/>
      <c r="L2656"/>
    </row>
    <row r="2657" spans="8:12">
      <c r="H2657"/>
      <c r="I2657"/>
      <c r="J2657"/>
      <c r="K2657"/>
      <c r="L2657"/>
    </row>
    <row r="2658" spans="8:12">
      <c r="H2658"/>
      <c r="I2658"/>
      <c r="J2658"/>
      <c r="K2658"/>
      <c r="L2658"/>
    </row>
    <row r="2659" spans="8:12">
      <c r="H2659"/>
      <c r="I2659"/>
      <c r="J2659"/>
      <c r="K2659"/>
      <c r="L2659"/>
    </row>
    <row r="2660" spans="8:12">
      <c r="H2660"/>
      <c r="I2660"/>
      <c r="J2660"/>
      <c r="K2660"/>
      <c r="L2660"/>
    </row>
    <row r="2661" spans="8:12">
      <c r="H2661"/>
      <c r="I2661"/>
      <c r="J2661"/>
      <c r="K2661"/>
      <c r="L2661"/>
    </row>
    <row r="2662" spans="8:12">
      <c r="H2662"/>
      <c r="I2662"/>
      <c r="J2662"/>
      <c r="K2662"/>
      <c r="L2662"/>
    </row>
    <row r="2663" spans="8:12">
      <c r="H2663"/>
      <c r="I2663"/>
      <c r="J2663"/>
      <c r="K2663"/>
      <c r="L2663"/>
    </row>
    <row r="2664" spans="8:12">
      <c r="H2664"/>
      <c r="I2664"/>
      <c r="J2664"/>
      <c r="K2664"/>
      <c r="L2664"/>
    </row>
    <row r="2665" spans="8:12">
      <c r="H2665"/>
      <c r="I2665"/>
      <c r="J2665"/>
      <c r="K2665"/>
      <c r="L2665"/>
    </row>
    <row r="2666" spans="8:12">
      <c r="H2666"/>
      <c r="I2666"/>
      <c r="J2666"/>
      <c r="K2666"/>
      <c r="L2666"/>
    </row>
    <row r="2667" spans="8:12">
      <c r="H2667"/>
      <c r="I2667"/>
      <c r="J2667"/>
      <c r="K2667"/>
      <c r="L2667"/>
    </row>
    <row r="2668" spans="8:12">
      <c r="H2668"/>
      <c r="I2668"/>
      <c r="J2668"/>
      <c r="K2668"/>
      <c r="L2668"/>
    </row>
    <row r="2669" spans="8:12">
      <c r="H2669"/>
      <c r="I2669"/>
      <c r="J2669"/>
      <c r="K2669"/>
      <c r="L2669"/>
    </row>
    <row r="2670" spans="8:12">
      <c r="H2670"/>
      <c r="I2670"/>
      <c r="J2670"/>
      <c r="K2670"/>
      <c r="L2670"/>
    </row>
    <row r="2671" spans="8:12">
      <c r="H2671"/>
      <c r="I2671"/>
      <c r="J2671"/>
      <c r="K2671"/>
      <c r="L2671"/>
    </row>
    <row r="2672" spans="8:12">
      <c r="H2672"/>
      <c r="I2672"/>
      <c r="J2672"/>
      <c r="K2672"/>
      <c r="L2672"/>
    </row>
    <row r="2673" spans="8:12">
      <c r="H2673"/>
      <c r="I2673"/>
      <c r="J2673"/>
      <c r="K2673"/>
      <c r="L2673"/>
    </row>
    <row r="2674" spans="8:12">
      <c r="H2674"/>
      <c r="I2674"/>
      <c r="J2674"/>
      <c r="K2674"/>
      <c r="L2674"/>
    </row>
    <row r="2675" spans="8:12">
      <c r="H2675"/>
      <c r="I2675"/>
      <c r="J2675"/>
      <c r="K2675"/>
      <c r="L2675"/>
    </row>
    <row r="2676" spans="8:12">
      <c r="H2676"/>
      <c r="I2676"/>
      <c r="J2676"/>
      <c r="K2676"/>
      <c r="L2676"/>
    </row>
    <row r="2677" spans="8:12">
      <c r="H2677"/>
      <c r="I2677"/>
      <c r="J2677"/>
      <c r="K2677"/>
      <c r="L2677"/>
    </row>
    <row r="2678" spans="8:12">
      <c r="H2678"/>
      <c r="I2678"/>
      <c r="J2678"/>
      <c r="K2678"/>
      <c r="L2678"/>
    </row>
    <row r="2679" spans="8:12">
      <c r="H2679"/>
      <c r="I2679"/>
      <c r="J2679"/>
      <c r="K2679"/>
      <c r="L2679"/>
    </row>
    <row r="2680" spans="8:12">
      <c r="H2680"/>
      <c r="I2680"/>
      <c r="J2680"/>
      <c r="K2680"/>
      <c r="L2680"/>
    </row>
    <row r="2681" spans="8:12">
      <c r="H2681"/>
      <c r="I2681"/>
      <c r="J2681"/>
      <c r="K2681"/>
      <c r="L2681"/>
    </row>
    <row r="2682" spans="8:12">
      <c r="H2682"/>
      <c r="I2682"/>
      <c r="J2682"/>
      <c r="K2682"/>
      <c r="L2682"/>
    </row>
    <row r="2683" spans="8:12">
      <c r="H2683"/>
      <c r="I2683"/>
      <c r="J2683"/>
      <c r="K2683"/>
      <c r="L2683"/>
    </row>
    <row r="2684" spans="8:12">
      <c r="H2684"/>
      <c r="I2684"/>
      <c r="J2684"/>
      <c r="K2684"/>
      <c r="L2684"/>
    </row>
    <row r="2685" spans="8:12">
      <c r="H2685"/>
      <c r="I2685"/>
      <c r="J2685"/>
      <c r="K2685"/>
      <c r="L2685"/>
    </row>
    <row r="2686" spans="8:12">
      <c r="H2686"/>
      <c r="I2686"/>
      <c r="J2686"/>
      <c r="K2686"/>
      <c r="L2686"/>
    </row>
    <row r="2687" spans="8:12">
      <c r="H2687"/>
      <c r="I2687"/>
      <c r="J2687"/>
      <c r="K2687"/>
      <c r="L2687"/>
    </row>
    <row r="2688" spans="8:12">
      <c r="H2688"/>
      <c r="I2688"/>
      <c r="J2688"/>
      <c r="K2688"/>
      <c r="L2688"/>
    </row>
    <row r="2689" spans="8:12">
      <c r="H2689"/>
      <c r="I2689"/>
      <c r="J2689"/>
      <c r="K2689"/>
      <c r="L2689"/>
    </row>
    <row r="2690" spans="8:12">
      <c r="H2690"/>
      <c r="I2690"/>
      <c r="J2690"/>
      <c r="K2690"/>
      <c r="L2690"/>
    </row>
    <row r="2691" spans="8:12">
      <c r="H2691"/>
      <c r="I2691"/>
      <c r="J2691"/>
      <c r="K2691"/>
      <c r="L2691"/>
    </row>
    <row r="2692" spans="8:12">
      <c r="H2692"/>
      <c r="I2692"/>
      <c r="J2692"/>
      <c r="K2692"/>
      <c r="L2692"/>
    </row>
    <row r="2693" spans="8:12">
      <c r="H2693"/>
      <c r="I2693"/>
      <c r="J2693"/>
      <c r="K2693"/>
      <c r="L2693"/>
    </row>
    <row r="2694" spans="8:12">
      <c r="H2694"/>
      <c r="I2694"/>
      <c r="J2694"/>
      <c r="K2694"/>
      <c r="L2694"/>
    </row>
    <row r="2695" spans="8:12">
      <c r="H2695"/>
      <c r="I2695"/>
      <c r="J2695"/>
      <c r="K2695"/>
      <c r="L2695"/>
    </row>
    <row r="2696" spans="8:12">
      <c r="H2696"/>
      <c r="I2696"/>
      <c r="J2696"/>
      <c r="K2696"/>
      <c r="L2696"/>
    </row>
    <row r="2697" spans="8:12">
      <c r="H2697"/>
      <c r="I2697"/>
      <c r="J2697"/>
      <c r="K2697"/>
      <c r="L2697"/>
    </row>
    <row r="2698" spans="8:12">
      <c r="H2698"/>
      <c r="I2698"/>
      <c r="J2698"/>
      <c r="K2698"/>
      <c r="L2698"/>
    </row>
    <row r="2699" spans="8:12">
      <c r="H2699"/>
      <c r="I2699"/>
      <c r="J2699"/>
      <c r="K2699"/>
      <c r="L2699"/>
    </row>
    <row r="2700" spans="8:12">
      <c r="H2700"/>
      <c r="I2700"/>
      <c r="J2700"/>
      <c r="K2700"/>
      <c r="L2700"/>
    </row>
    <row r="2701" spans="8:12">
      <c r="H2701"/>
      <c r="I2701"/>
      <c r="J2701"/>
      <c r="K2701"/>
      <c r="L2701"/>
    </row>
    <row r="2702" spans="8:12">
      <c r="H2702"/>
      <c r="I2702"/>
      <c r="J2702"/>
      <c r="K2702"/>
      <c r="L2702"/>
    </row>
    <row r="2703" spans="8:12">
      <c r="H2703"/>
      <c r="I2703"/>
      <c r="J2703"/>
      <c r="K2703"/>
      <c r="L2703"/>
    </row>
    <row r="2704" spans="8:12">
      <c r="H2704"/>
      <c r="I2704"/>
      <c r="J2704"/>
      <c r="K2704"/>
      <c r="L2704"/>
    </row>
    <row r="2705" spans="8:12">
      <c r="H2705"/>
      <c r="I2705"/>
      <c r="J2705"/>
      <c r="K2705"/>
      <c r="L2705"/>
    </row>
    <row r="2706" spans="8:12">
      <c r="H2706"/>
      <c r="I2706"/>
      <c r="J2706"/>
      <c r="K2706"/>
      <c r="L2706"/>
    </row>
    <row r="2707" spans="8:12">
      <c r="H2707"/>
      <c r="I2707"/>
      <c r="J2707"/>
      <c r="K2707"/>
      <c r="L2707"/>
    </row>
    <row r="2708" spans="8:12">
      <c r="H2708"/>
      <c r="I2708"/>
      <c r="J2708"/>
      <c r="K2708"/>
      <c r="L2708"/>
    </row>
    <row r="2709" spans="8:12">
      <c r="H2709"/>
      <c r="I2709"/>
      <c r="J2709"/>
      <c r="K2709"/>
      <c r="L2709"/>
    </row>
    <row r="2710" spans="8:12">
      <c r="H2710"/>
      <c r="I2710"/>
      <c r="J2710"/>
      <c r="K2710"/>
      <c r="L2710"/>
    </row>
    <row r="2711" spans="8:12">
      <c r="H2711"/>
      <c r="I2711"/>
      <c r="J2711"/>
      <c r="K2711"/>
      <c r="L2711"/>
    </row>
    <row r="2712" spans="8:12">
      <c r="H2712"/>
      <c r="I2712"/>
      <c r="J2712"/>
      <c r="K2712"/>
      <c r="L2712"/>
    </row>
    <row r="2713" spans="8:12">
      <c r="H2713"/>
      <c r="I2713"/>
      <c r="J2713"/>
      <c r="K2713"/>
      <c r="L2713"/>
    </row>
    <row r="2714" spans="8:12">
      <c r="H2714"/>
      <c r="I2714"/>
      <c r="J2714"/>
      <c r="K2714"/>
      <c r="L2714"/>
    </row>
    <row r="2715" spans="8:12">
      <c r="H2715"/>
      <c r="I2715"/>
      <c r="J2715"/>
      <c r="K2715"/>
      <c r="L2715"/>
    </row>
    <row r="2716" spans="8:12">
      <c r="H2716"/>
      <c r="I2716"/>
      <c r="J2716"/>
      <c r="K2716"/>
      <c r="L2716"/>
    </row>
    <row r="2717" spans="8:12">
      <c r="H2717"/>
      <c r="I2717"/>
      <c r="J2717"/>
      <c r="K2717"/>
      <c r="L2717"/>
    </row>
    <row r="2718" spans="8:12">
      <c r="H2718"/>
      <c r="I2718"/>
      <c r="J2718"/>
      <c r="K2718"/>
      <c r="L2718"/>
    </row>
    <row r="2719" spans="8:12">
      <c r="H2719"/>
      <c r="I2719"/>
      <c r="J2719"/>
      <c r="K2719"/>
      <c r="L2719"/>
    </row>
    <row r="2720" spans="8:12">
      <c r="H2720"/>
      <c r="I2720"/>
      <c r="J2720"/>
      <c r="K2720"/>
      <c r="L2720"/>
    </row>
    <row r="2721" spans="8:12">
      <c r="H2721"/>
      <c r="I2721"/>
      <c r="J2721"/>
      <c r="K2721"/>
      <c r="L2721"/>
    </row>
    <row r="2722" spans="8:12">
      <c r="H2722"/>
      <c r="I2722"/>
      <c r="J2722"/>
      <c r="K2722"/>
      <c r="L2722"/>
    </row>
    <row r="2723" spans="8:12">
      <c r="H2723"/>
      <c r="I2723"/>
      <c r="J2723"/>
      <c r="K2723"/>
      <c r="L2723"/>
    </row>
    <row r="2724" spans="8:12">
      <c r="H2724"/>
      <c r="I2724"/>
      <c r="J2724"/>
      <c r="K2724"/>
      <c r="L2724"/>
    </row>
    <row r="2725" spans="8:12">
      <c r="H2725"/>
      <c r="I2725"/>
      <c r="J2725"/>
      <c r="K2725"/>
      <c r="L2725"/>
    </row>
    <row r="2726" spans="8:12">
      <c r="H2726"/>
      <c r="I2726"/>
      <c r="J2726"/>
      <c r="K2726"/>
      <c r="L2726"/>
    </row>
    <row r="2727" spans="8:12">
      <c r="H2727"/>
      <c r="I2727"/>
      <c r="J2727"/>
      <c r="K2727"/>
      <c r="L2727"/>
    </row>
    <row r="2728" spans="8:12">
      <c r="H2728"/>
      <c r="I2728"/>
      <c r="J2728"/>
      <c r="K2728"/>
      <c r="L2728"/>
    </row>
    <row r="2729" spans="8:12">
      <c r="H2729"/>
      <c r="I2729"/>
      <c r="J2729"/>
      <c r="K2729"/>
      <c r="L2729"/>
    </row>
    <row r="2730" spans="8:12">
      <c r="H2730"/>
      <c r="I2730"/>
      <c r="J2730"/>
      <c r="K2730"/>
      <c r="L2730"/>
    </row>
    <row r="2731" spans="8:12">
      <c r="H2731"/>
      <c r="I2731"/>
      <c r="J2731"/>
      <c r="K2731"/>
      <c r="L2731"/>
    </row>
    <row r="2732" spans="8:12">
      <c r="H2732"/>
      <c r="I2732"/>
      <c r="J2732"/>
      <c r="K2732"/>
      <c r="L2732"/>
    </row>
    <row r="2733" spans="8:12">
      <c r="H2733"/>
      <c r="I2733"/>
      <c r="J2733"/>
      <c r="K2733"/>
      <c r="L2733"/>
    </row>
    <row r="2734" spans="8:12">
      <c r="H2734"/>
      <c r="I2734"/>
      <c r="J2734"/>
      <c r="K2734"/>
      <c r="L2734"/>
    </row>
    <row r="2735" spans="8:12">
      <c r="H2735"/>
      <c r="I2735"/>
      <c r="J2735"/>
      <c r="K2735"/>
      <c r="L2735"/>
    </row>
    <row r="2736" spans="8:12">
      <c r="H2736"/>
      <c r="I2736"/>
      <c r="J2736"/>
      <c r="K2736"/>
      <c r="L2736"/>
    </row>
    <row r="2737" spans="8:12">
      <c r="H2737"/>
      <c r="I2737"/>
      <c r="J2737"/>
      <c r="K2737"/>
      <c r="L2737"/>
    </row>
    <row r="2738" spans="8:12">
      <c r="H2738"/>
      <c r="I2738"/>
      <c r="J2738"/>
      <c r="K2738"/>
      <c r="L2738"/>
    </row>
    <row r="2739" spans="8:12">
      <c r="H2739"/>
      <c r="I2739"/>
      <c r="J2739"/>
      <c r="K2739"/>
      <c r="L2739"/>
    </row>
    <row r="2740" spans="8:12">
      <c r="H2740"/>
      <c r="I2740"/>
      <c r="J2740"/>
      <c r="K2740"/>
      <c r="L2740"/>
    </row>
    <row r="2741" spans="8:12">
      <c r="H2741"/>
      <c r="I2741"/>
      <c r="J2741"/>
      <c r="K2741"/>
      <c r="L2741"/>
    </row>
    <row r="2742" spans="8:12">
      <c r="H2742"/>
      <c r="I2742"/>
      <c r="J2742"/>
      <c r="K2742"/>
      <c r="L2742"/>
    </row>
    <row r="2743" spans="8:12">
      <c r="H2743"/>
      <c r="I2743"/>
      <c r="J2743"/>
      <c r="K2743"/>
      <c r="L2743"/>
    </row>
    <row r="2744" spans="8:12">
      <c r="H2744"/>
      <c r="I2744"/>
      <c r="J2744"/>
      <c r="K2744"/>
      <c r="L2744"/>
    </row>
    <row r="2745" spans="8:12">
      <c r="H2745"/>
      <c r="I2745"/>
      <c r="J2745"/>
      <c r="K2745"/>
      <c r="L2745"/>
    </row>
    <row r="2746" spans="8:12">
      <c r="H2746"/>
      <c r="I2746"/>
      <c r="J2746"/>
      <c r="K2746"/>
      <c r="L2746"/>
    </row>
    <row r="2747" spans="8:12">
      <c r="H2747"/>
      <c r="I2747"/>
      <c r="J2747"/>
      <c r="K2747"/>
      <c r="L2747"/>
    </row>
    <row r="2748" spans="8:12">
      <c r="H2748"/>
      <c r="I2748"/>
      <c r="J2748"/>
      <c r="K2748"/>
      <c r="L2748"/>
    </row>
    <row r="2749" spans="8:12">
      <c r="H2749"/>
      <c r="I2749"/>
      <c r="J2749"/>
      <c r="K2749"/>
      <c r="L2749"/>
    </row>
    <row r="2750" spans="8:12">
      <c r="H2750"/>
      <c r="I2750"/>
      <c r="J2750"/>
      <c r="K2750"/>
      <c r="L2750"/>
    </row>
    <row r="2751" spans="8:12">
      <c r="H2751"/>
      <c r="I2751"/>
      <c r="J2751"/>
      <c r="K2751"/>
      <c r="L2751"/>
    </row>
    <row r="2752" spans="8:12">
      <c r="H2752"/>
      <c r="I2752"/>
      <c r="J2752"/>
      <c r="K2752"/>
      <c r="L2752"/>
    </row>
    <row r="2753" spans="8:12">
      <c r="H2753"/>
      <c r="I2753"/>
      <c r="J2753"/>
      <c r="K2753"/>
      <c r="L2753"/>
    </row>
    <row r="2754" spans="8:12">
      <c r="H2754"/>
      <c r="I2754"/>
      <c r="J2754"/>
      <c r="K2754"/>
      <c r="L2754"/>
    </row>
    <row r="2755" spans="8:12">
      <c r="H2755"/>
      <c r="I2755"/>
      <c r="J2755"/>
      <c r="K2755"/>
      <c r="L2755"/>
    </row>
    <row r="2756" spans="8:12">
      <c r="H2756"/>
      <c r="I2756"/>
      <c r="J2756"/>
      <c r="K2756"/>
      <c r="L2756"/>
    </row>
    <row r="2757" spans="8:12">
      <c r="H2757"/>
      <c r="I2757"/>
      <c r="J2757"/>
      <c r="K2757"/>
      <c r="L2757"/>
    </row>
    <row r="2758" spans="8:12">
      <c r="H2758"/>
      <c r="I2758"/>
      <c r="J2758"/>
      <c r="K2758"/>
      <c r="L2758"/>
    </row>
    <row r="2759" spans="8:12">
      <c r="H2759"/>
      <c r="I2759"/>
      <c r="J2759"/>
      <c r="K2759"/>
      <c r="L2759"/>
    </row>
    <row r="2760" spans="8:12">
      <c r="H2760"/>
      <c r="I2760"/>
      <c r="J2760"/>
      <c r="K2760"/>
      <c r="L2760"/>
    </row>
    <row r="2761" spans="8:12">
      <c r="H2761"/>
      <c r="I2761"/>
      <c r="J2761"/>
      <c r="K2761"/>
      <c r="L2761"/>
    </row>
    <row r="2762" spans="8:12">
      <c r="H2762"/>
      <c r="I2762"/>
      <c r="J2762"/>
      <c r="K2762"/>
      <c r="L2762"/>
    </row>
    <row r="2763" spans="8:12">
      <c r="H2763"/>
      <c r="I2763"/>
      <c r="J2763"/>
      <c r="K2763"/>
      <c r="L2763"/>
    </row>
    <row r="2764" spans="8:12">
      <c r="H2764"/>
      <c r="I2764"/>
      <c r="J2764"/>
      <c r="K2764"/>
      <c r="L2764"/>
    </row>
    <row r="2765" spans="8:12">
      <c r="H2765"/>
      <c r="I2765"/>
      <c r="J2765"/>
      <c r="K2765"/>
      <c r="L2765"/>
    </row>
    <row r="2766" spans="8:12">
      <c r="H2766"/>
      <c r="I2766"/>
      <c r="J2766"/>
      <c r="K2766"/>
      <c r="L2766"/>
    </row>
    <row r="2767" spans="8:12">
      <c r="H2767"/>
      <c r="I2767"/>
      <c r="J2767"/>
      <c r="K2767"/>
      <c r="L2767"/>
    </row>
    <row r="2768" spans="8:12">
      <c r="H2768"/>
      <c r="I2768"/>
      <c r="J2768"/>
      <c r="K2768"/>
      <c r="L2768"/>
    </row>
    <row r="2769" spans="8:12">
      <c r="H2769"/>
      <c r="I2769"/>
      <c r="J2769"/>
      <c r="K2769"/>
      <c r="L2769"/>
    </row>
    <row r="2770" spans="8:12">
      <c r="H2770"/>
      <c r="I2770"/>
      <c r="J2770"/>
      <c r="K2770"/>
      <c r="L2770"/>
    </row>
    <row r="2771" spans="8:12">
      <c r="H2771"/>
      <c r="I2771"/>
      <c r="J2771"/>
      <c r="K2771"/>
      <c r="L2771"/>
    </row>
    <row r="2772" spans="8:12">
      <c r="H2772"/>
      <c r="I2772"/>
      <c r="J2772"/>
      <c r="K2772"/>
      <c r="L2772"/>
    </row>
    <row r="2773" spans="8:12">
      <c r="H2773"/>
      <c r="I2773"/>
      <c r="J2773"/>
      <c r="K2773"/>
      <c r="L2773"/>
    </row>
    <row r="2774" spans="8:12">
      <c r="H2774"/>
      <c r="I2774"/>
      <c r="J2774"/>
      <c r="K2774"/>
      <c r="L2774"/>
    </row>
    <row r="2775" spans="8:12">
      <c r="H2775"/>
      <c r="I2775"/>
      <c r="J2775"/>
      <c r="K2775"/>
      <c r="L2775"/>
    </row>
    <row r="2776" spans="8:12">
      <c r="H2776"/>
      <c r="I2776"/>
      <c r="J2776"/>
      <c r="K2776"/>
      <c r="L2776"/>
    </row>
    <row r="2777" spans="8:12">
      <c r="H2777"/>
      <c r="I2777"/>
      <c r="J2777"/>
      <c r="K2777"/>
      <c r="L2777"/>
    </row>
    <row r="2778" spans="8:12">
      <c r="H2778"/>
      <c r="I2778"/>
      <c r="J2778"/>
      <c r="K2778"/>
      <c r="L2778"/>
    </row>
    <row r="2779" spans="8:12">
      <c r="H2779"/>
      <c r="I2779"/>
      <c r="J2779"/>
      <c r="K2779"/>
      <c r="L2779"/>
    </row>
    <row r="2780" spans="8:12">
      <c r="H2780"/>
      <c r="I2780"/>
      <c r="J2780"/>
      <c r="K2780"/>
      <c r="L2780"/>
    </row>
    <row r="2781" spans="8:12">
      <c r="H2781"/>
      <c r="I2781"/>
      <c r="J2781"/>
      <c r="K2781"/>
      <c r="L2781"/>
    </row>
    <row r="2782" spans="8:12">
      <c r="H2782"/>
      <c r="I2782"/>
      <c r="J2782"/>
      <c r="K2782"/>
      <c r="L2782"/>
    </row>
    <row r="2783" spans="8:12">
      <c r="H2783"/>
      <c r="I2783"/>
      <c r="J2783"/>
      <c r="K2783"/>
      <c r="L2783"/>
    </row>
    <row r="2784" spans="8:12">
      <c r="H2784"/>
      <c r="I2784"/>
      <c r="J2784"/>
      <c r="K2784"/>
      <c r="L2784"/>
    </row>
    <row r="2785" spans="8:12">
      <c r="H2785"/>
      <c r="I2785"/>
      <c r="J2785"/>
      <c r="K2785"/>
      <c r="L2785"/>
    </row>
    <row r="2786" spans="8:12">
      <c r="H2786"/>
      <c r="I2786"/>
      <c r="J2786"/>
      <c r="K2786"/>
      <c r="L2786"/>
    </row>
    <row r="2787" spans="8:12">
      <c r="H2787"/>
      <c r="I2787"/>
      <c r="J2787"/>
      <c r="K2787"/>
      <c r="L2787"/>
    </row>
    <row r="2788" spans="8:12">
      <c r="H2788"/>
      <c r="I2788"/>
      <c r="J2788"/>
      <c r="K2788"/>
      <c r="L2788"/>
    </row>
    <row r="2789" spans="8:12">
      <c r="H2789"/>
      <c r="I2789"/>
      <c r="J2789"/>
      <c r="K2789"/>
      <c r="L2789"/>
    </row>
    <row r="2790" spans="8:12">
      <c r="H2790"/>
      <c r="I2790"/>
      <c r="J2790"/>
      <c r="K2790"/>
      <c r="L2790"/>
    </row>
    <row r="2791" spans="8:12">
      <c r="H2791"/>
      <c r="I2791"/>
      <c r="J2791"/>
      <c r="K2791"/>
      <c r="L2791"/>
    </row>
    <row r="2792" spans="8:12">
      <c r="H2792"/>
      <c r="I2792"/>
      <c r="J2792"/>
      <c r="K2792"/>
      <c r="L2792"/>
    </row>
    <row r="2793" spans="8:12">
      <c r="H2793"/>
      <c r="I2793"/>
      <c r="J2793"/>
      <c r="K2793"/>
      <c r="L2793"/>
    </row>
    <row r="2794" spans="8:12">
      <c r="H2794"/>
      <c r="I2794"/>
      <c r="J2794"/>
      <c r="K2794"/>
      <c r="L2794"/>
    </row>
    <row r="2795" spans="8:12">
      <c r="H2795"/>
      <c r="I2795"/>
      <c r="J2795"/>
      <c r="K2795"/>
      <c r="L2795"/>
    </row>
    <row r="2796" spans="8:12">
      <c r="H2796"/>
      <c r="I2796"/>
      <c r="J2796"/>
      <c r="K2796"/>
      <c r="L2796"/>
    </row>
    <row r="2797" spans="8:12">
      <c r="H2797"/>
      <c r="I2797"/>
      <c r="J2797"/>
      <c r="K2797"/>
      <c r="L2797"/>
    </row>
    <row r="2798" spans="8:12">
      <c r="H2798"/>
      <c r="I2798"/>
      <c r="J2798"/>
      <c r="K2798"/>
      <c r="L2798"/>
    </row>
    <row r="2799" spans="8:12">
      <c r="H2799"/>
      <c r="I2799"/>
      <c r="J2799"/>
      <c r="K2799"/>
      <c r="L2799"/>
    </row>
    <row r="2800" spans="8:12">
      <c r="H2800"/>
      <c r="I2800"/>
      <c r="J2800"/>
      <c r="K2800"/>
      <c r="L2800"/>
    </row>
    <row r="2801" spans="8:12">
      <c r="H2801"/>
      <c r="I2801"/>
      <c r="J2801"/>
      <c r="K2801"/>
      <c r="L2801"/>
    </row>
    <row r="2802" spans="8:12">
      <c r="H2802"/>
      <c r="I2802"/>
      <c r="J2802"/>
      <c r="K2802"/>
      <c r="L2802"/>
    </row>
    <row r="2803" spans="8:12">
      <c r="H2803"/>
      <c r="I2803"/>
      <c r="J2803"/>
      <c r="K2803"/>
      <c r="L2803"/>
    </row>
    <row r="2804" spans="8:12">
      <c r="H2804"/>
      <c r="I2804"/>
      <c r="J2804"/>
      <c r="K2804"/>
      <c r="L2804"/>
    </row>
    <row r="2805" spans="8:12">
      <c r="H2805"/>
      <c r="I2805"/>
      <c r="J2805"/>
      <c r="K2805"/>
      <c r="L2805"/>
    </row>
    <row r="2806" spans="8:12">
      <c r="H2806"/>
      <c r="I2806"/>
      <c r="J2806"/>
      <c r="K2806"/>
      <c r="L2806"/>
    </row>
    <row r="2807" spans="8:12">
      <c r="H2807"/>
      <c r="I2807"/>
      <c r="J2807"/>
      <c r="K2807"/>
      <c r="L2807"/>
    </row>
    <row r="2808" spans="8:12">
      <c r="H2808"/>
      <c r="I2808"/>
      <c r="J2808"/>
      <c r="K2808"/>
      <c r="L2808"/>
    </row>
    <row r="2809" spans="8:12">
      <c r="H2809"/>
      <c r="I2809"/>
      <c r="J2809"/>
      <c r="K2809"/>
      <c r="L2809"/>
    </row>
    <row r="2810" spans="8:12">
      <c r="H2810"/>
      <c r="I2810"/>
      <c r="J2810"/>
      <c r="K2810"/>
      <c r="L2810"/>
    </row>
    <row r="2811" spans="8:12">
      <c r="H2811"/>
      <c r="I2811"/>
      <c r="J2811"/>
      <c r="K2811"/>
      <c r="L2811"/>
    </row>
    <row r="2812" spans="8:12">
      <c r="H2812"/>
      <c r="I2812"/>
      <c r="J2812"/>
      <c r="K2812"/>
      <c r="L2812"/>
    </row>
    <row r="2813" spans="8:12">
      <c r="H2813"/>
      <c r="I2813"/>
      <c r="J2813"/>
      <c r="K2813"/>
      <c r="L2813"/>
    </row>
    <row r="2814" spans="8:12">
      <c r="H2814"/>
      <c r="I2814"/>
      <c r="J2814"/>
      <c r="K2814"/>
      <c r="L2814"/>
    </row>
    <row r="2815" spans="8:12">
      <c r="H2815"/>
      <c r="I2815"/>
      <c r="J2815"/>
      <c r="K2815"/>
      <c r="L2815"/>
    </row>
    <row r="2816" spans="8:12">
      <c r="H2816"/>
      <c r="I2816"/>
      <c r="J2816"/>
      <c r="K2816"/>
      <c r="L2816"/>
    </row>
    <row r="2817" spans="8:12">
      <c r="H2817"/>
      <c r="I2817"/>
      <c r="J2817"/>
      <c r="K2817"/>
      <c r="L2817"/>
    </row>
    <row r="2818" spans="8:12">
      <c r="H2818"/>
      <c r="I2818"/>
      <c r="J2818"/>
      <c r="K2818"/>
      <c r="L2818"/>
    </row>
    <row r="2819" spans="8:12">
      <c r="H2819"/>
      <c r="I2819"/>
      <c r="J2819"/>
      <c r="K2819"/>
      <c r="L2819"/>
    </row>
    <row r="2820" spans="8:12">
      <c r="H2820"/>
      <c r="I2820"/>
      <c r="J2820"/>
      <c r="K2820"/>
      <c r="L2820"/>
    </row>
    <row r="2821" spans="8:12">
      <c r="H2821"/>
      <c r="I2821"/>
      <c r="J2821"/>
      <c r="K2821"/>
      <c r="L2821"/>
    </row>
    <row r="2822" spans="8:12">
      <c r="H2822"/>
      <c r="I2822"/>
      <c r="J2822"/>
      <c r="K2822"/>
      <c r="L2822"/>
    </row>
    <row r="2823" spans="8:12">
      <c r="H2823"/>
      <c r="I2823"/>
      <c r="J2823"/>
      <c r="K2823"/>
      <c r="L2823"/>
    </row>
    <row r="2824" spans="8:12">
      <c r="H2824"/>
      <c r="I2824"/>
      <c r="J2824"/>
      <c r="K2824"/>
      <c r="L2824"/>
    </row>
    <row r="2825" spans="8:12">
      <c r="H2825"/>
      <c r="I2825"/>
      <c r="J2825"/>
      <c r="K2825"/>
      <c r="L2825"/>
    </row>
    <row r="2826" spans="8:12">
      <c r="H2826"/>
      <c r="I2826"/>
      <c r="J2826"/>
      <c r="K2826"/>
      <c r="L2826"/>
    </row>
    <row r="2827" spans="8:12">
      <c r="H2827"/>
      <c r="I2827"/>
      <c r="J2827"/>
      <c r="K2827"/>
      <c r="L2827"/>
    </row>
    <row r="2828" spans="8:12">
      <c r="H2828"/>
      <c r="I2828"/>
      <c r="J2828"/>
      <c r="K2828"/>
      <c r="L2828"/>
    </row>
    <row r="2829" spans="8:12">
      <c r="H2829"/>
      <c r="I2829"/>
      <c r="J2829"/>
      <c r="K2829"/>
      <c r="L2829"/>
    </row>
    <row r="2830" spans="8:12">
      <c r="H2830"/>
      <c r="I2830"/>
      <c r="J2830"/>
      <c r="K2830"/>
      <c r="L2830"/>
    </row>
    <row r="2831" spans="8:12">
      <c r="H2831"/>
      <c r="I2831"/>
      <c r="J2831"/>
      <c r="K2831"/>
      <c r="L2831"/>
    </row>
    <row r="2832" spans="8:12">
      <c r="H2832"/>
      <c r="I2832"/>
      <c r="J2832"/>
      <c r="K2832"/>
      <c r="L2832"/>
    </row>
    <row r="2833" spans="8:12">
      <c r="H2833"/>
      <c r="I2833"/>
      <c r="J2833"/>
      <c r="K2833"/>
      <c r="L2833"/>
    </row>
    <row r="2834" spans="8:12">
      <c r="H2834"/>
      <c r="I2834"/>
      <c r="J2834"/>
      <c r="K2834"/>
      <c r="L2834"/>
    </row>
    <row r="2835" spans="8:12">
      <c r="H2835"/>
      <c r="I2835"/>
      <c r="J2835"/>
      <c r="K2835"/>
      <c r="L2835"/>
    </row>
    <row r="2836" spans="8:12">
      <c r="H2836"/>
      <c r="I2836"/>
      <c r="J2836"/>
      <c r="K2836"/>
      <c r="L2836"/>
    </row>
    <row r="2837" spans="8:12">
      <c r="H2837"/>
      <c r="I2837"/>
      <c r="J2837"/>
      <c r="K2837"/>
      <c r="L2837"/>
    </row>
    <row r="2838" spans="8:12">
      <c r="H2838"/>
      <c r="I2838"/>
      <c r="J2838"/>
      <c r="K2838"/>
      <c r="L2838"/>
    </row>
    <row r="2839" spans="8:12">
      <c r="H2839"/>
      <c r="I2839"/>
      <c r="J2839"/>
      <c r="K2839"/>
      <c r="L2839"/>
    </row>
    <row r="2840" spans="8:12">
      <c r="H2840"/>
      <c r="I2840"/>
      <c r="J2840"/>
      <c r="K2840"/>
      <c r="L2840"/>
    </row>
    <row r="2841" spans="8:12">
      <c r="H2841"/>
      <c r="I2841"/>
      <c r="J2841"/>
      <c r="K2841"/>
      <c r="L2841"/>
    </row>
    <row r="2842" spans="8:12">
      <c r="H2842"/>
      <c r="I2842"/>
      <c r="J2842"/>
      <c r="K2842"/>
      <c r="L2842"/>
    </row>
    <row r="2843" spans="8:12">
      <c r="H2843"/>
      <c r="I2843"/>
      <c r="J2843"/>
      <c r="K2843"/>
      <c r="L2843"/>
    </row>
    <row r="2844" spans="8:12">
      <c r="H2844"/>
      <c r="I2844"/>
      <c r="J2844"/>
      <c r="K2844"/>
      <c r="L2844"/>
    </row>
    <row r="2845" spans="8:12">
      <c r="H2845"/>
      <c r="I2845"/>
      <c r="J2845"/>
      <c r="K2845"/>
      <c r="L2845"/>
    </row>
    <row r="2846" spans="8:12">
      <c r="H2846"/>
      <c r="I2846"/>
      <c r="J2846"/>
      <c r="K2846"/>
      <c r="L2846"/>
    </row>
    <row r="2847" spans="8:12">
      <c r="H2847"/>
      <c r="I2847"/>
      <c r="J2847"/>
      <c r="K2847"/>
      <c r="L2847"/>
    </row>
    <row r="2848" spans="8:12">
      <c r="H2848"/>
      <c r="I2848"/>
      <c r="J2848"/>
      <c r="K2848"/>
      <c r="L2848"/>
    </row>
    <row r="2849" spans="8:12">
      <c r="H2849"/>
      <c r="I2849"/>
      <c r="J2849"/>
      <c r="K2849"/>
      <c r="L2849"/>
    </row>
    <row r="2850" spans="8:12">
      <c r="H2850"/>
      <c r="I2850"/>
      <c r="J2850"/>
      <c r="K2850"/>
      <c r="L2850"/>
    </row>
    <row r="2851" spans="8:12">
      <c r="H2851"/>
      <c r="I2851"/>
      <c r="J2851"/>
      <c r="K2851"/>
      <c r="L2851"/>
    </row>
    <row r="2852" spans="8:12">
      <c r="H2852"/>
      <c r="I2852"/>
      <c r="J2852"/>
      <c r="K2852"/>
      <c r="L2852"/>
    </row>
    <row r="2853" spans="8:12">
      <c r="H2853"/>
      <c r="I2853"/>
      <c r="J2853"/>
      <c r="K2853"/>
      <c r="L2853"/>
    </row>
    <row r="2854" spans="8:12">
      <c r="H2854"/>
      <c r="I2854"/>
      <c r="J2854"/>
      <c r="K2854"/>
      <c r="L2854"/>
    </row>
    <row r="2855" spans="8:12">
      <c r="H2855"/>
      <c r="I2855"/>
      <c r="J2855"/>
      <c r="K2855"/>
      <c r="L2855"/>
    </row>
    <row r="2856" spans="8:12">
      <c r="H2856"/>
      <c r="I2856"/>
      <c r="J2856"/>
      <c r="K2856"/>
      <c r="L2856"/>
    </row>
    <row r="2857" spans="8:12">
      <c r="H2857"/>
      <c r="I2857"/>
      <c r="J2857"/>
      <c r="K2857"/>
      <c r="L2857"/>
    </row>
    <row r="2858" spans="8:12">
      <c r="H2858"/>
      <c r="I2858"/>
      <c r="J2858"/>
      <c r="K2858"/>
      <c r="L2858"/>
    </row>
    <row r="2859" spans="8:12">
      <c r="H2859"/>
      <c r="I2859"/>
      <c r="J2859"/>
      <c r="K2859"/>
      <c r="L2859"/>
    </row>
    <row r="2860" spans="8:12">
      <c r="H2860"/>
      <c r="I2860"/>
      <c r="J2860"/>
      <c r="K2860"/>
      <c r="L2860"/>
    </row>
    <row r="2861" spans="8:12">
      <c r="H2861"/>
      <c r="I2861"/>
      <c r="J2861"/>
      <c r="K2861"/>
      <c r="L2861"/>
    </row>
    <row r="2862" spans="8:12">
      <c r="H2862"/>
      <c r="I2862"/>
      <c r="J2862"/>
      <c r="K2862"/>
      <c r="L2862"/>
    </row>
    <row r="2863" spans="8:12">
      <c r="H2863"/>
      <c r="I2863"/>
      <c r="J2863"/>
      <c r="K2863"/>
      <c r="L2863"/>
    </row>
    <row r="2864" spans="8:12">
      <c r="H2864"/>
      <c r="I2864"/>
      <c r="J2864"/>
      <c r="K2864"/>
      <c r="L2864"/>
    </row>
    <row r="2865" spans="8:12">
      <c r="H2865"/>
      <c r="I2865"/>
      <c r="J2865"/>
      <c r="K2865"/>
      <c r="L2865"/>
    </row>
    <row r="2866" spans="8:12">
      <c r="H2866"/>
      <c r="I2866"/>
      <c r="J2866"/>
      <c r="K2866"/>
      <c r="L2866"/>
    </row>
    <row r="2867" spans="8:12">
      <c r="H2867"/>
      <c r="I2867"/>
      <c r="J2867"/>
      <c r="K2867"/>
      <c r="L2867"/>
    </row>
    <row r="2868" spans="8:12">
      <c r="H2868"/>
      <c r="I2868"/>
      <c r="J2868"/>
      <c r="K2868"/>
      <c r="L2868"/>
    </row>
    <row r="2869" spans="8:12">
      <c r="H2869"/>
      <c r="I2869"/>
      <c r="J2869"/>
      <c r="K2869"/>
      <c r="L2869"/>
    </row>
    <row r="2870" spans="8:12">
      <c r="H2870"/>
      <c r="I2870"/>
      <c r="J2870"/>
      <c r="K2870"/>
      <c r="L2870"/>
    </row>
    <row r="2871" spans="8:12">
      <c r="H2871"/>
      <c r="I2871"/>
      <c r="J2871"/>
      <c r="K2871"/>
      <c r="L2871"/>
    </row>
    <row r="2872" spans="8:12">
      <c r="H2872"/>
      <c r="I2872"/>
      <c r="J2872"/>
      <c r="K2872"/>
      <c r="L2872"/>
    </row>
    <row r="2873" spans="8:12">
      <c r="H2873"/>
      <c r="I2873"/>
      <c r="J2873"/>
      <c r="K2873"/>
      <c r="L2873"/>
    </row>
    <row r="2874" spans="8:12">
      <c r="H2874"/>
      <c r="I2874"/>
      <c r="J2874"/>
      <c r="K2874"/>
      <c r="L2874"/>
    </row>
    <row r="2875" spans="8:12">
      <c r="H2875"/>
      <c r="I2875"/>
      <c r="J2875"/>
      <c r="K2875"/>
      <c r="L2875"/>
    </row>
    <row r="2876" spans="8:12">
      <c r="H2876"/>
      <c r="I2876"/>
      <c r="J2876"/>
      <c r="K2876"/>
      <c r="L2876"/>
    </row>
    <row r="2877" spans="8:12">
      <c r="H2877"/>
      <c r="I2877"/>
      <c r="J2877"/>
      <c r="K2877"/>
      <c r="L2877"/>
    </row>
    <row r="2878" spans="8:12">
      <c r="H2878"/>
      <c r="I2878"/>
      <c r="J2878"/>
      <c r="K2878"/>
      <c r="L2878"/>
    </row>
    <row r="2879" spans="8:12">
      <c r="H2879"/>
      <c r="I2879"/>
      <c r="J2879"/>
      <c r="K2879"/>
      <c r="L2879"/>
    </row>
    <row r="2880" spans="8:12">
      <c r="H2880"/>
      <c r="I2880"/>
      <c r="J2880"/>
      <c r="K2880"/>
      <c r="L2880"/>
    </row>
    <row r="2881" spans="8:12">
      <c r="H2881"/>
      <c r="I2881"/>
      <c r="J2881"/>
      <c r="K2881"/>
      <c r="L2881"/>
    </row>
    <row r="2882" spans="8:12">
      <c r="H2882"/>
      <c r="I2882"/>
      <c r="J2882"/>
      <c r="K2882"/>
      <c r="L2882"/>
    </row>
    <row r="2883" spans="8:12">
      <c r="H2883"/>
      <c r="I2883"/>
      <c r="J2883"/>
      <c r="K2883"/>
      <c r="L2883"/>
    </row>
    <row r="2884" spans="8:12">
      <c r="H2884"/>
      <c r="I2884"/>
      <c r="J2884"/>
      <c r="K2884"/>
      <c r="L2884"/>
    </row>
    <row r="2885" spans="8:12">
      <c r="H2885"/>
      <c r="I2885"/>
      <c r="J2885"/>
      <c r="K2885"/>
      <c r="L2885"/>
    </row>
    <row r="2886" spans="8:12">
      <c r="H2886"/>
      <c r="I2886"/>
      <c r="J2886"/>
      <c r="K2886"/>
      <c r="L2886"/>
    </row>
    <row r="2887" spans="8:12">
      <c r="H2887"/>
      <c r="I2887"/>
      <c r="J2887"/>
      <c r="K2887"/>
      <c r="L2887"/>
    </row>
    <row r="2888" spans="8:12">
      <c r="H2888"/>
      <c r="I2888"/>
      <c r="J2888"/>
      <c r="K2888"/>
      <c r="L2888"/>
    </row>
    <row r="2889" spans="8:12">
      <c r="H2889"/>
      <c r="I2889"/>
      <c r="J2889"/>
      <c r="K2889"/>
      <c r="L2889"/>
    </row>
    <row r="2890" spans="8:12">
      <c r="H2890"/>
      <c r="I2890"/>
      <c r="J2890"/>
      <c r="K2890"/>
      <c r="L2890"/>
    </row>
    <row r="2891" spans="8:12">
      <c r="H2891"/>
      <c r="I2891"/>
      <c r="J2891"/>
      <c r="K2891"/>
      <c r="L2891"/>
    </row>
    <row r="2892" spans="8:12">
      <c r="H2892"/>
      <c r="I2892"/>
      <c r="J2892"/>
      <c r="K2892"/>
      <c r="L2892"/>
    </row>
    <row r="2893" spans="8:12">
      <c r="H2893"/>
      <c r="I2893"/>
      <c r="J2893"/>
      <c r="K2893"/>
      <c r="L2893"/>
    </row>
    <row r="2894" spans="8:12">
      <c r="H2894"/>
      <c r="I2894"/>
      <c r="J2894"/>
      <c r="K2894"/>
      <c r="L2894"/>
    </row>
    <row r="2895" spans="8:12">
      <c r="H2895"/>
      <c r="I2895"/>
      <c r="J2895"/>
      <c r="K2895"/>
      <c r="L2895"/>
    </row>
    <row r="2896" spans="8:12">
      <c r="H2896"/>
      <c r="I2896"/>
      <c r="J2896"/>
      <c r="K2896"/>
      <c r="L2896"/>
    </row>
    <row r="2897" spans="8:12">
      <c r="H2897"/>
      <c r="I2897"/>
      <c r="J2897"/>
      <c r="K2897"/>
      <c r="L2897"/>
    </row>
    <row r="2898" spans="8:12">
      <c r="H2898"/>
      <c r="I2898"/>
      <c r="J2898"/>
      <c r="K2898"/>
      <c r="L2898"/>
    </row>
    <row r="2899" spans="8:12">
      <c r="H2899"/>
      <c r="I2899"/>
      <c r="J2899"/>
      <c r="K2899"/>
      <c r="L2899"/>
    </row>
    <row r="2900" spans="8:12">
      <c r="H2900"/>
      <c r="I2900"/>
      <c r="J2900"/>
      <c r="K2900"/>
      <c r="L2900"/>
    </row>
    <row r="2901" spans="8:12">
      <c r="H2901"/>
      <c r="I2901"/>
      <c r="J2901"/>
      <c r="K2901"/>
      <c r="L2901"/>
    </row>
    <row r="2902" spans="8:12">
      <c r="H2902"/>
      <c r="I2902"/>
      <c r="J2902"/>
      <c r="K2902"/>
      <c r="L2902"/>
    </row>
    <row r="2903" spans="8:12">
      <c r="H2903"/>
      <c r="I2903"/>
      <c r="J2903"/>
      <c r="K2903"/>
      <c r="L2903"/>
    </row>
    <row r="2904" spans="8:12">
      <c r="H2904"/>
      <c r="I2904"/>
      <c r="J2904"/>
      <c r="K2904"/>
      <c r="L2904"/>
    </row>
    <row r="2905" spans="8:12">
      <c r="H2905"/>
      <c r="I2905"/>
      <c r="J2905"/>
      <c r="K2905"/>
      <c r="L2905"/>
    </row>
    <row r="2906" spans="8:12">
      <c r="H2906"/>
      <c r="I2906"/>
      <c r="J2906"/>
      <c r="K2906"/>
      <c r="L2906"/>
    </row>
    <row r="2907" spans="8:12">
      <c r="H2907"/>
      <c r="I2907"/>
      <c r="J2907"/>
      <c r="K2907"/>
      <c r="L2907"/>
    </row>
    <row r="2908" spans="8:12">
      <c r="H2908"/>
      <c r="I2908"/>
      <c r="J2908"/>
      <c r="K2908"/>
      <c r="L2908"/>
    </row>
    <row r="2909" spans="8:12">
      <c r="H2909"/>
      <c r="I2909"/>
      <c r="J2909"/>
      <c r="K2909"/>
      <c r="L2909"/>
    </row>
    <row r="2910" spans="8:12">
      <c r="H2910"/>
      <c r="I2910"/>
      <c r="J2910"/>
      <c r="K2910"/>
      <c r="L2910"/>
    </row>
    <row r="2911" spans="8:12">
      <c r="H2911"/>
      <c r="I2911"/>
      <c r="J2911"/>
      <c r="K2911"/>
      <c r="L2911"/>
    </row>
    <row r="2912" spans="8:12">
      <c r="H2912"/>
      <c r="I2912"/>
      <c r="J2912"/>
      <c r="K2912"/>
      <c r="L2912"/>
    </row>
    <row r="2913" spans="8:12">
      <c r="H2913"/>
      <c r="I2913"/>
      <c r="J2913"/>
      <c r="K2913"/>
      <c r="L2913"/>
    </row>
    <row r="2914" spans="8:12">
      <c r="H2914"/>
      <c r="I2914"/>
      <c r="J2914"/>
      <c r="K2914"/>
      <c r="L2914"/>
    </row>
    <row r="2915" spans="8:12">
      <c r="H2915"/>
      <c r="I2915"/>
      <c r="J2915"/>
      <c r="K2915"/>
      <c r="L2915"/>
    </row>
    <row r="2916" spans="8:12">
      <c r="H2916"/>
      <c r="I2916"/>
      <c r="J2916"/>
      <c r="K2916"/>
      <c r="L2916"/>
    </row>
    <row r="2917" spans="8:12">
      <c r="H2917"/>
      <c r="I2917"/>
      <c r="J2917"/>
      <c r="K2917"/>
      <c r="L2917"/>
    </row>
    <row r="2918" spans="8:12">
      <c r="H2918"/>
      <c r="I2918"/>
      <c r="J2918"/>
      <c r="K2918"/>
      <c r="L2918"/>
    </row>
    <row r="2919" spans="8:12">
      <c r="H2919"/>
      <c r="I2919"/>
      <c r="J2919"/>
      <c r="K2919"/>
      <c r="L2919"/>
    </row>
    <row r="2920" spans="8:12">
      <c r="H2920"/>
      <c r="I2920"/>
      <c r="J2920"/>
      <c r="K2920"/>
      <c r="L2920"/>
    </row>
    <row r="2921" spans="8:12">
      <c r="H2921"/>
      <c r="I2921"/>
      <c r="J2921"/>
      <c r="K2921"/>
      <c r="L2921"/>
    </row>
    <row r="2922" spans="8:12">
      <c r="H2922"/>
      <c r="I2922"/>
      <c r="J2922"/>
      <c r="K2922"/>
      <c r="L2922"/>
    </row>
    <row r="2923" spans="8:12">
      <c r="H2923"/>
      <c r="I2923"/>
      <c r="J2923"/>
      <c r="K2923"/>
      <c r="L2923"/>
    </row>
    <row r="2924" spans="8:12">
      <c r="H2924"/>
      <c r="I2924"/>
      <c r="J2924"/>
      <c r="K2924"/>
      <c r="L2924"/>
    </row>
    <row r="2925" spans="8:12">
      <c r="H2925"/>
      <c r="I2925"/>
      <c r="J2925"/>
      <c r="K2925"/>
      <c r="L2925"/>
    </row>
    <row r="2926" spans="8:12">
      <c r="H2926"/>
      <c r="I2926"/>
      <c r="J2926"/>
      <c r="K2926"/>
      <c r="L2926"/>
    </row>
    <row r="2927" spans="8:12">
      <c r="H2927"/>
      <c r="I2927"/>
      <c r="J2927"/>
      <c r="K2927"/>
      <c r="L2927"/>
    </row>
    <row r="2928" spans="8:12">
      <c r="H2928"/>
      <c r="I2928"/>
      <c r="J2928"/>
      <c r="K2928"/>
      <c r="L2928"/>
    </row>
    <row r="2929" spans="8:12">
      <c r="H2929"/>
      <c r="I2929"/>
      <c r="J2929"/>
      <c r="K2929"/>
      <c r="L2929"/>
    </row>
    <row r="2930" spans="8:12">
      <c r="H2930"/>
      <c r="I2930"/>
      <c r="J2930"/>
      <c r="K2930"/>
      <c r="L2930"/>
    </row>
    <row r="2931" spans="8:12">
      <c r="H2931"/>
      <c r="I2931"/>
      <c r="J2931"/>
      <c r="K2931"/>
      <c r="L2931"/>
    </row>
    <row r="2932" spans="8:12">
      <c r="H2932"/>
      <c r="I2932"/>
      <c r="J2932"/>
      <c r="K2932"/>
      <c r="L2932"/>
    </row>
    <row r="2933" spans="8:12">
      <c r="H2933"/>
      <c r="I2933"/>
      <c r="J2933"/>
      <c r="K2933"/>
      <c r="L2933"/>
    </row>
    <row r="2934" spans="8:12">
      <c r="H2934"/>
      <c r="I2934"/>
      <c r="J2934"/>
      <c r="K2934"/>
      <c r="L2934"/>
    </row>
    <row r="2935" spans="8:12">
      <c r="H2935"/>
      <c r="I2935"/>
      <c r="J2935"/>
      <c r="K2935"/>
      <c r="L2935"/>
    </row>
    <row r="2936" spans="8:12">
      <c r="H2936"/>
      <c r="I2936"/>
      <c r="J2936"/>
      <c r="K2936"/>
      <c r="L2936"/>
    </row>
    <row r="2937" spans="8:12">
      <c r="H2937"/>
      <c r="I2937"/>
      <c r="J2937"/>
      <c r="K2937"/>
      <c r="L2937"/>
    </row>
    <row r="2938" spans="8:12">
      <c r="H2938"/>
      <c r="I2938"/>
      <c r="J2938"/>
      <c r="K2938"/>
      <c r="L2938"/>
    </row>
    <row r="2939" spans="8:12">
      <c r="H2939"/>
      <c r="I2939"/>
      <c r="J2939"/>
      <c r="K2939"/>
      <c r="L2939"/>
    </row>
    <row r="2940" spans="8:12">
      <c r="H2940"/>
      <c r="I2940"/>
      <c r="J2940"/>
      <c r="K2940"/>
      <c r="L2940"/>
    </row>
    <row r="2941" spans="8:12">
      <c r="H2941"/>
      <c r="I2941"/>
      <c r="J2941"/>
      <c r="K2941"/>
      <c r="L2941"/>
    </row>
    <row r="2942" spans="8:12">
      <c r="H2942"/>
      <c r="I2942"/>
      <c r="J2942"/>
      <c r="K2942"/>
      <c r="L2942"/>
    </row>
    <row r="2943" spans="8:12">
      <c r="H2943"/>
      <c r="I2943"/>
      <c r="J2943"/>
      <c r="K2943"/>
      <c r="L2943"/>
    </row>
    <row r="2944" spans="8:12">
      <c r="H2944"/>
      <c r="I2944"/>
      <c r="J2944"/>
      <c r="K2944"/>
      <c r="L2944"/>
    </row>
    <row r="2945" spans="8:12">
      <c r="H2945"/>
      <c r="I2945"/>
      <c r="J2945"/>
      <c r="K2945"/>
      <c r="L2945"/>
    </row>
    <row r="2946" spans="8:12">
      <c r="H2946"/>
      <c r="I2946"/>
      <c r="J2946"/>
      <c r="K2946"/>
      <c r="L2946"/>
    </row>
    <row r="2947" spans="8:12">
      <c r="H2947"/>
      <c r="I2947"/>
      <c r="J2947"/>
      <c r="K2947"/>
      <c r="L2947"/>
    </row>
    <row r="2948" spans="8:12">
      <c r="H2948"/>
      <c r="I2948"/>
      <c r="J2948"/>
      <c r="K2948"/>
      <c r="L2948"/>
    </row>
    <row r="2949" spans="8:12">
      <c r="H2949"/>
      <c r="I2949"/>
      <c r="J2949"/>
      <c r="K2949"/>
      <c r="L2949"/>
    </row>
    <row r="2950" spans="8:12">
      <c r="H2950"/>
      <c r="I2950"/>
      <c r="J2950"/>
      <c r="K2950"/>
      <c r="L2950"/>
    </row>
    <row r="2951" spans="8:12">
      <c r="H2951"/>
      <c r="I2951"/>
      <c r="J2951"/>
      <c r="K2951"/>
      <c r="L2951"/>
    </row>
    <row r="2952" spans="8:12">
      <c r="H2952"/>
      <c r="I2952"/>
      <c r="J2952"/>
      <c r="K2952"/>
      <c r="L2952"/>
    </row>
    <row r="2953" spans="8:12">
      <c r="H2953"/>
      <c r="I2953"/>
      <c r="J2953"/>
      <c r="K2953"/>
      <c r="L2953"/>
    </row>
    <row r="2954" spans="8:12">
      <c r="H2954"/>
      <c r="I2954"/>
      <c r="J2954"/>
      <c r="K2954"/>
      <c r="L2954"/>
    </row>
    <row r="2955" spans="8:12">
      <c r="H2955"/>
      <c r="I2955"/>
      <c r="J2955"/>
      <c r="K2955"/>
      <c r="L2955"/>
    </row>
    <row r="2956" spans="8:12">
      <c r="H2956"/>
      <c r="I2956"/>
      <c r="J2956"/>
      <c r="K2956"/>
      <c r="L2956"/>
    </row>
    <row r="2957" spans="8:12">
      <c r="H2957"/>
      <c r="I2957"/>
      <c r="J2957"/>
      <c r="K2957"/>
      <c r="L2957"/>
    </row>
    <row r="2958" spans="8:12">
      <c r="H2958"/>
      <c r="I2958"/>
      <c r="J2958"/>
      <c r="K2958"/>
      <c r="L2958"/>
    </row>
    <row r="2959" spans="8:12">
      <c r="H2959"/>
      <c r="I2959"/>
      <c r="J2959"/>
      <c r="K2959"/>
      <c r="L2959"/>
    </row>
    <row r="2960" spans="8:12">
      <c r="H2960"/>
      <c r="I2960"/>
      <c r="J2960"/>
      <c r="K2960"/>
      <c r="L2960"/>
    </row>
    <row r="2961" spans="8:12">
      <c r="H2961"/>
      <c r="I2961"/>
      <c r="J2961"/>
      <c r="K2961"/>
      <c r="L2961"/>
    </row>
    <row r="2962" spans="8:12">
      <c r="H2962"/>
      <c r="I2962"/>
      <c r="J2962"/>
      <c r="K2962"/>
      <c r="L2962"/>
    </row>
    <row r="2963" spans="8:12">
      <c r="H2963"/>
      <c r="I2963"/>
      <c r="J2963"/>
      <c r="K2963"/>
      <c r="L2963"/>
    </row>
    <row r="2964" spans="8:12">
      <c r="H2964"/>
      <c r="I2964"/>
      <c r="J2964"/>
      <c r="K2964"/>
      <c r="L2964"/>
    </row>
    <row r="2965" spans="8:12">
      <c r="H2965"/>
      <c r="I2965"/>
      <c r="J2965"/>
      <c r="K2965"/>
      <c r="L2965"/>
    </row>
    <row r="2966" spans="8:12">
      <c r="H2966"/>
      <c r="I2966"/>
      <c r="J2966"/>
      <c r="K2966"/>
      <c r="L2966"/>
    </row>
    <row r="2967" spans="8:12">
      <c r="H2967"/>
      <c r="I2967"/>
      <c r="J2967"/>
      <c r="K2967"/>
      <c r="L2967"/>
    </row>
    <row r="2968" spans="8:12">
      <c r="H2968"/>
      <c r="I2968"/>
      <c r="J2968"/>
      <c r="K2968"/>
      <c r="L2968"/>
    </row>
    <row r="2969" spans="8:12">
      <c r="H2969"/>
      <c r="I2969"/>
      <c r="J2969"/>
      <c r="K2969"/>
      <c r="L2969"/>
    </row>
    <row r="2970" spans="8:12">
      <c r="H2970"/>
      <c r="I2970"/>
      <c r="J2970"/>
      <c r="K2970"/>
      <c r="L2970"/>
    </row>
    <row r="2971" spans="8:12">
      <c r="H2971"/>
      <c r="I2971"/>
      <c r="J2971"/>
      <c r="K2971"/>
      <c r="L2971"/>
    </row>
    <row r="2972" spans="8:12">
      <c r="H2972"/>
      <c r="I2972"/>
      <c r="J2972"/>
      <c r="K2972"/>
      <c r="L2972"/>
    </row>
    <row r="2973" spans="8:12">
      <c r="H2973"/>
      <c r="I2973"/>
      <c r="J2973"/>
      <c r="K2973"/>
      <c r="L2973"/>
    </row>
    <row r="2974" spans="8:12">
      <c r="H2974"/>
      <c r="I2974"/>
      <c r="J2974"/>
      <c r="K2974"/>
      <c r="L2974"/>
    </row>
    <row r="2975" spans="8:12">
      <c r="H2975"/>
      <c r="I2975"/>
      <c r="J2975"/>
      <c r="K2975"/>
      <c r="L2975"/>
    </row>
    <row r="2976" spans="8:12">
      <c r="H2976"/>
      <c r="I2976"/>
      <c r="J2976"/>
      <c r="K2976"/>
      <c r="L2976"/>
    </row>
    <row r="2977" spans="8:12">
      <c r="H2977"/>
      <c r="I2977"/>
      <c r="J2977"/>
      <c r="K2977"/>
      <c r="L2977"/>
    </row>
    <row r="2978" spans="8:12">
      <c r="H2978"/>
      <c r="I2978"/>
      <c r="J2978"/>
      <c r="K2978"/>
      <c r="L2978"/>
    </row>
    <row r="2979" spans="8:12">
      <c r="H2979"/>
      <c r="I2979"/>
      <c r="J2979"/>
      <c r="K2979"/>
      <c r="L2979"/>
    </row>
    <row r="2980" spans="8:12">
      <c r="H2980"/>
      <c r="I2980"/>
      <c r="J2980"/>
      <c r="K2980"/>
      <c r="L2980"/>
    </row>
    <row r="2981" spans="8:12">
      <c r="H2981"/>
      <c r="I2981"/>
      <c r="J2981"/>
      <c r="K2981"/>
      <c r="L2981"/>
    </row>
    <row r="2982" spans="8:12">
      <c r="H2982"/>
      <c r="I2982"/>
      <c r="J2982"/>
      <c r="K2982"/>
      <c r="L2982"/>
    </row>
    <row r="2983" spans="8:12">
      <c r="H2983"/>
      <c r="I2983"/>
      <c r="J2983"/>
      <c r="K2983"/>
      <c r="L2983"/>
    </row>
    <row r="2984" spans="8:12">
      <c r="H2984"/>
      <c r="I2984"/>
      <c r="J2984"/>
      <c r="K2984"/>
      <c r="L2984"/>
    </row>
    <row r="2985" spans="8:12">
      <c r="H2985"/>
      <c r="I2985"/>
      <c r="J2985"/>
      <c r="K2985"/>
      <c r="L2985"/>
    </row>
    <row r="2986" spans="8:12">
      <c r="H2986"/>
      <c r="I2986"/>
      <c r="J2986"/>
      <c r="K2986"/>
      <c r="L2986"/>
    </row>
    <row r="2987" spans="8:12">
      <c r="H2987"/>
      <c r="I2987"/>
      <c r="J2987"/>
      <c r="K2987"/>
      <c r="L2987"/>
    </row>
    <row r="2988" spans="8:12">
      <c r="H2988"/>
      <c r="I2988"/>
      <c r="J2988"/>
      <c r="K2988"/>
      <c r="L2988"/>
    </row>
    <row r="2989" spans="8:12">
      <c r="H2989"/>
      <c r="I2989"/>
      <c r="J2989"/>
      <c r="K2989"/>
      <c r="L2989"/>
    </row>
    <row r="2990" spans="8:12">
      <c r="H2990"/>
      <c r="I2990"/>
      <c r="J2990"/>
      <c r="K2990"/>
      <c r="L2990"/>
    </row>
    <row r="2991" spans="8:12">
      <c r="H2991"/>
      <c r="I2991"/>
      <c r="J2991"/>
      <c r="K2991"/>
      <c r="L2991"/>
    </row>
    <row r="2992" spans="8:12">
      <c r="H2992"/>
      <c r="I2992"/>
      <c r="J2992"/>
      <c r="K2992"/>
      <c r="L2992"/>
    </row>
    <row r="2993" spans="8:12">
      <c r="H2993"/>
      <c r="I2993"/>
      <c r="J2993"/>
      <c r="K2993"/>
      <c r="L2993"/>
    </row>
    <row r="2994" spans="8:12">
      <c r="H2994"/>
      <c r="I2994"/>
      <c r="J2994"/>
      <c r="K2994"/>
      <c r="L2994"/>
    </row>
    <row r="2995" spans="8:12">
      <c r="H2995"/>
      <c r="I2995"/>
      <c r="J2995"/>
      <c r="K2995"/>
      <c r="L2995"/>
    </row>
    <row r="2996" spans="8:12">
      <c r="H2996"/>
      <c r="I2996"/>
      <c r="J2996"/>
      <c r="K2996"/>
      <c r="L2996"/>
    </row>
    <row r="2997" spans="8:12">
      <c r="H2997"/>
      <c r="I2997"/>
      <c r="J2997"/>
      <c r="K2997"/>
      <c r="L2997"/>
    </row>
    <row r="2998" spans="8:12">
      <c r="H2998"/>
      <c r="I2998"/>
      <c r="J2998"/>
      <c r="K2998"/>
      <c r="L2998"/>
    </row>
    <row r="2999" spans="8:12">
      <c r="H2999"/>
      <c r="I2999"/>
      <c r="J2999"/>
      <c r="K2999"/>
      <c r="L2999"/>
    </row>
    <row r="3000" spans="8:12">
      <c r="H3000"/>
      <c r="I3000"/>
      <c r="J3000"/>
      <c r="K3000"/>
      <c r="L3000"/>
    </row>
    <row r="3001" spans="8:12">
      <c r="H3001"/>
      <c r="I3001"/>
      <c r="J3001"/>
      <c r="K3001"/>
      <c r="L3001"/>
    </row>
    <row r="3002" spans="8:12">
      <c r="H3002"/>
      <c r="I3002"/>
      <c r="J3002"/>
      <c r="K3002"/>
      <c r="L3002"/>
    </row>
    <row r="3003" spans="8:12">
      <c r="H3003"/>
      <c r="I3003"/>
      <c r="J3003"/>
      <c r="K3003"/>
      <c r="L3003"/>
    </row>
    <row r="3004" spans="8:12">
      <c r="H3004"/>
      <c r="I3004"/>
      <c r="J3004"/>
      <c r="K3004"/>
      <c r="L3004"/>
    </row>
    <row r="3005" spans="8:12">
      <c r="H3005"/>
      <c r="I3005"/>
      <c r="J3005"/>
      <c r="K3005"/>
      <c r="L3005"/>
    </row>
    <row r="3006" spans="8:12">
      <c r="H3006"/>
      <c r="I3006"/>
      <c r="J3006"/>
      <c r="K3006"/>
      <c r="L3006"/>
    </row>
    <row r="3007" spans="8:12">
      <c r="H3007"/>
      <c r="I3007"/>
      <c r="J3007"/>
      <c r="K3007"/>
      <c r="L3007"/>
    </row>
    <row r="3008" spans="8:12">
      <c r="H3008"/>
      <c r="I3008"/>
      <c r="J3008"/>
      <c r="K3008"/>
      <c r="L3008"/>
    </row>
    <row r="3009" spans="8:12">
      <c r="H3009"/>
      <c r="I3009"/>
      <c r="J3009"/>
      <c r="K3009"/>
      <c r="L3009"/>
    </row>
    <row r="3010" spans="8:12">
      <c r="H3010"/>
      <c r="I3010"/>
      <c r="J3010"/>
      <c r="K3010"/>
      <c r="L3010"/>
    </row>
    <row r="3011" spans="8:12">
      <c r="H3011"/>
      <c r="I3011"/>
      <c r="J3011"/>
      <c r="K3011"/>
      <c r="L3011"/>
    </row>
    <row r="3012" spans="8:12">
      <c r="H3012"/>
      <c r="I3012"/>
      <c r="J3012"/>
      <c r="K3012"/>
      <c r="L3012"/>
    </row>
    <row r="3013" spans="8:12">
      <c r="H3013"/>
      <c r="I3013"/>
      <c r="J3013"/>
      <c r="K3013"/>
      <c r="L3013"/>
    </row>
    <row r="3014" spans="8:12">
      <c r="H3014"/>
      <c r="I3014"/>
      <c r="J3014"/>
      <c r="K3014"/>
      <c r="L3014"/>
    </row>
    <row r="3015" spans="8:12">
      <c r="H3015"/>
      <c r="I3015"/>
      <c r="J3015"/>
      <c r="K3015"/>
      <c r="L3015"/>
    </row>
    <row r="3016" spans="8:12">
      <c r="H3016"/>
      <c r="I3016"/>
      <c r="J3016"/>
      <c r="K3016"/>
      <c r="L3016"/>
    </row>
    <row r="3017" spans="8:12">
      <c r="H3017"/>
      <c r="I3017"/>
      <c r="J3017"/>
      <c r="K3017"/>
      <c r="L3017"/>
    </row>
    <row r="3018" spans="8:12">
      <c r="H3018"/>
      <c r="I3018"/>
      <c r="J3018"/>
      <c r="K3018"/>
      <c r="L3018"/>
    </row>
    <row r="3019" spans="8:12">
      <c r="H3019"/>
      <c r="I3019"/>
      <c r="J3019"/>
      <c r="K3019"/>
      <c r="L3019"/>
    </row>
    <row r="3020" spans="8:12">
      <c r="H3020"/>
      <c r="I3020"/>
      <c r="J3020"/>
      <c r="K3020"/>
      <c r="L3020"/>
    </row>
    <row r="3021" spans="8:12">
      <c r="H3021"/>
      <c r="I3021"/>
      <c r="J3021"/>
      <c r="K3021"/>
      <c r="L3021"/>
    </row>
    <row r="3022" spans="8:12">
      <c r="H3022"/>
      <c r="I3022"/>
      <c r="J3022"/>
      <c r="K3022"/>
      <c r="L3022"/>
    </row>
    <row r="3023" spans="8:12">
      <c r="H3023"/>
      <c r="I3023"/>
      <c r="J3023"/>
      <c r="K3023"/>
      <c r="L3023"/>
    </row>
    <row r="3024" spans="8:12">
      <c r="H3024"/>
      <c r="I3024"/>
      <c r="J3024"/>
      <c r="K3024"/>
      <c r="L3024"/>
    </row>
    <row r="3025" spans="8:12">
      <c r="H3025"/>
      <c r="I3025"/>
      <c r="J3025"/>
      <c r="K3025"/>
      <c r="L3025"/>
    </row>
    <row r="3026" spans="8:12">
      <c r="H3026"/>
      <c r="I3026"/>
      <c r="J3026"/>
      <c r="K3026"/>
      <c r="L3026"/>
    </row>
    <row r="3027" spans="8:12">
      <c r="H3027"/>
      <c r="I3027"/>
      <c r="J3027"/>
      <c r="K3027"/>
      <c r="L3027"/>
    </row>
    <row r="3028" spans="8:12">
      <c r="H3028"/>
      <c r="I3028"/>
      <c r="J3028"/>
      <c r="K3028"/>
      <c r="L3028"/>
    </row>
    <row r="3029" spans="8:12">
      <c r="H3029"/>
      <c r="I3029"/>
      <c r="J3029"/>
      <c r="K3029"/>
      <c r="L3029"/>
    </row>
    <row r="3030" spans="8:12">
      <c r="H3030"/>
      <c r="I3030"/>
      <c r="J3030"/>
      <c r="K3030"/>
      <c r="L3030"/>
    </row>
    <row r="3031" spans="8:12">
      <c r="H3031"/>
      <c r="I3031"/>
      <c r="J3031"/>
      <c r="K3031"/>
      <c r="L3031"/>
    </row>
    <row r="3032" spans="8:12">
      <c r="H3032"/>
      <c r="I3032"/>
      <c r="J3032"/>
      <c r="K3032"/>
      <c r="L3032"/>
    </row>
    <row r="3033" spans="8:12">
      <c r="H3033"/>
      <c r="I3033"/>
      <c r="J3033"/>
      <c r="K3033"/>
      <c r="L3033"/>
    </row>
    <row r="3034" spans="8:12">
      <c r="H3034"/>
      <c r="I3034"/>
      <c r="J3034"/>
      <c r="K3034"/>
      <c r="L3034"/>
    </row>
    <row r="3035" spans="8:12">
      <c r="H3035"/>
      <c r="I3035"/>
      <c r="J3035"/>
      <c r="K3035"/>
      <c r="L3035"/>
    </row>
    <row r="3036" spans="8:12">
      <c r="H3036"/>
      <c r="I3036"/>
      <c r="J3036"/>
      <c r="K3036"/>
      <c r="L3036"/>
    </row>
    <row r="3037" spans="8:12">
      <c r="H3037"/>
      <c r="I3037"/>
      <c r="J3037"/>
      <c r="K3037"/>
      <c r="L3037"/>
    </row>
    <row r="3038" spans="8:12">
      <c r="H3038"/>
      <c r="I3038"/>
      <c r="J3038"/>
      <c r="K3038"/>
      <c r="L3038"/>
    </row>
    <row r="3039" spans="8:12">
      <c r="H3039"/>
      <c r="I3039"/>
      <c r="J3039"/>
      <c r="K3039"/>
      <c r="L3039"/>
    </row>
    <row r="3040" spans="8:12">
      <c r="H3040"/>
      <c r="I3040"/>
      <c r="J3040"/>
      <c r="K3040"/>
      <c r="L3040"/>
    </row>
    <row r="3041" spans="8:12">
      <c r="H3041"/>
      <c r="I3041"/>
      <c r="J3041"/>
      <c r="K3041"/>
      <c r="L3041"/>
    </row>
    <row r="3042" spans="8:12">
      <c r="H3042"/>
      <c r="I3042"/>
      <c r="J3042"/>
      <c r="K3042"/>
      <c r="L3042"/>
    </row>
    <row r="3043" spans="8:12">
      <c r="H3043"/>
      <c r="I3043"/>
      <c r="J3043"/>
      <c r="K3043"/>
      <c r="L3043"/>
    </row>
    <row r="3044" spans="8:12">
      <c r="H3044"/>
      <c r="I3044"/>
      <c r="J3044"/>
      <c r="K3044"/>
      <c r="L3044"/>
    </row>
    <row r="3045" spans="8:12">
      <c r="H3045"/>
      <c r="I3045"/>
      <c r="J3045"/>
      <c r="K3045"/>
      <c r="L3045"/>
    </row>
    <row r="3046" spans="8:12">
      <c r="H3046"/>
      <c r="I3046"/>
      <c r="J3046"/>
      <c r="K3046"/>
      <c r="L3046"/>
    </row>
    <row r="3047" spans="8:12">
      <c r="H3047"/>
      <c r="I3047"/>
      <c r="J3047"/>
      <c r="K3047"/>
      <c r="L3047"/>
    </row>
    <row r="3048" spans="8:12">
      <c r="H3048"/>
      <c r="I3048"/>
      <c r="J3048"/>
      <c r="K3048"/>
      <c r="L3048"/>
    </row>
    <row r="3049" spans="8:12">
      <c r="H3049"/>
      <c r="I3049"/>
      <c r="J3049"/>
      <c r="K3049"/>
      <c r="L3049"/>
    </row>
    <row r="3050" spans="8:12">
      <c r="H3050"/>
      <c r="I3050"/>
      <c r="J3050"/>
      <c r="K3050"/>
      <c r="L3050"/>
    </row>
    <row r="3051" spans="8:12">
      <c r="H3051"/>
      <c r="I3051"/>
      <c r="J3051"/>
      <c r="K3051"/>
      <c r="L3051"/>
    </row>
    <row r="3052" spans="8:12">
      <c r="H3052"/>
      <c r="I3052"/>
      <c r="J3052"/>
      <c r="K3052"/>
      <c r="L3052"/>
    </row>
    <row r="3053" spans="8:12">
      <c r="H3053"/>
      <c r="I3053"/>
      <c r="J3053"/>
      <c r="K3053"/>
      <c r="L3053"/>
    </row>
    <row r="3054" spans="8:12">
      <c r="H3054"/>
      <c r="I3054"/>
      <c r="J3054"/>
      <c r="K3054"/>
      <c r="L3054"/>
    </row>
    <row r="3055" spans="8:12">
      <c r="H3055"/>
      <c r="I3055"/>
      <c r="J3055"/>
      <c r="K3055"/>
      <c r="L3055"/>
    </row>
    <row r="3056" spans="8:12">
      <c r="H3056"/>
      <c r="I3056"/>
      <c r="J3056"/>
      <c r="K3056"/>
      <c r="L3056"/>
    </row>
    <row r="3057" spans="8:12">
      <c r="H3057"/>
      <c r="I3057"/>
      <c r="J3057"/>
      <c r="K3057"/>
      <c r="L3057"/>
    </row>
    <row r="3058" spans="8:12">
      <c r="H3058"/>
      <c r="I3058"/>
      <c r="J3058"/>
      <c r="K3058"/>
      <c r="L3058"/>
    </row>
    <row r="3059" spans="8:12">
      <c r="H3059"/>
      <c r="I3059"/>
      <c r="J3059"/>
      <c r="K3059"/>
      <c r="L3059"/>
    </row>
    <row r="3060" spans="8:12">
      <c r="H3060"/>
      <c r="I3060"/>
      <c r="J3060"/>
      <c r="K3060"/>
      <c r="L3060"/>
    </row>
    <row r="3061" spans="8:12">
      <c r="H3061"/>
      <c r="I3061"/>
      <c r="J3061"/>
      <c r="K3061"/>
      <c r="L3061"/>
    </row>
    <row r="3062" spans="8:12">
      <c r="H3062"/>
      <c r="I3062"/>
      <c r="J3062"/>
      <c r="K3062"/>
      <c r="L3062"/>
    </row>
    <row r="3063" spans="8:12">
      <c r="H3063"/>
      <c r="I3063"/>
      <c r="J3063"/>
      <c r="K3063"/>
      <c r="L3063"/>
    </row>
    <row r="3064" spans="8:12">
      <c r="H3064"/>
      <c r="I3064"/>
      <c r="J3064"/>
      <c r="K3064"/>
      <c r="L3064"/>
    </row>
    <row r="3065" spans="8:12">
      <c r="H3065"/>
      <c r="I3065"/>
      <c r="J3065"/>
      <c r="K3065"/>
      <c r="L3065"/>
    </row>
    <row r="3066" spans="8:12">
      <c r="H3066"/>
      <c r="I3066"/>
      <c r="J3066"/>
      <c r="K3066"/>
      <c r="L3066"/>
    </row>
    <row r="3067" spans="8:12">
      <c r="H3067"/>
      <c r="I3067"/>
      <c r="J3067"/>
      <c r="K3067"/>
      <c r="L3067"/>
    </row>
    <row r="3068" spans="8:12">
      <c r="H3068"/>
      <c r="I3068"/>
      <c r="J3068"/>
      <c r="K3068"/>
      <c r="L3068"/>
    </row>
    <row r="3069" spans="8:12">
      <c r="H3069"/>
      <c r="I3069"/>
      <c r="J3069"/>
      <c r="K3069"/>
      <c r="L3069"/>
    </row>
    <row r="3070" spans="8:12">
      <c r="H3070"/>
      <c r="I3070"/>
      <c r="J3070"/>
      <c r="K3070"/>
      <c r="L3070"/>
    </row>
    <row r="3071" spans="8:12">
      <c r="H3071"/>
      <c r="I3071"/>
      <c r="J3071"/>
      <c r="K3071"/>
      <c r="L3071"/>
    </row>
    <row r="3072" spans="8:12">
      <c r="H3072"/>
      <c r="I3072"/>
      <c r="J3072"/>
      <c r="K3072"/>
      <c r="L3072"/>
    </row>
    <row r="3073" spans="8:12">
      <c r="H3073"/>
      <c r="I3073"/>
      <c r="J3073"/>
      <c r="K3073"/>
      <c r="L3073"/>
    </row>
    <row r="3074" spans="8:12">
      <c r="H3074"/>
      <c r="I3074"/>
      <c r="J3074"/>
      <c r="K3074"/>
      <c r="L3074"/>
    </row>
    <row r="3075" spans="8:12">
      <c r="H3075"/>
      <c r="I3075"/>
      <c r="J3075"/>
      <c r="K3075"/>
      <c r="L3075"/>
    </row>
    <row r="3076" spans="8:12">
      <c r="H3076"/>
      <c r="I3076"/>
      <c r="J3076"/>
      <c r="K3076"/>
      <c r="L3076"/>
    </row>
    <row r="3077" spans="8:12">
      <c r="H3077"/>
      <c r="I3077"/>
      <c r="J3077"/>
      <c r="K3077"/>
      <c r="L3077"/>
    </row>
    <row r="3078" spans="8:12">
      <c r="H3078"/>
      <c r="I3078"/>
      <c r="J3078"/>
      <c r="K3078"/>
      <c r="L3078"/>
    </row>
    <row r="3079" spans="8:12">
      <c r="H3079"/>
      <c r="I3079"/>
      <c r="J3079"/>
      <c r="K3079"/>
      <c r="L3079"/>
    </row>
    <row r="3080" spans="8:12">
      <c r="H3080"/>
      <c r="I3080"/>
      <c r="J3080"/>
      <c r="K3080"/>
      <c r="L3080"/>
    </row>
    <row r="3081" spans="8:12">
      <c r="H3081"/>
      <c r="I3081"/>
      <c r="J3081"/>
      <c r="K3081"/>
      <c r="L3081"/>
    </row>
    <row r="3082" spans="8:12">
      <c r="H3082"/>
      <c r="I3082"/>
      <c r="J3082"/>
      <c r="K3082"/>
      <c r="L3082"/>
    </row>
    <row r="3083" spans="8:12">
      <c r="H3083"/>
      <c r="I3083"/>
      <c r="J3083"/>
      <c r="K3083"/>
      <c r="L3083"/>
    </row>
    <row r="3084" spans="8:12">
      <c r="H3084"/>
      <c r="I3084"/>
      <c r="J3084"/>
      <c r="K3084"/>
      <c r="L3084"/>
    </row>
    <row r="3085" spans="8:12">
      <c r="H3085"/>
      <c r="I3085"/>
      <c r="J3085"/>
      <c r="K3085"/>
      <c r="L3085"/>
    </row>
    <row r="3086" spans="8:12">
      <c r="H3086"/>
      <c r="I3086"/>
      <c r="J3086"/>
      <c r="K3086"/>
      <c r="L3086"/>
    </row>
    <row r="3087" spans="8:12">
      <c r="H3087"/>
      <c r="I3087"/>
      <c r="J3087"/>
      <c r="K3087"/>
      <c r="L3087"/>
    </row>
    <row r="3088" spans="8:12">
      <c r="H3088"/>
      <c r="I3088"/>
      <c r="J3088"/>
      <c r="K3088"/>
      <c r="L3088"/>
    </row>
    <row r="3089" spans="8:12">
      <c r="H3089"/>
      <c r="I3089"/>
      <c r="J3089"/>
      <c r="K3089"/>
      <c r="L3089"/>
    </row>
    <row r="3090" spans="8:12">
      <c r="H3090"/>
      <c r="I3090"/>
      <c r="J3090"/>
      <c r="K3090"/>
      <c r="L3090"/>
    </row>
    <row r="3091" spans="8:12">
      <c r="H3091"/>
      <c r="I3091"/>
      <c r="J3091"/>
      <c r="K3091"/>
      <c r="L3091"/>
    </row>
    <row r="3092" spans="8:12">
      <c r="H3092"/>
      <c r="I3092"/>
      <c r="J3092"/>
      <c r="K3092"/>
      <c r="L3092"/>
    </row>
    <row r="3093" spans="8:12">
      <c r="H3093"/>
      <c r="I3093"/>
      <c r="J3093"/>
      <c r="K3093"/>
      <c r="L3093"/>
    </row>
    <row r="3094" spans="8:12">
      <c r="H3094"/>
      <c r="I3094"/>
      <c r="J3094"/>
      <c r="K3094"/>
      <c r="L3094"/>
    </row>
    <row r="3095" spans="8:12">
      <c r="H3095"/>
      <c r="I3095"/>
      <c r="J3095"/>
      <c r="K3095"/>
      <c r="L3095"/>
    </row>
    <row r="3096" spans="8:12">
      <c r="H3096"/>
      <c r="I3096"/>
      <c r="J3096"/>
      <c r="K3096"/>
      <c r="L3096"/>
    </row>
    <row r="3097" spans="8:12">
      <c r="H3097"/>
      <c r="I3097"/>
      <c r="J3097"/>
      <c r="K3097"/>
      <c r="L3097"/>
    </row>
    <row r="3098" spans="8:12">
      <c r="H3098"/>
      <c r="I3098"/>
      <c r="J3098"/>
      <c r="K3098"/>
      <c r="L3098"/>
    </row>
    <row r="3099" spans="8:12">
      <c r="H3099"/>
      <c r="I3099"/>
      <c r="J3099"/>
      <c r="K3099"/>
      <c r="L3099"/>
    </row>
    <row r="3100" spans="8:12">
      <c r="H3100"/>
      <c r="I3100"/>
      <c r="J3100"/>
      <c r="K3100"/>
      <c r="L3100"/>
    </row>
    <row r="3101" spans="8:12">
      <c r="H3101"/>
      <c r="I3101"/>
      <c r="J3101"/>
      <c r="K3101"/>
      <c r="L3101"/>
    </row>
    <row r="3102" spans="8:12">
      <c r="H3102"/>
      <c r="I3102"/>
      <c r="J3102"/>
      <c r="K3102"/>
      <c r="L3102"/>
    </row>
    <row r="3103" spans="8:12">
      <c r="H3103"/>
      <c r="I3103"/>
      <c r="J3103"/>
      <c r="K3103"/>
      <c r="L3103"/>
    </row>
    <row r="3104" spans="8:12">
      <c r="H3104"/>
      <c r="I3104"/>
      <c r="J3104"/>
      <c r="K3104"/>
      <c r="L3104"/>
    </row>
    <row r="3105" spans="8:12">
      <c r="H3105"/>
      <c r="I3105"/>
      <c r="J3105"/>
      <c r="K3105"/>
      <c r="L3105"/>
    </row>
    <row r="3106" spans="8:12">
      <c r="H3106"/>
      <c r="I3106"/>
      <c r="J3106"/>
      <c r="K3106"/>
      <c r="L3106"/>
    </row>
    <row r="3107" spans="8:12">
      <c r="H3107"/>
      <c r="I3107"/>
      <c r="J3107"/>
      <c r="K3107"/>
      <c r="L3107"/>
    </row>
    <row r="3108" spans="8:12">
      <c r="H3108"/>
      <c r="I3108"/>
      <c r="J3108"/>
      <c r="K3108"/>
      <c r="L3108"/>
    </row>
    <row r="3109" spans="8:12">
      <c r="H3109"/>
      <c r="I3109"/>
      <c r="J3109"/>
      <c r="K3109"/>
      <c r="L3109"/>
    </row>
    <row r="3110" spans="8:12">
      <c r="H3110"/>
      <c r="I3110"/>
      <c r="J3110"/>
      <c r="K3110"/>
      <c r="L3110"/>
    </row>
    <row r="3111" spans="8:12">
      <c r="H3111"/>
      <c r="I3111"/>
      <c r="J3111"/>
      <c r="K3111"/>
      <c r="L3111"/>
    </row>
    <row r="3112" spans="8:12">
      <c r="H3112"/>
      <c r="I3112"/>
      <c r="J3112"/>
      <c r="K3112"/>
      <c r="L3112"/>
    </row>
    <row r="3113" spans="8:12">
      <c r="H3113"/>
      <c r="I3113"/>
      <c r="J3113"/>
      <c r="K3113"/>
      <c r="L3113"/>
    </row>
    <row r="3114" spans="8:12">
      <c r="H3114"/>
      <c r="I3114"/>
      <c r="J3114"/>
      <c r="K3114"/>
      <c r="L3114"/>
    </row>
    <row r="3115" spans="8:12">
      <c r="H3115"/>
      <c r="I3115"/>
      <c r="J3115"/>
      <c r="K3115"/>
      <c r="L3115"/>
    </row>
    <row r="3116" spans="8:12">
      <c r="H3116"/>
      <c r="I3116"/>
      <c r="J3116"/>
      <c r="K3116"/>
      <c r="L3116"/>
    </row>
    <row r="3117" spans="8:12">
      <c r="H3117"/>
      <c r="I3117"/>
      <c r="J3117"/>
      <c r="K3117"/>
      <c r="L3117"/>
    </row>
    <row r="3118" spans="8:12">
      <c r="H3118"/>
      <c r="I3118"/>
      <c r="J3118"/>
      <c r="K3118"/>
      <c r="L3118"/>
    </row>
    <row r="3119" spans="8:12">
      <c r="H3119"/>
      <c r="I3119"/>
      <c r="J3119"/>
      <c r="K3119"/>
      <c r="L3119"/>
    </row>
    <row r="3120" spans="8:12">
      <c r="H3120"/>
      <c r="I3120"/>
      <c r="J3120"/>
      <c r="K3120"/>
      <c r="L3120"/>
    </row>
    <row r="3121" spans="8:12">
      <c r="H3121"/>
      <c r="I3121"/>
      <c r="J3121"/>
      <c r="K3121"/>
      <c r="L3121"/>
    </row>
    <row r="3122" spans="8:12">
      <c r="H3122"/>
      <c r="I3122"/>
      <c r="J3122"/>
      <c r="K3122"/>
      <c r="L3122"/>
    </row>
    <row r="3123" spans="8:12">
      <c r="H3123"/>
      <c r="I3123"/>
      <c r="J3123"/>
      <c r="K3123"/>
      <c r="L3123"/>
    </row>
    <row r="3124" spans="8:12">
      <c r="H3124"/>
      <c r="I3124"/>
      <c r="J3124"/>
      <c r="K3124"/>
      <c r="L3124"/>
    </row>
    <row r="3125" spans="8:12">
      <c r="H3125"/>
      <c r="I3125"/>
      <c r="J3125"/>
      <c r="K3125"/>
      <c r="L3125"/>
    </row>
    <row r="3126" spans="8:12">
      <c r="H3126"/>
      <c r="I3126"/>
      <c r="J3126"/>
      <c r="K3126"/>
      <c r="L3126"/>
    </row>
    <row r="3127" spans="8:12">
      <c r="H3127"/>
      <c r="I3127"/>
      <c r="J3127"/>
      <c r="K3127"/>
      <c r="L3127"/>
    </row>
    <row r="3128" spans="8:12">
      <c r="H3128"/>
      <c r="I3128"/>
      <c r="J3128"/>
      <c r="K3128"/>
      <c r="L3128"/>
    </row>
    <row r="3129" spans="8:12">
      <c r="H3129"/>
      <c r="I3129"/>
      <c r="J3129"/>
      <c r="K3129"/>
      <c r="L3129"/>
    </row>
    <row r="3130" spans="8:12">
      <c r="H3130"/>
      <c r="I3130"/>
      <c r="J3130"/>
      <c r="K3130"/>
      <c r="L3130"/>
    </row>
    <row r="3131" spans="8:12">
      <c r="H3131"/>
      <c r="I3131"/>
      <c r="J3131"/>
      <c r="K3131"/>
      <c r="L3131"/>
    </row>
    <row r="3132" spans="8:12">
      <c r="H3132"/>
      <c r="I3132"/>
      <c r="J3132"/>
      <c r="K3132"/>
      <c r="L3132"/>
    </row>
    <row r="3133" spans="8:12">
      <c r="H3133"/>
      <c r="I3133"/>
      <c r="J3133"/>
      <c r="K3133"/>
      <c r="L3133"/>
    </row>
    <row r="3134" spans="8:12">
      <c r="H3134"/>
      <c r="I3134"/>
      <c r="J3134"/>
      <c r="K3134"/>
      <c r="L3134"/>
    </row>
    <row r="3135" spans="8:12">
      <c r="H3135"/>
      <c r="I3135"/>
      <c r="J3135"/>
      <c r="K3135"/>
      <c r="L3135"/>
    </row>
    <row r="3136" spans="8:12">
      <c r="H3136"/>
      <c r="I3136"/>
      <c r="J3136"/>
      <c r="K3136"/>
      <c r="L3136"/>
    </row>
    <row r="3137" spans="8:12">
      <c r="H3137"/>
      <c r="I3137"/>
      <c r="J3137"/>
      <c r="K3137"/>
      <c r="L3137"/>
    </row>
    <row r="3138" spans="8:12">
      <c r="H3138"/>
      <c r="I3138"/>
      <c r="J3138"/>
      <c r="K3138"/>
      <c r="L3138"/>
    </row>
    <row r="3139" spans="8:12">
      <c r="H3139"/>
      <c r="I3139"/>
      <c r="J3139"/>
      <c r="K3139"/>
      <c r="L3139"/>
    </row>
    <row r="3140" spans="8:12">
      <c r="H3140"/>
      <c r="I3140"/>
      <c r="J3140"/>
      <c r="K3140"/>
      <c r="L3140"/>
    </row>
    <row r="3141" spans="8:12">
      <c r="H3141"/>
      <c r="I3141"/>
      <c r="J3141"/>
      <c r="K3141"/>
      <c r="L3141"/>
    </row>
    <row r="3142" spans="8:12">
      <c r="H3142"/>
      <c r="I3142"/>
      <c r="J3142"/>
      <c r="K3142"/>
      <c r="L3142"/>
    </row>
    <row r="3143" spans="8:12">
      <c r="H3143"/>
      <c r="I3143"/>
      <c r="J3143"/>
      <c r="K3143"/>
      <c r="L3143"/>
    </row>
    <row r="3144" spans="8:12">
      <c r="H3144"/>
      <c r="I3144"/>
      <c r="J3144"/>
      <c r="K3144"/>
      <c r="L3144"/>
    </row>
    <row r="3145" spans="8:12">
      <c r="H3145"/>
      <c r="I3145"/>
      <c r="J3145"/>
      <c r="K3145"/>
      <c r="L3145"/>
    </row>
    <row r="3146" spans="8:12">
      <c r="H3146"/>
      <c r="I3146"/>
      <c r="J3146"/>
      <c r="K3146"/>
      <c r="L3146"/>
    </row>
    <row r="3147" spans="8:12">
      <c r="H3147"/>
      <c r="I3147"/>
      <c r="J3147"/>
      <c r="K3147"/>
      <c r="L3147"/>
    </row>
    <row r="3148" spans="8:12">
      <c r="H3148"/>
      <c r="I3148"/>
      <c r="J3148"/>
      <c r="K3148"/>
      <c r="L3148"/>
    </row>
    <row r="3149" spans="8:12">
      <c r="H3149"/>
      <c r="I3149"/>
      <c r="J3149"/>
      <c r="K3149"/>
      <c r="L3149"/>
    </row>
    <row r="3150" spans="8:12">
      <c r="H3150"/>
      <c r="I3150"/>
      <c r="J3150"/>
      <c r="K3150"/>
      <c r="L3150"/>
    </row>
    <row r="3151" spans="8:12">
      <c r="H3151"/>
      <c r="I3151"/>
      <c r="J3151"/>
      <c r="K3151"/>
      <c r="L3151"/>
    </row>
    <row r="3152" spans="8:12">
      <c r="H3152"/>
      <c r="I3152"/>
      <c r="J3152"/>
      <c r="K3152"/>
      <c r="L3152"/>
    </row>
    <row r="3153" spans="8:12">
      <c r="H3153"/>
      <c r="I3153"/>
      <c r="J3153"/>
      <c r="K3153"/>
      <c r="L3153"/>
    </row>
    <row r="3154" spans="8:12">
      <c r="H3154"/>
      <c r="I3154"/>
      <c r="J3154"/>
      <c r="K3154"/>
      <c r="L3154"/>
    </row>
    <row r="3155" spans="8:12">
      <c r="H3155"/>
      <c r="I3155"/>
      <c r="J3155"/>
      <c r="K3155"/>
      <c r="L3155"/>
    </row>
    <row r="3156" spans="8:12">
      <c r="H3156"/>
      <c r="I3156"/>
      <c r="J3156"/>
      <c r="K3156"/>
      <c r="L3156"/>
    </row>
    <row r="3157" spans="8:12">
      <c r="H3157"/>
      <c r="I3157"/>
      <c r="J3157"/>
      <c r="K3157"/>
      <c r="L3157"/>
    </row>
    <row r="3158" spans="8:12">
      <c r="H3158"/>
      <c r="I3158"/>
      <c r="J3158"/>
      <c r="K3158"/>
      <c r="L3158"/>
    </row>
    <row r="3159" spans="8:12">
      <c r="H3159"/>
      <c r="I3159"/>
      <c r="J3159"/>
      <c r="K3159"/>
      <c r="L3159"/>
    </row>
    <row r="3160" spans="8:12">
      <c r="H3160"/>
      <c r="I3160"/>
      <c r="J3160"/>
      <c r="K3160"/>
      <c r="L3160"/>
    </row>
    <row r="3161" spans="8:12">
      <c r="H3161"/>
      <c r="I3161"/>
      <c r="J3161"/>
      <c r="K3161"/>
      <c r="L3161"/>
    </row>
    <row r="3162" spans="8:12">
      <c r="H3162"/>
      <c r="I3162"/>
      <c r="J3162"/>
      <c r="K3162"/>
      <c r="L3162"/>
    </row>
    <row r="3163" spans="8:12">
      <c r="H3163"/>
      <c r="I3163"/>
      <c r="J3163"/>
      <c r="K3163"/>
      <c r="L3163"/>
    </row>
    <row r="3164" spans="8:12">
      <c r="H3164"/>
      <c r="I3164"/>
      <c r="J3164"/>
      <c r="K3164"/>
      <c r="L3164"/>
    </row>
    <row r="3165" spans="8:12">
      <c r="H3165"/>
      <c r="I3165"/>
      <c r="J3165"/>
      <c r="K3165"/>
      <c r="L3165"/>
    </row>
    <row r="3166" spans="8:12">
      <c r="H3166"/>
      <c r="I3166"/>
      <c r="J3166"/>
      <c r="K3166"/>
      <c r="L3166"/>
    </row>
    <row r="3167" spans="8:12">
      <c r="H3167"/>
      <c r="I3167"/>
      <c r="J3167"/>
      <c r="K3167"/>
      <c r="L3167"/>
    </row>
    <row r="3168" spans="8:12">
      <c r="H3168"/>
      <c r="I3168"/>
      <c r="J3168"/>
      <c r="K3168"/>
      <c r="L3168"/>
    </row>
    <row r="3169" spans="8:12">
      <c r="H3169"/>
      <c r="I3169"/>
      <c r="J3169"/>
      <c r="K3169"/>
      <c r="L3169"/>
    </row>
    <row r="3170" spans="8:12">
      <c r="H3170"/>
      <c r="I3170"/>
      <c r="J3170"/>
      <c r="K3170"/>
      <c r="L3170"/>
    </row>
    <row r="3171" spans="8:12">
      <c r="H3171"/>
      <c r="I3171"/>
      <c r="J3171"/>
      <c r="K3171"/>
      <c r="L3171"/>
    </row>
    <row r="3172" spans="8:12">
      <c r="H3172"/>
      <c r="I3172"/>
      <c r="J3172"/>
      <c r="K3172"/>
      <c r="L3172"/>
    </row>
    <row r="3173" spans="8:12">
      <c r="H3173"/>
      <c r="I3173"/>
      <c r="J3173"/>
      <c r="K3173"/>
      <c r="L3173"/>
    </row>
    <row r="3174" spans="8:12">
      <c r="H3174"/>
      <c r="I3174"/>
      <c r="J3174"/>
      <c r="K3174"/>
      <c r="L3174"/>
    </row>
    <row r="3175" spans="8:12">
      <c r="H3175"/>
      <c r="I3175"/>
      <c r="J3175"/>
      <c r="K3175"/>
      <c r="L3175"/>
    </row>
    <row r="3176" spans="8:12">
      <c r="H3176"/>
      <c r="I3176"/>
      <c r="J3176"/>
      <c r="K3176"/>
      <c r="L3176"/>
    </row>
    <row r="3177" spans="8:12">
      <c r="H3177"/>
      <c r="I3177"/>
      <c r="J3177"/>
      <c r="K3177"/>
      <c r="L3177"/>
    </row>
    <row r="3178" spans="8:12">
      <c r="H3178"/>
      <c r="I3178"/>
      <c r="J3178"/>
      <c r="K3178"/>
      <c r="L3178"/>
    </row>
    <row r="3179" spans="8:12">
      <c r="H3179"/>
      <c r="I3179"/>
      <c r="J3179"/>
      <c r="K3179"/>
      <c r="L3179"/>
    </row>
    <row r="3180" spans="8:12">
      <c r="H3180"/>
      <c r="I3180"/>
      <c r="J3180"/>
      <c r="K3180"/>
      <c r="L3180"/>
    </row>
    <row r="3181" spans="8:12">
      <c r="H3181"/>
      <c r="I3181"/>
      <c r="J3181"/>
      <c r="K3181"/>
      <c r="L3181"/>
    </row>
    <row r="3182" spans="8:12">
      <c r="H3182"/>
      <c r="I3182"/>
      <c r="J3182"/>
      <c r="K3182"/>
      <c r="L3182"/>
    </row>
    <row r="3183" spans="8:12">
      <c r="H3183"/>
      <c r="I3183"/>
      <c r="J3183"/>
      <c r="K3183"/>
      <c r="L3183"/>
    </row>
    <row r="3184" spans="8:12">
      <c r="H3184"/>
      <c r="I3184"/>
      <c r="J3184"/>
      <c r="K3184"/>
      <c r="L3184"/>
    </row>
    <row r="3185" spans="8:12">
      <c r="H3185"/>
      <c r="I3185"/>
      <c r="J3185"/>
      <c r="K3185"/>
      <c r="L3185"/>
    </row>
    <row r="3186" spans="8:12">
      <c r="H3186"/>
      <c r="I3186"/>
      <c r="J3186"/>
      <c r="K3186"/>
      <c r="L3186"/>
    </row>
    <row r="3187" spans="8:12">
      <c r="H3187"/>
      <c r="I3187"/>
      <c r="J3187"/>
      <c r="K3187"/>
      <c r="L3187"/>
    </row>
    <row r="3188" spans="8:12">
      <c r="H3188"/>
      <c r="I3188"/>
      <c r="J3188"/>
      <c r="K3188"/>
      <c r="L3188"/>
    </row>
    <row r="3189" spans="8:12">
      <c r="H3189"/>
      <c r="I3189"/>
      <c r="J3189"/>
      <c r="K3189"/>
      <c r="L3189"/>
    </row>
    <row r="3190" spans="8:12">
      <c r="H3190"/>
      <c r="I3190"/>
      <c r="J3190"/>
      <c r="K3190"/>
      <c r="L3190"/>
    </row>
    <row r="3191" spans="8:12">
      <c r="H3191"/>
      <c r="I3191"/>
      <c r="J3191"/>
      <c r="K3191"/>
      <c r="L3191"/>
    </row>
    <row r="3192" spans="8:12">
      <c r="H3192"/>
      <c r="I3192"/>
      <c r="J3192"/>
      <c r="K3192"/>
      <c r="L3192"/>
    </row>
    <row r="3193" spans="8:12">
      <c r="H3193"/>
      <c r="I3193"/>
      <c r="J3193"/>
      <c r="K3193"/>
      <c r="L3193"/>
    </row>
    <row r="3194" spans="8:12">
      <c r="H3194"/>
      <c r="I3194"/>
      <c r="J3194"/>
      <c r="K3194"/>
      <c r="L3194"/>
    </row>
    <row r="3195" spans="8:12">
      <c r="H3195"/>
      <c r="I3195"/>
      <c r="J3195"/>
      <c r="K3195"/>
      <c r="L3195"/>
    </row>
    <row r="3196" spans="8:12">
      <c r="H3196"/>
      <c r="I3196"/>
      <c r="J3196"/>
      <c r="K3196"/>
      <c r="L3196"/>
    </row>
    <row r="3197" spans="8:12">
      <c r="H3197"/>
      <c r="I3197"/>
      <c r="J3197"/>
      <c r="K3197"/>
      <c r="L3197"/>
    </row>
    <row r="3198" spans="8:12">
      <c r="H3198"/>
      <c r="I3198"/>
      <c r="J3198"/>
      <c r="K3198"/>
      <c r="L3198"/>
    </row>
    <row r="3199" spans="8:12">
      <c r="H3199"/>
      <c r="I3199"/>
      <c r="J3199"/>
      <c r="K3199"/>
      <c r="L3199"/>
    </row>
    <row r="3200" spans="8:12">
      <c r="H3200"/>
      <c r="I3200"/>
      <c r="J3200"/>
      <c r="K3200"/>
      <c r="L3200"/>
    </row>
    <row r="3201" spans="8:12">
      <c r="H3201"/>
      <c r="I3201"/>
      <c r="J3201"/>
      <c r="K3201"/>
      <c r="L3201"/>
    </row>
    <row r="3202" spans="8:12">
      <c r="H3202"/>
      <c r="I3202"/>
      <c r="J3202"/>
      <c r="K3202"/>
      <c r="L3202"/>
    </row>
    <row r="3203" spans="8:12">
      <c r="H3203"/>
      <c r="I3203"/>
      <c r="J3203"/>
      <c r="K3203"/>
      <c r="L3203"/>
    </row>
    <row r="3204" spans="8:12">
      <c r="H3204"/>
      <c r="I3204"/>
      <c r="J3204"/>
      <c r="K3204"/>
      <c r="L3204"/>
    </row>
    <row r="3205" spans="8:12">
      <c r="H3205"/>
      <c r="I3205"/>
      <c r="J3205"/>
      <c r="K3205"/>
      <c r="L3205"/>
    </row>
    <row r="3206" spans="8:12">
      <c r="H3206"/>
      <c r="I3206"/>
      <c r="J3206"/>
      <c r="K3206"/>
      <c r="L3206"/>
    </row>
    <row r="3207" spans="8:12">
      <c r="H3207"/>
      <c r="I3207"/>
      <c r="J3207"/>
      <c r="K3207"/>
      <c r="L3207"/>
    </row>
    <row r="3208" spans="8:12">
      <c r="H3208"/>
      <c r="I3208"/>
      <c r="J3208"/>
      <c r="K3208"/>
      <c r="L3208"/>
    </row>
    <row r="3209" spans="8:12">
      <c r="H3209"/>
      <c r="I3209"/>
      <c r="J3209"/>
      <c r="K3209"/>
      <c r="L3209"/>
    </row>
    <row r="3210" spans="8:12">
      <c r="H3210"/>
      <c r="I3210"/>
      <c r="J3210"/>
      <c r="K3210"/>
      <c r="L3210"/>
    </row>
    <row r="3211" spans="8:12">
      <c r="H3211"/>
      <c r="I3211"/>
      <c r="J3211"/>
      <c r="K3211"/>
      <c r="L3211"/>
    </row>
    <row r="3212" spans="8:12">
      <c r="H3212"/>
      <c r="I3212"/>
      <c r="J3212"/>
      <c r="K3212"/>
      <c r="L3212"/>
    </row>
    <row r="3213" spans="8:12">
      <c r="H3213"/>
      <c r="I3213"/>
      <c r="J3213"/>
      <c r="K3213"/>
      <c r="L3213"/>
    </row>
    <row r="3214" spans="8:12">
      <c r="H3214"/>
      <c r="I3214"/>
      <c r="J3214"/>
      <c r="K3214"/>
      <c r="L3214"/>
    </row>
    <row r="3215" spans="8:12">
      <c r="H3215"/>
      <c r="I3215"/>
      <c r="J3215"/>
      <c r="K3215"/>
      <c r="L3215"/>
    </row>
    <row r="3216" spans="8:12">
      <c r="H3216"/>
      <c r="I3216"/>
      <c r="J3216"/>
      <c r="K3216"/>
      <c r="L3216"/>
    </row>
    <row r="3217" spans="8:12">
      <c r="H3217"/>
      <c r="I3217"/>
      <c r="J3217"/>
      <c r="K3217"/>
      <c r="L3217"/>
    </row>
    <row r="3218" spans="8:12">
      <c r="H3218"/>
      <c r="I3218"/>
      <c r="J3218"/>
      <c r="K3218"/>
      <c r="L3218"/>
    </row>
    <row r="3219" spans="8:12">
      <c r="H3219"/>
      <c r="I3219"/>
      <c r="J3219"/>
      <c r="K3219"/>
      <c r="L3219"/>
    </row>
    <row r="3220" spans="8:12">
      <c r="H3220"/>
      <c r="I3220"/>
      <c r="J3220"/>
      <c r="K3220"/>
      <c r="L3220"/>
    </row>
    <row r="3221" spans="8:12">
      <c r="H3221"/>
      <c r="I3221"/>
      <c r="J3221"/>
      <c r="K3221"/>
      <c r="L3221"/>
    </row>
    <row r="3222" spans="8:12">
      <c r="H3222"/>
      <c r="I3222"/>
      <c r="J3222"/>
      <c r="K3222"/>
      <c r="L3222"/>
    </row>
    <row r="3223" spans="8:12">
      <c r="H3223"/>
      <c r="I3223"/>
      <c r="J3223"/>
      <c r="K3223"/>
      <c r="L3223"/>
    </row>
    <row r="3224" spans="8:12">
      <c r="H3224"/>
      <c r="I3224"/>
      <c r="J3224"/>
      <c r="K3224"/>
      <c r="L3224"/>
    </row>
    <row r="3225" spans="8:12">
      <c r="H3225"/>
      <c r="I3225"/>
      <c r="J3225"/>
      <c r="K3225"/>
      <c r="L3225"/>
    </row>
    <row r="3226" spans="8:12">
      <c r="H3226"/>
      <c r="I3226"/>
      <c r="J3226"/>
      <c r="K3226"/>
      <c r="L3226"/>
    </row>
    <row r="3227" spans="8:12">
      <c r="H3227"/>
      <c r="I3227"/>
      <c r="J3227"/>
      <c r="K3227"/>
      <c r="L3227"/>
    </row>
    <row r="3228" spans="8:12">
      <c r="H3228"/>
      <c r="I3228"/>
      <c r="J3228"/>
      <c r="K3228"/>
      <c r="L3228"/>
    </row>
    <row r="3229" spans="8:12">
      <c r="H3229"/>
      <c r="I3229"/>
      <c r="J3229"/>
      <c r="K3229"/>
      <c r="L3229"/>
    </row>
    <row r="3230" spans="8:12">
      <c r="H3230"/>
      <c r="I3230"/>
      <c r="J3230"/>
      <c r="K3230"/>
      <c r="L3230"/>
    </row>
    <row r="3231" spans="8:12">
      <c r="H3231"/>
      <c r="I3231"/>
      <c r="J3231"/>
      <c r="K3231"/>
      <c r="L3231"/>
    </row>
    <row r="3232" spans="8:12">
      <c r="H3232"/>
      <c r="I3232"/>
      <c r="J3232"/>
      <c r="K3232"/>
      <c r="L3232"/>
    </row>
    <row r="3233" spans="8:12">
      <c r="H3233"/>
      <c r="I3233"/>
      <c r="J3233"/>
      <c r="K3233"/>
      <c r="L3233"/>
    </row>
    <row r="3234" spans="8:12">
      <c r="H3234"/>
      <c r="I3234"/>
      <c r="J3234"/>
      <c r="K3234"/>
      <c r="L3234"/>
    </row>
    <row r="3235" spans="8:12">
      <c r="H3235"/>
      <c r="I3235"/>
      <c r="J3235"/>
      <c r="K3235"/>
      <c r="L3235"/>
    </row>
    <row r="3236" spans="8:12">
      <c r="H3236"/>
      <c r="I3236"/>
      <c r="J3236"/>
      <c r="K3236"/>
      <c r="L3236"/>
    </row>
    <row r="3237" spans="8:12">
      <c r="H3237"/>
      <c r="I3237"/>
      <c r="J3237"/>
      <c r="K3237"/>
      <c r="L3237"/>
    </row>
    <row r="3238" spans="8:12">
      <c r="H3238"/>
      <c r="I3238"/>
      <c r="J3238"/>
      <c r="K3238"/>
      <c r="L3238"/>
    </row>
    <row r="3239" spans="8:12">
      <c r="H3239"/>
      <c r="I3239"/>
      <c r="J3239"/>
      <c r="K3239"/>
      <c r="L3239"/>
    </row>
    <row r="3240" spans="8:12">
      <c r="H3240"/>
      <c r="I3240"/>
      <c r="J3240"/>
      <c r="K3240"/>
      <c r="L3240"/>
    </row>
    <row r="3241" spans="8:12">
      <c r="H3241"/>
      <c r="I3241"/>
      <c r="J3241"/>
      <c r="K3241"/>
      <c r="L3241"/>
    </row>
    <row r="3242" spans="8:12">
      <c r="H3242"/>
      <c r="I3242"/>
      <c r="J3242"/>
      <c r="K3242"/>
      <c r="L3242"/>
    </row>
    <row r="3243" spans="8:12">
      <c r="H3243"/>
      <c r="I3243"/>
      <c r="J3243"/>
      <c r="K3243"/>
      <c r="L3243"/>
    </row>
    <row r="3244" spans="8:12">
      <c r="H3244"/>
      <c r="I3244"/>
      <c r="J3244"/>
      <c r="K3244"/>
      <c r="L3244"/>
    </row>
    <row r="3245" spans="8:12">
      <c r="H3245"/>
      <c r="I3245"/>
      <c r="J3245"/>
      <c r="K3245"/>
      <c r="L3245"/>
    </row>
    <row r="3246" spans="8:12">
      <c r="H3246"/>
      <c r="I3246"/>
      <c r="J3246"/>
      <c r="K3246"/>
      <c r="L3246"/>
    </row>
    <row r="3247" spans="8:12">
      <c r="H3247"/>
      <c r="I3247"/>
      <c r="J3247"/>
      <c r="K3247"/>
      <c r="L3247"/>
    </row>
    <row r="3248" spans="8:12">
      <c r="H3248"/>
      <c r="I3248"/>
      <c r="J3248"/>
      <c r="K3248"/>
      <c r="L3248"/>
    </row>
    <row r="3249" spans="8:12">
      <c r="H3249"/>
      <c r="I3249"/>
      <c r="J3249"/>
      <c r="K3249"/>
      <c r="L3249"/>
    </row>
    <row r="3250" spans="8:12">
      <c r="H3250"/>
      <c r="I3250"/>
      <c r="J3250"/>
      <c r="K3250"/>
      <c r="L3250"/>
    </row>
    <row r="3251" spans="8:12">
      <c r="H3251"/>
      <c r="I3251"/>
      <c r="J3251"/>
      <c r="K3251"/>
      <c r="L3251"/>
    </row>
    <row r="3252" spans="8:12">
      <c r="H3252"/>
      <c r="I3252"/>
      <c r="J3252"/>
      <c r="K3252"/>
      <c r="L3252"/>
    </row>
    <row r="3253" spans="8:12">
      <c r="H3253"/>
      <c r="I3253"/>
      <c r="J3253"/>
      <c r="K3253"/>
      <c r="L3253"/>
    </row>
    <row r="3254" spans="8:12">
      <c r="H3254"/>
      <c r="I3254"/>
      <c r="J3254"/>
      <c r="K3254"/>
      <c r="L3254"/>
    </row>
    <row r="3255" spans="8:12">
      <c r="H3255"/>
      <c r="I3255"/>
      <c r="J3255"/>
      <c r="K3255"/>
      <c r="L3255"/>
    </row>
    <row r="3256" spans="8:12">
      <c r="H3256"/>
      <c r="I3256"/>
      <c r="J3256"/>
      <c r="K3256"/>
      <c r="L3256"/>
    </row>
    <row r="3257" spans="8:12">
      <c r="H3257"/>
      <c r="I3257"/>
      <c r="J3257"/>
      <c r="K3257"/>
      <c r="L3257"/>
    </row>
    <row r="3258" spans="8:12">
      <c r="H3258"/>
      <c r="I3258"/>
      <c r="J3258"/>
      <c r="K3258"/>
      <c r="L3258"/>
    </row>
    <row r="3259" spans="8:12">
      <c r="H3259"/>
      <c r="I3259"/>
      <c r="J3259"/>
      <c r="K3259"/>
      <c r="L3259"/>
    </row>
    <row r="3260" spans="8:12">
      <c r="H3260"/>
      <c r="I3260"/>
      <c r="J3260"/>
      <c r="K3260"/>
      <c r="L3260"/>
    </row>
    <row r="3261" spans="8:12">
      <c r="H3261"/>
      <c r="I3261"/>
      <c r="J3261"/>
      <c r="K3261"/>
      <c r="L3261"/>
    </row>
    <row r="3262" spans="8:12">
      <c r="H3262"/>
      <c r="I3262"/>
      <c r="J3262"/>
      <c r="K3262"/>
      <c r="L3262"/>
    </row>
    <row r="3263" spans="8:12">
      <c r="H3263"/>
      <c r="I3263"/>
      <c r="J3263"/>
      <c r="K3263"/>
      <c r="L3263"/>
    </row>
    <row r="3264" spans="8:12">
      <c r="H3264"/>
      <c r="I3264"/>
      <c r="J3264"/>
      <c r="K3264"/>
      <c r="L3264"/>
    </row>
    <row r="3265" spans="8:12">
      <c r="H3265"/>
      <c r="I3265"/>
      <c r="J3265"/>
      <c r="K3265"/>
      <c r="L3265"/>
    </row>
    <row r="3266" spans="8:12">
      <c r="H3266"/>
      <c r="I3266"/>
      <c r="J3266"/>
      <c r="K3266"/>
      <c r="L3266"/>
    </row>
    <row r="3267" spans="8:12">
      <c r="H3267"/>
      <c r="I3267"/>
      <c r="J3267"/>
      <c r="K3267"/>
      <c r="L3267"/>
    </row>
    <row r="3268" spans="8:12">
      <c r="H3268"/>
      <c r="I3268"/>
      <c r="J3268"/>
      <c r="K3268"/>
      <c r="L3268"/>
    </row>
    <row r="3269" spans="8:12">
      <c r="H3269"/>
      <c r="I3269"/>
      <c r="J3269"/>
      <c r="K3269"/>
      <c r="L3269"/>
    </row>
    <row r="3270" spans="8:12">
      <c r="H3270"/>
      <c r="I3270"/>
      <c r="J3270"/>
      <c r="K3270"/>
      <c r="L3270"/>
    </row>
    <row r="3271" spans="8:12">
      <c r="H3271"/>
      <c r="I3271"/>
      <c r="J3271"/>
      <c r="K3271"/>
      <c r="L3271"/>
    </row>
    <row r="3272" spans="8:12">
      <c r="H3272"/>
      <c r="I3272"/>
      <c r="J3272"/>
      <c r="K3272"/>
      <c r="L3272"/>
    </row>
    <row r="3273" spans="8:12">
      <c r="H3273"/>
      <c r="I3273"/>
      <c r="J3273"/>
      <c r="K3273"/>
      <c r="L3273"/>
    </row>
    <row r="3274" spans="8:12">
      <c r="H3274"/>
      <c r="I3274"/>
      <c r="J3274"/>
      <c r="K3274"/>
      <c r="L3274"/>
    </row>
    <row r="3275" spans="8:12">
      <c r="H3275"/>
      <c r="I3275"/>
      <c r="J3275"/>
      <c r="K3275"/>
      <c r="L3275"/>
    </row>
    <row r="3276" spans="8:12">
      <c r="H3276"/>
      <c r="I3276"/>
      <c r="J3276"/>
      <c r="K3276"/>
      <c r="L3276"/>
    </row>
    <row r="3277" spans="8:12">
      <c r="H3277"/>
      <c r="I3277"/>
      <c r="J3277"/>
      <c r="K3277"/>
      <c r="L3277"/>
    </row>
    <row r="3278" spans="8:12">
      <c r="H3278"/>
      <c r="I3278"/>
      <c r="J3278"/>
      <c r="K3278"/>
      <c r="L3278"/>
    </row>
    <row r="3279" spans="8:12">
      <c r="H3279"/>
      <c r="I3279"/>
      <c r="J3279"/>
      <c r="K3279"/>
      <c r="L3279"/>
    </row>
    <row r="3280" spans="8:12">
      <c r="H3280"/>
      <c r="I3280"/>
      <c r="J3280"/>
      <c r="K3280"/>
      <c r="L3280"/>
    </row>
    <row r="3281" spans="8:12">
      <c r="H3281"/>
      <c r="I3281"/>
      <c r="J3281"/>
      <c r="K3281"/>
      <c r="L3281"/>
    </row>
    <row r="3282" spans="8:12">
      <c r="H3282"/>
      <c r="I3282"/>
      <c r="J3282"/>
      <c r="K3282"/>
      <c r="L3282"/>
    </row>
    <row r="3283" spans="8:12">
      <c r="H3283"/>
      <c r="I3283"/>
      <c r="J3283"/>
      <c r="K3283"/>
      <c r="L3283"/>
    </row>
    <row r="3284" spans="8:12">
      <c r="H3284"/>
      <c r="I3284"/>
      <c r="J3284"/>
      <c r="K3284"/>
      <c r="L3284"/>
    </row>
    <row r="3285" spans="8:12">
      <c r="H3285"/>
      <c r="I3285"/>
      <c r="J3285"/>
      <c r="K3285"/>
      <c r="L3285"/>
    </row>
    <row r="3286" spans="8:12">
      <c r="H3286"/>
      <c r="I3286"/>
      <c r="J3286"/>
      <c r="K3286"/>
      <c r="L3286"/>
    </row>
    <row r="3287" spans="8:12">
      <c r="H3287"/>
      <c r="I3287"/>
      <c r="J3287"/>
      <c r="K3287"/>
      <c r="L3287"/>
    </row>
    <row r="3288" spans="8:12">
      <c r="H3288"/>
      <c r="I3288"/>
      <c r="J3288"/>
      <c r="K3288"/>
      <c r="L3288"/>
    </row>
    <row r="3289" spans="8:12">
      <c r="H3289"/>
      <c r="I3289"/>
      <c r="J3289"/>
      <c r="K3289"/>
      <c r="L3289"/>
    </row>
    <row r="3290" spans="8:12">
      <c r="H3290"/>
      <c r="I3290"/>
      <c r="J3290"/>
      <c r="K3290"/>
      <c r="L3290"/>
    </row>
    <row r="3291" spans="8:12">
      <c r="H3291"/>
      <c r="I3291"/>
      <c r="J3291"/>
      <c r="K3291"/>
      <c r="L3291"/>
    </row>
    <row r="3292" spans="8:12">
      <c r="H3292"/>
      <c r="I3292"/>
      <c r="J3292"/>
      <c r="K3292"/>
      <c r="L3292"/>
    </row>
    <row r="3293" spans="8:12">
      <c r="H3293"/>
      <c r="I3293"/>
      <c r="J3293"/>
      <c r="K3293"/>
      <c r="L3293"/>
    </row>
    <row r="3294" spans="8:12">
      <c r="H3294"/>
      <c r="I3294"/>
      <c r="J3294"/>
      <c r="K3294"/>
      <c r="L3294"/>
    </row>
    <row r="3295" spans="8:12">
      <c r="H3295"/>
      <c r="I3295"/>
      <c r="J3295"/>
      <c r="K3295"/>
      <c r="L3295"/>
    </row>
    <row r="3296" spans="8:12">
      <c r="H3296"/>
      <c r="I3296"/>
      <c r="J3296"/>
      <c r="K3296"/>
      <c r="L3296"/>
    </row>
    <row r="3297" spans="8:12">
      <c r="H3297"/>
      <c r="I3297"/>
      <c r="J3297"/>
      <c r="K3297"/>
      <c r="L3297"/>
    </row>
    <row r="3298" spans="8:12">
      <c r="H3298"/>
      <c r="I3298"/>
      <c r="J3298"/>
      <c r="K3298"/>
      <c r="L3298"/>
    </row>
    <row r="3299" spans="8:12">
      <c r="H3299"/>
      <c r="I3299"/>
      <c r="J3299"/>
      <c r="K3299"/>
      <c r="L3299"/>
    </row>
    <row r="3300" spans="8:12">
      <c r="H3300"/>
      <c r="I3300"/>
      <c r="J3300"/>
      <c r="K3300"/>
      <c r="L3300"/>
    </row>
    <row r="3301" spans="8:12">
      <c r="H3301"/>
      <c r="I3301"/>
      <c r="J3301"/>
      <c r="K3301"/>
      <c r="L3301"/>
    </row>
    <row r="3302" spans="8:12">
      <c r="H3302"/>
      <c r="I3302"/>
      <c r="J3302"/>
      <c r="K3302"/>
      <c r="L3302"/>
    </row>
    <row r="3303" spans="8:12">
      <c r="H3303"/>
      <c r="I3303"/>
      <c r="J3303"/>
      <c r="K3303"/>
      <c r="L3303"/>
    </row>
    <row r="3304" spans="8:12">
      <c r="H3304"/>
      <c r="I3304"/>
      <c r="J3304"/>
      <c r="K3304"/>
      <c r="L3304"/>
    </row>
    <row r="3305" spans="8:12">
      <c r="H3305"/>
      <c r="I3305"/>
      <c r="J3305"/>
      <c r="K3305"/>
      <c r="L3305"/>
    </row>
    <row r="3306" spans="8:12">
      <c r="H3306"/>
      <c r="I3306"/>
      <c r="J3306"/>
      <c r="K3306"/>
      <c r="L3306"/>
    </row>
    <row r="3307" spans="8:12">
      <c r="H3307"/>
      <c r="I3307"/>
      <c r="J3307"/>
      <c r="K3307"/>
      <c r="L3307"/>
    </row>
    <row r="3308" spans="8:12">
      <c r="H3308"/>
      <c r="I3308"/>
      <c r="J3308"/>
      <c r="K3308"/>
      <c r="L3308"/>
    </row>
    <row r="3309" spans="8:12">
      <c r="H3309"/>
      <c r="I3309"/>
      <c r="J3309"/>
      <c r="K3309"/>
      <c r="L3309"/>
    </row>
    <row r="3310" spans="8:12">
      <c r="H3310"/>
      <c r="I3310"/>
      <c r="J3310"/>
      <c r="K3310"/>
      <c r="L3310"/>
    </row>
    <row r="3311" spans="8:12">
      <c r="H3311"/>
      <c r="I3311"/>
      <c r="J3311"/>
      <c r="K3311"/>
      <c r="L3311"/>
    </row>
    <row r="3312" spans="8:12">
      <c r="H3312"/>
      <c r="I3312"/>
      <c r="J3312"/>
      <c r="K3312"/>
      <c r="L3312"/>
    </row>
    <row r="3313" spans="8:12">
      <c r="H3313"/>
      <c r="I3313"/>
      <c r="J3313"/>
      <c r="K3313"/>
      <c r="L3313"/>
    </row>
    <row r="3314" spans="8:12">
      <c r="H3314"/>
      <c r="I3314"/>
      <c r="J3314"/>
      <c r="K3314"/>
      <c r="L3314"/>
    </row>
    <row r="3315" spans="8:12">
      <c r="H3315"/>
      <c r="I3315"/>
      <c r="J3315"/>
      <c r="K3315"/>
      <c r="L3315"/>
    </row>
    <row r="3316" spans="8:12">
      <c r="H3316"/>
      <c r="I3316"/>
      <c r="J3316"/>
      <c r="K3316"/>
      <c r="L3316"/>
    </row>
    <row r="3317" spans="8:12">
      <c r="H3317"/>
      <c r="I3317"/>
      <c r="J3317"/>
      <c r="K3317"/>
      <c r="L3317"/>
    </row>
    <row r="3318" spans="8:12">
      <c r="H3318"/>
      <c r="I3318"/>
      <c r="J3318"/>
      <c r="K3318"/>
      <c r="L3318"/>
    </row>
    <row r="3319" spans="8:12">
      <c r="H3319"/>
      <c r="I3319"/>
      <c r="J3319"/>
      <c r="K3319"/>
      <c r="L3319"/>
    </row>
    <row r="3320" spans="8:12">
      <c r="H3320"/>
      <c r="I3320"/>
      <c r="J3320"/>
      <c r="K3320"/>
      <c r="L3320"/>
    </row>
    <row r="3321" spans="8:12">
      <c r="H3321"/>
      <c r="I3321"/>
      <c r="J3321"/>
      <c r="K3321"/>
      <c r="L3321"/>
    </row>
    <row r="3322" spans="8:12">
      <c r="H3322"/>
      <c r="I3322"/>
      <c r="J3322"/>
      <c r="K3322"/>
      <c r="L3322"/>
    </row>
    <row r="3323" spans="8:12">
      <c r="H3323"/>
      <c r="I3323"/>
      <c r="J3323"/>
      <c r="K3323"/>
      <c r="L3323"/>
    </row>
    <row r="3324" spans="8:12">
      <c r="H3324"/>
      <c r="I3324"/>
      <c r="J3324"/>
      <c r="K3324"/>
      <c r="L3324"/>
    </row>
    <row r="3325" spans="8:12">
      <c r="H3325"/>
      <c r="I3325"/>
      <c r="J3325"/>
      <c r="K3325"/>
      <c r="L3325"/>
    </row>
    <row r="3326" spans="8:12">
      <c r="H3326"/>
      <c r="I3326"/>
      <c r="J3326"/>
      <c r="K3326"/>
      <c r="L3326"/>
    </row>
    <row r="3327" spans="8:12">
      <c r="H3327"/>
      <c r="I3327"/>
      <c r="J3327"/>
      <c r="K3327"/>
      <c r="L3327"/>
    </row>
    <row r="3328" spans="8:12">
      <c r="H3328"/>
      <c r="I3328"/>
      <c r="J3328"/>
      <c r="K3328"/>
      <c r="L3328"/>
    </row>
    <row r="3329" spans="8:12">
      <c r="H3329"/>
      <c r="I3329"/>
      <c r="J3329"/>
      <c r="K3329"/>
      <c r="L3329"/>
    </row>
    <row r="3330" spans="8:12">
      <c r="H3330"/>
      <c r="I3330"/>
      <c r="J3330"/>
      <c r="K3330"/>
      <c r="L3330"/>
    </row>
    <row r="3331" spans="8:12">
      <c r="H3331"/>
      <c r="I3331"/>
      <c r="J3331"/>
      <c r="K3331"/>
      <c r="L3331"/>
    </row>
    <row r="3332" spans="8:12">
      <c r="H3332"/>
      <c r="I3332"/>
      <c r="J3332"/>
      <c r="K3332"/>
      <c r="L3332"/>
    </row>
    <row r="3333" spans="8:12">
      <c r="H3333"/>
      <c r="I3333"/>
      <c r="J3333"/>
      <c r="K3333"/>
      <c r="L3333"/>
    </row>
    <row r="3334" spans="8:12">
      <c r="H3334"/>
      <c r="I3334"/>
      <c r="J3334"/>
      <c r="K3334"/>
      <c r="L3334"/>
    </row>
    <row r="3335" spans="8:12">
      <c r="H3335"/>
      <c r="I3335"/>
      <c r="J3335"/>
      <c r="K3335"/>
      <c r="L3335"/>
    </row>
    <row r="3336" spans="8:12">
      <c r="H3336"/>
      <c r="I3336"/>
      <c r="J3336"/>
      <c r="K3336"/>
      <c r="L3336"/>
    </row>
    <row r="3337" spans="8:12">
      <c r="H3337"/>
      <c r="I3337"/>
      <c r="J3337"/>
      <c r="K3337"/>
      <c r="L3337"/>
    </row>
    <row r="3338" spans="8:12">
      <c r="H3338"/>
      <c r="I3338"/>
      <c r="J3338"/>
      <c r="K3338"/>
      <c r="L3338"/>
    </row>
    <row r="3339" spans="8:12">
      <c r="H3339"/>
      <c r="I3339"/>
      <c r="J3339"/>
      <c r="K3339"/>
      <c r="L3339"/>
    </row>
    <row r="3340" spans="8:12">
      <c r="H3340"/>
      <c r="I3340"/>
      <c r="J3340"/>
      <c r="K3340"/>
      <c r="L3340"/>
    </row>
    <row r="3341" spans="8:12">
      <c r="H3341"/>
      <c r="I3341"/>
      <c r="J3341"/>
      <c r="K3341"/>
      <c r="L3341"/>
    </row>
    <row r="3342" spans="8:12">
      <c r="H3342"/>
      <c r="I3342"/>
      <c r="J3342"/>
      <c r="K3342"/>
      <c r="L3342"/>
    </row>
    <row r="3343" spans="8:12">
      <c r="H3343"/>
      <c r="I3343"/>
      <c r="J3343"/>
      <c r="K3343"/>
      <c r="L3343"/>
    </row>
    <row r="3344" spans="8:12">
      <c r="H3344"/>
      <c r="I3344"/>
      <c r="J3344"/>
      <c r="K3344"/>
      <c r="L3344"/>
    </row>
    <row r="3345" spans="8:12">
      <c r="H3345"/>
      <c r="I3345"/>
      <c r="J3345"/>
      <c r="K3345"/>
      <c r="L3345"/>
    </row>
    <row r="3346" spans="8:12">
      <c r="H3346"/>
      <c r="I3346"/>
      <c r="J3346"/>
      <c r="K3346"/>
      <c r="L3346"/>
    </row>
    <row r="3347" spans="8:12">
      <c r="H3347"/>
      <c r="I3347"/>
      <c r="J3347"/>
      <c r="K3347"/>
      <c r="L3347"/>
    </row>
    <row r="3348" spans="8:12">
      <c r="H3348"/>
      <c r="I3348"/>
      <c r="J3348"/>
      <c r="K3348"/>
      <c r="L3348"/>
    </row>
    <row r="3349" spans="8:12">
      <c r="H3349"/>
      <c r="I3349"/>
      <c r="J3349"/>
      <c r="K3349"/>
      <c r="L3349"/>
    </row>
    <row r="3350" spans="8:12">
      <c r="H3350"/>
      <c r="I3350"/>
      <c r="J3350"/>
      <c r="K3350"/>
      <c r="L3350"/>
    </row>
    <row r="3351" spans="8:12">
      <c r="H3351"/>
      <c r="I3351"/>
      <c r="J3351"/>
      <c r="K3351"/>
      <c r="L3351"/>
    </row>
    <row r="3352" spans="8:12">
      <c r="H3352"/>
      <c r="I3352"/>
      <c r="J3352"/>
      <c r="K3352"/>
      <c r="L3352"/>
    </row>
    <row r="3353" spans="8:12">
      <c r="H3353"/>
      <c r="I3353"/>
      <c r="J3353"/>
      <c r="K3353"/>
      <c r="L3353"/>
    </row>
    <row r="3354" spans="8:12">
      <c r="H3354"/>
      <c r="I3354"/>
      <c r="J3354"/>
      <c r="K3354"/>
      <c r="L3354"/>
    </row>
    <row r="3355" spans="8:12">
      <c r="H3355"/>
      <c r="I3355"/>
      <c r="J3355"/>
      <c r="K3355"/>
      <c r="L3355"/>
    </row>
    <row r="3356" spans="8:12">
      <c r="H3356"/>
      <c r="I3356"/>
      <c r="J3356"/>
      <c r="K3356"/>
      <c r="L3356"/>
    </row>
    <row r="3357" spans="8:12">
      <c r="H3357"/>
      <c r="I3357"/>
      <c r="J3357"/>
      <c r="K3357"/>
      <c r="L3357"/>
    </row>
    <row r="3358" spans="8:12">
      <c r="H3358"/>
      <c r="I3358"/>
      <c r="J3358"/>
      <c r="K3358"/>
      <c r="L3358"/>
    </row>
    <row r="3359" spans="8:12">
      <c r="H3359"/>
      <c r="I3359"/>
      <c r="J3359"/>
      <c r="K3359"/>
      <c r="L3359"/>
    </row>
    <row r="3360" spans="8:12">
      <c r="H3360"/>
      <c r="I3360"/>
      <c r="J3360"/>
      <c r="K3360"/>
      <c r="L3360"/>
    </row>
    <row r="3361" spans="8:12">
      <c r="H3361"/>
      <c r="I3361"/>
      <c r="J3361"/>
      <c r="K3361"/>
      <c r="L3361"/>
    </row>
    <row r="3362" spans="8:12">
      <c r="H3362"/>
      <c r="I3362"/>
      <c r="J3362"/>
      <c r="K3362"/>
      <c r="L3362"/>
    </row>
    <row r="3363" spans="8:12">
      <c r="H3363"/>
      <c r="I3363"/>
      <c r="J3363"/>
      <c r="K3363"/>
      <c r="L3363"/>
    </row>
    <row r="3364" spans="8:12">
      <c r="H3364"/>
      <c r="I3364"/>
      <c r="J3364"/>
      <c r="K3364"/>
      <c r="L3364"/>
    </row>
    <row r="3365" spans="8:12">
      <c r="H3365"/>
      <c r="I3365"/>
      <c r="J3365"/>
      <c r="K3365"/>
      <c r="L3365"/>
    </row>
    <row r="3366" spans="8:12">
      <c r="H3366"/>
      <c r="I3366"/>
      <c r="J3366"/>
      <c r="K3366"/>
      <c r="L3366"/>
    </row>
    <row r="3367" spans="8:12">
      <c r="H3367"/>
      <c r="I3367"/>
      <c r="J3367"/>
      <c r="K3367"/>
      <c r="L3367"/>
    </row>
    <row r="3368" spans="8:12">
      <c r="H3368"/>
      <c r="I3368"/>
      <c r="J3368"/>
      <c r="K3368"/>
      <c r="L3368"/>
    </row>
    <row r="3369" spans="8:12">
      <c r="H3369"/>
      <c r="I3369"/>
      <c r="J3369"/>
      <c r="K3369"/>
      <c r="L3369"/>
    </row>
    <row r="3370" spans="8:12">
      <c r="H3370"/>
      <c r="I3370"/>
      <c r="J3370"/>
      <c r="K3370"/>
      <c r="L3370"/>
    </row>
    <row r="3371" spans="8:12">
      <c r="H3371"/>
      <c r="I3371"/>
      <c r="J3371"/>
      <c r="K3371"/>
      <c r="L3371"/>
    </row>
    <row r="3372" spans="8:12">
      <c r="H3372"/>
      <c r="I3372"/>
      <c r="J3372"/>
      <c r="K3372"/>
      <c r="L3372"/>
    </row>
    <row r="3373" spans="8:12">
      <c r="H3373"/>
      <c r="I3373"/>
      <c r="J3373"/>
      <c r="K3373"/>
      <c r="L3373"/>
    </row>
    <row r="3374" spans="8:12">
      <c r="H3374"/>
      <c r="I3374"/>
      <c r="J3374"/>
      <c r="K3374"/>
      <c r="L3374"/>
    </row>
    <row r="3375" spans="8:12">
      <c r="H3375"/>
      <c r="I3375"/>
      <c r="J3375"/>
      <c r="K3375"/>
      <c r="L3375"/>
    </row>
    <row r="3376" spans="8:12">
      <c r="H3376"/>
      <c r="I3376"/>
      <c r="J3376"/>
      <c r="K3376"/>
      <c r="L3376"/>
    </row>
    <row r="3377" spans="8:12">
      <c r="H3377"/>
      <c r="I3377"/>
      <c r="J3377"/>
      <c r="K3377"/>
      <c r="L3377"/>
    </row>
    <row r="3378" spans="8:12">
      <c r="H3378"/>
      <c r="I3378"/>
      <c r="J3378"/>
      <c r="K3378"/>
      <c r="L3378"/>
    </row>
    <row r="3379" spans="8:12">
      <c r="H3379"/>
      <c r="I3379"/>
      <c r="J3379"/>
      <c r="K3379"/>
      <c r="L3379"/>
    </row>
    <row r="3380" spans="8:12">
      <c r="H3380"/>
      <c r="I3380"/>
      <c r="J3380"/>
      <c r="K3380"/>
      <c r="L3380"/>
    </row>
    <row r="3381" spans="8:12">
      <c r="H3381"/>
      <c r="I3381"/>
      <c r="J3381"/>
      <c r="K3381"/>
      <c r="L3381"/>
    </row>
    <row r="3382" spans="8:12">
      <c r="H3382"/>
      <c r="I3382"/>
      <c r="J3382"/>
      <c r="K3382"/>
      <c r="L3382"/>
    </row>
    <row r="3383" spans="8:12">
      <c r="H3383"/>
      <c r="I3383"/>
      <c r="J3383"/>
      <c r="K3383"/>
      <c r="L3383"/>
    </row>
    <row r="3384" spans="8:12">
      <c r="H3384"/>
      <c r="I3384"/>
      <c r="J3384"/>
      <c r="K3384"/>
      <c r="L3384"/>
    </row>
    <row r="3385" spans="8:12">
      <c r="H3385"/>
      <c r="I3385"/>
      <c r="J3385"/>
      <c r="K3385"/>
      <c r="L3385"/>
    </row>
    <row r="3386" spans="8:12">
      <c r="H3386"/>
      <c r="I3386"/>
      <c r="J3386"/>
      <c r="K3386"/>
      <c r="L3386"/>
    </row>
    <row r="3387" spans="8:12">
      <c r="H3387"/>
      <c r="I3387"/>
      <c r="J3387"/>
      <c r="K3387"/>
      <c r="L3387"/>
    </row>
    <row r="3388" spans="8:12">
      <c r="H3388"/>
      <c r="I3388"/>
      <c r="J3388"/>
      <c r="K3388"/>
      <c r="L3388"/>
    </row>
    <row r="3389" spans="8:12">
      <c r="H3389"/>
      <c r="I3389"/>
      <c r="J3389"/>
      <c r="K3389"/>
      <c r="L3389"/>
    </row>
    <row r="3390" spans="8:12">
      <c r="H3390"/>
      <c r="I3390"/>
      <c r="J3390"/>
      <c r="K3390"/>
      <c r="L3390"/>
    </row>
    <row r="3391" spans="8:12">
      <c r="H3391"/>
      <c r="I3391"/>
      <c r="J3391"/>
      <c r="K3391"/>
      <c r="L3391"/>
    </row>
    <row r="3392" spans="8:12">
      <c r="H3392"/>
      <c r="I3392"/>
      <c r="J3392"/>
      <c r="K3392"/>
      <c r="L3392"/>
    </row>
    <row r="3393" spans="8:12">
      <c r="H3393"/>
      <c r="I3393"/>
      <c r="J3393"/>
      <c r="K3393"/>
      <c r="L3393"/>
    </row>
    <row r="3394" spans="8:12">
      <c r="H3394"/>
      <c r="I3394"/>
      <c r="J3394"/>
      <c r="K3394"/>
      <c r="L3394"/>
    </row>
    <row r="3395" spans="8:12">
      <c r="H3395"/>
      <c r="I3395"/>
      <c r="J3395"/>
      <c r="K3395"/>
      <c r="L3395"/>
    </row>
    <row r="3396" spans="8:12">
      <c r="H3396"/>
      <c r="I3396"/>
      <c r="J3396"/>
      <c r="K3396"/>
      <c r="L3396"/>
    </row>
    <row r="3397" spans="8:12">
      <c r="H3397"/>
      <c r="I3397"/>
      <c r="J3397"/>
      <c r="K3397"/>
      <c r="L3397"/>
    </row>
    <row r="3398" spans="8:12">
      <c r="H3398"/>
      <c r="I3398"/>
      <c r="J3398"/>
      <c r="K3398"/>
      <c r="L3398"/>
    </row>
    <row r="3399" spans="8:12">
      <c r="H3399"/>
      <c r="I3399"/>
      <c r="J3399"/>
      <c r="K3399"/>
      <c r="L3399"/>
    </row>
    <row r="3400" spans="8:12">
      <c r="H3400"/>
      <c r="I3400"/>
      <c r="J3400"/>
      <c r="K3400"/>
      <c r="L3400"/>
    </row>
    <row r="3401" spans="8:12">
      <c r="H3401"/>
      <c r="I3401"/>
      <c r="J3401"/>
      <c r="K3401"/>
      <c r="L3401"/>
    </row>
    <row r="3402" spans="8:12">
      <c r="H3402"/>
      <c r="I3402"/>
      <c r="J3402"/>
      <c r="K3402"/>
      <c r="L3402"/>
    </row>
    <row r="3403" spans="8:12">
      <c r="H3403"/>
      <c r="I3403"/>
      <c r="J3403"/>
      <c r="K3403"/>
      <c r="L3403"/>
    </row>
    <row r="3404" spans="8:12">
      <c r="H3404"/>
      <c r="I3404"/>
      <c r="J3404"/>
      <c r="K3404"/>
      <c r="L3404"/>
    </row>
    <row r="3405" spans="8:12">
      <c r="H3405"/>
      <c r="I3405"/>
      <c r="J3405"/>
      <c r="K3405"/>
      <c r="L3405"/>
    </row>
    <row r="3406" spans="8:12">
      <c r="H3406"/>
      <c r="I3406"/>
      <c r="J3406"/>
      <c r="K3406"/>
      <c r="L3406"/>
    </row>
    <row r="3407" spans="8:12">
      <c r="H3407"/>
      <c r="I3407"/>
      <c r="J3407"/>
      <c r="K3407"/>
      <c r="L3407"/>
    </row>
    <row r="3408" spans="8:12">
      <c r="H3408"/>
      <c r="I3408"/>
      <c r="J3408"/>
      <c r="K3408"/>
      <c r="L3408"/>
    </row>
    <row r="3409" spans="8:12">
      <c r="H3409"/>
      <c r="I3409"/>
      <c r="J3409"/>
      <c r="K3409"/>
      <c r="L3409"/>
    </row>
    <row r="3410" spans="8:12">
      <c r="H3410"/>
      <c r="I3410"/>
      <c r="J3410"/>
      <c r="K3410"/>
      <c r="L3410"/>
    </row>
    <row r="3411" spans="8:12">
      <c r="H3411"/>
      <c r="I3411"/>
      <c r="J3411"/>
      <c r="K3411"/>
      <c r="L3411"/>
    </row>
    <row r="3412" spans="8:12">
      <c r="H3412"/>
      <c r="I3412"/>
      <c r="J3412"/>
      <c r="K3412"/>
      <c r="L3412"/>
    </row>
    <row r="3413" spans="8:12">
      <c r="H3413"/>
      <c r="I3413"/>
      <c r="J3413"/>
      <c r="K3413"/>
      <c r="L3413"/>
    </row>
    <row r="3414" spans="8:12">
      <c r="H3414"/>
      <c r="I3414"/>
      <c r="J3414"/>
      <c r="K3414"/>
      <c r="L3414"/>
    </row>
    <row r="3415" spans="8:12">
      <c r="H3415"/>
      <c r="I3415"/>
      <c r="J3415"/>
      <c r="K3415"/>
      <c r="L3415"/>
    </row>
    <row r="3416" spans="8:12">
      <c r="H3416"/>
      <c r="I3416"/>
      <c r="J3416"/>
      <c r="K3416"/>
      <c r="L3416"/>
    </row>
    <row r="3417" spans="8:12">
      <c r="H3417"/>
      <c r="I3417"/>
      <c r="J3417"/>
      <c r="K3417"/>
      <c r="L3417"/>
    </row>
    <row r="3418" spans="8:12">
      <c r="H3418"/>
      <c r="I3418"/>
      <c r="J3418"/>
      <c r="K3418"/>
      <c r="L3418"/>
    </row>
    <row r="3419" spans="8:12">
      <c r="H3419"/>
      <c r="I3419"/>
      <c r="J3419"/>
      <c r="K3419"/>
      <c r="L3419"/>
    </row>
    <row r="3420" spans="8:12">
      <c r="H3420"/>
      <c r="I3420"/>
      <c r="J3420"/>
      <c r="K3420"/>
      <c r="L3420"/>
    </row>
    <row r="3421" spans="8:12">
      <c r="H3421"/>
      <c r="I3421"/>
      <c r="J3421"/>
      <c r="K3421"/>
      <c r="L3421"/>
    </row>
    <row r="3422" spans="8:12">
      <c r="H3422"/>
      <c r="I3422"/>
      <c r="J3422"/>
      <c r="K3422"/>
      <c r="L3422"/>
    </row>
    <row r="3423" spans="8:12">
      <c r="H3423"/>
      <c r="I3423"/>
      <c r="J3423"/>
      <c r="K3423"/>
      <c r="L3423"/>
    </row>
    <row r="3424" spans="8:12">
      <c r="H3424"/>
      <c r="I3424"/>
      <c r="J3424"/>
      <c r="K3424"/>
      <c r="L3424"/>
    </row>
    <row r="3425" spans="8:12">
      <c r="H3425"/>
      <c r="I3425"/>
      <c r="J3425"/>
      <c r="K3425"/>
      <c r="L3425"/>
    </row>
    <row r="3426" spans="8:12">
      <c r="H3426"/>
      <c r="I3426"/>
      <c r="J3426"/>
      <c r="K3426"/>
      <c r="L3426"/>
    </row>
    <row r="3427" spans="8:12">
      <c r="H3427"/>
      <c r="I3427"/>
      <c r="J3427"/>
      <c r="K3427"/>
      <c r="L3427"/>
    </row>
    <row r="3428" spans="8:12">
      <c r="H3428"/>
      <c r="I3428"/>
      <c r="J3428"/>
      <c r="K3428"/>
      <c r="L3428"/>
    </row>
    <row r="3429" spans="8:12">
      <c r="H3429"/>
      <c r="I3429"/>
      <c r="J3429"/>
      <c r="K3429"/>
      <c r="L3429"/>
    </row>
    <row r="3430" spans="8:12">
      <c r="H3430"/>
      <c r="I3430"/>
      <c r="J3430"/>
      <c r="K3430"/>
      <c r="L3430"/>
    </row>
    <row r="3431" spans="8:12">
      <c r="H3431"/>
      <c r="I3431"/>
      <c r="J3431"/>
      <c r="K3431"/>
      <c r="L3431"/>
    </row>
    <row r="3432" spans="8:12">
      <c r="H3432"/>
      <c r="I3432"/>
      <c r="J3432"/>
      <c r="K3432"/>
      <c r="L3432"/>
    </row>
    <row r="3433" spans="8:12">
      <c r="H3433"/>
      <c r="I3433"/>
      <c r="J3433"/>
      <c r="K3433"/>
      <c r="L3433"/>
    </row>
    <row r="3434" spans="8:12">
      <c r="H3434"/>
      <c r="I3434"/>
      <c r="J3434"/>
      <c r="K3434"/>
      <c r="L3434"/>
    </row>
    <row r="3435" spans="8:12">
      <c r="H3435"/>
      <c r="I3435"/>
      <c r="J3435"/>
      <c r="K3435"/>
      <c r="L3435"/>
    </row>
    <row r="3436" spans="8:12">
      <c r="H3436"/>
      <c r="I3436"/>
      <c r="J3436"/>
      <c r="K3436"/>
      <c r="L3436"/>
    </row>
    <row r="3437" spans="8:12">
      <c r="H3437"/>
      <c r="I3437"/>
      <c r="J3437"/>
      <c r="K3437"/>
      <c r="L3437"/>
    </row>
    <row r="3438" spans="8:12">
      <c r="H3438"/>
      <c r="I3438"/>
      <c r="J3438"/>
      <c r="K3438"/>
      <c r="L3438"/>
    </row>
    <row r="3439" spans="8:12">
      <c r="H3439"/>
      <c r="I3439"/>
      <c r="J3439"/>
      <c r="K3439"/>
      <c r="L3439"/>
    </row>
    <row r="3440" spans="8:12">
      <c r="H3440"/>
      <c r="I3440"/>
      <c r="J3440"/>
      <c r="K3440"/>
      <c r="L3440"/>
    </row>
    <row r="3441" spans="8:12">
      <c r="H3441"/>
      <c r="I3441"/>
      <c r="J3441"/>
      <c r="K3441"/>
      <c r="L3441"/>
    </row>
    <row r="3442" spans="8:12">
      <c r="H3442"/>
      <c r="I3442"/>
      <c r="J3442"/>
      <c r="K3442"/>
      <c r="L3442"/>
    </row>
    <row r="3443" spans="8:12">
      <c r="H3443"/>
      <c r="I3443"/>
      <c r="J3443"/>
      <c r="K3443"/>
      <c r="L3443"/>
    </row>
    <row r="3444" spans="8:12">
      <c r="H3444"/>
      <c r="I3444"/>
      <c r="J3444"/>
      <c r="K3444"/>
      <c r="L3444"/>
    </row>
    <row r="3445" spans="8:12">
      <c r="H3445"/>
      <c r="I3445"/>
      <c r="J3445"/>
      <c r="K3445"/>
      <c r="L3445"/>
    </row>
    <row r="3446" spans="8:12">
      <c r="H3446"/>
      <c r="I3446"/>
      <c r="J3446"/>
      <c r="K3446"/>
      <c r="L3446"/>
    </row>
    <row r="3447" spans="8:12">
      <c r="H3447"/>
      <c r="I3447"/>
      <c r="J3447"/>
      <c r="K3447"/>
      <c r="L3447"/>
    </row>
    <row r="3448" spans="8:12">
      <c r="H3448"/>
      <c r="I3448"/>
      <c r="J3448"/>
      <c r="K3448"/>
      <c r="L3448"/>
    </row>
    <row r="3449" spans="8:12">
      <c r="H3449"/>
      <c r="I3449"/>
      <c r="J3449"/>
      <c r="K3449"/>
      <c r="L3449"/>
    </row>
    <row r="3450" spans="8:12">
      <c r="H3450"/>
      <c r="I3450"/>
      <c r="J3450"/>
      <c r="K3450"/>
      <c r="L3450"/>
    </row>
    <row r="3451" spans="8:12">
      <c r="H3451"/>
      <c r="I3451"/>
      <c r="J3451"/>
      <c r="K3451"/>
      <c r="L3451"/>
    </row>
    <row r="3452" spans="8:12">
      <c r="H3452"/>
      <c r="I3452"/>
      <c r="J3452"/>
      <c r="K3452"/>
      <c r="L3452"/>
    </row>
    <row r="3453" spans="8:12">
      <c r="H3453"/>
      <c r="I3453"/>
      <c r="J3453"/>
      <c r="K3453"/>
      <c r="L3453"/>
    </row>
    <row r="3454" spans="8:12">
      <c r="H3454"/>
      <c r="I3454"/>
      <c r="J3454"/>
      <c r="K3454"/>
      <c r="L3454"/>
    </row>
    <row r="3455" spans="8:12">
      <c r="H3455"/>
      <c r="I3455"/>
      <c r="J3455"/>
      <c r="K3455"/>
      <c r="L3455"/>
    </row>
    <row r="3456" spans="8:12">
      <c r="H3456"/>
      <c r="I3456"/>
      <c r="J3456"/>
      <c r="K3456"/>
      <c r="L3456"/>
    </row>
    <row r="3457" spans="8:12">
      <c r="H3457"/>
      <c r="I3457"/>
      <c r="J3457"/>
      <c r="K3457"/>
      <c r="L3457"/>
    </row>
    <row r="3458" spans="8:12">
      <c r="H3458"/>
      <c r="I3458"/>
      <c r="J3458"/>
      <c r="K3458"/>
      <c r="L3458"/>
    </row>
    <row r="3459" spans="8:12">
      <c r="H3459"/>
      <c r="I3459"/>
      <c r="J3459"/>
      <c r="K3459"/>
      <c r="L3459"/>
    </row>
    <row r="3460" spans="8:12">
      <c r="H3460"/>
      <c r="I3460"/>
      <c r="J3460"/>
      <c r="K3460"/>
      <c r="L3460"/>
    </row>
    <row r="3461" spans="8:12">
      <c r="H3461"/>
      <c r="I3461"/>
      <c r="J3461"/>
      <c r="K3461"/>
      <c r="L3461"/>
    </row>
    <row r="3462" spans="8:12">
      <c r="H3462"/>
      <c r="I3462"/>
      <c r="J3462"/>
      <c r="K3462"/>
      <c r="L3462"/>
    </row>
    <row r="3463" spans="8:12">
      <c r="H3463"/>
      <c r="I3463"/>
      <c r="J3463"/>
      <c r="K3463"/>
      <c r="L3463"/>
    </row>
    <row r="3464" spans="8:12">
      <c r="H3464"/>
      <c r="I3464"/>
      <c r="J3464"/>
      <c r="K3464"/>
      <c r="L3464"/>
    </row>
    <row r="3465" spans="8:12">
      <c r="H3465"/>
      <c r="I3465"/>
      <c r="J3465"/>
      <c r="K3465"/>
      <c r="L3465"/>
    </row>
    <row r="3466" spans="8:12">
      <c r="H3466"/>
      <c r="I3466"/>
      <c r="J3466"/>
      <c r="K3466"/>
      <c r="L3466"/>
    </row>
    <row r="3467" spans="8:12">
      <c r="H3467"/>
      <c r="I3467"/>
      <c r="J3467"/>
      <c r="K3467"/>
      <c r="L3467"/>
    </row>
    <row r="3468" spans="8:12">
      <c r="H3468"/>
      <c r="I3468"/>
      <c r="J3468"/>
      <c r="K3468"/>
      <c r="L3468"/>
    </row>
    <row r="3469" spans="8:12">
      <c r="H3469"/>
      <c r="I3469"/>
      <c r="J3469"/>
      <c r="K3469"/>
      <c r="L3469"/>
    </row>
    <row r="3470" spans="8:12">
      <c r="H3470"/>
      <c r="I3470"/>
      <c r="J3470"/>
      <c r="K3470"/>
      <c r="L3470"/>
    </row>
    <row r="3471" spans="8:12">
      <c r="H3471"/>
      <c r="I3471"/>
      <c r="J3471"/>
      <c r="K3471"/>
      <c r="L3471"/>
    </row>
    <row r="3472" spans="8:12">
      <c r="H3472"/>
      <c r="I3472"/>
      <c r="J3472"/>
      <c r="K3472"/>
      <c r="L3472"/>
    </row>
    <row r="3473" spans="8:12">
      <c r="H3473"/>
      <c r="I3473"/>
      <c r="J3473"/>
      <c r="K3473"/>
      <c r="L3473"/>
    </row>
    <row r="3474" spans="8:12">
      <c r="H3474"/>
      <c r="I3474"/>
      <c r="J3474"/>
      <c r="K3474"/>
      <c r="L3474"/>
    </row>
    <row r="3475" spans="8:12">
      <c r="H3475"/>
      <c r="I3475"/>
      <c r="J3475"/>
      <c r="K3475"/>
      <c r="L3475"/>
    </row>
    <row r="3476" spans="8:12">
      <c r="H3476"/>
      <c r="I3476"/>
      <c r="J3476"/>
      <c r="K3476"/>
      <c r="L3476"/>
    </row>
    <row r="3477" spans="8:12">
      <c r="H3477"/>
      <c r="I3477"/>
      <c r="J3477"/>
      <c r="K3477"/>
      <c r="L3477"/>
    </row>
    <row r="3478" spans="8:12">
      <c r="H3478"/>
      <c r="I3478"/>
      <c r="J3478"/>
      <c r="K3478"/>
      <c r="L3478"/>
    </row>
    <row r="3479" spans="8:12">
      <c r="H3479"/>
      <c r="I3479"/>
      <c r="J3479"/>
      <c r="K3479"/>
      <c r="L3479"/>
    </row>
    <row r="3480" spans="8:12">
      <c r="H3480"/>
      <c r="I3480"/>
      <c r="J3480"/>
      <c r="K3480"/>
      <c r="L3480"/>
    </row>
    <row r="3481" spans="8:12">
      <c r="H3481"/>
      <c r="I3481"/>
      <c r="J3481"/>
      <c r="K3481"/>
      <c r="L3481"/>
    </row>
    <row r="3482" spans="8:12">
      <c r="H3482"/>
      <c r="I3482"/>
      <c r="J3482"/>
      <c r="K3482"/>
      <c r="L3482"/>
    </row>
    <row r="3483" spans="8:12">
      <c r="H3483"/>
      <c r="I3483"/>
      <c r="J3483"/>
      <c r="K3483"/>
      <c r="L3483"/>
    </row>
    <row r="3484" spans="8:12">
      <c r="H3484"/>
      <c r="I3484"/>
      <c r="J3484"/>
      <c r="K3484"/>
      <c r="L3484"/>
    </row>
    <row r="3485" spans="8:12">
      <c r="H3485"/>
      <c r="I3485"/>
      <c r="J3485"/>
      <c r="K3485"/>
      <c r="L3485"/>
    </row>
    <row r="3486" spans="8:12">
      <c r="H3486"/>
      <c r="I3486"/>
      <c r="J3486"/>
      <c r="K3486"/>
      <c r="L3486"/>
    </row>
    <row r="3487" spans="8:12">
      <c r="H3487"/>
      <c r="I3487"/>
      <c r="J3487"/>
      <c r="K3487"/>
      <c r="L3487"/>
    </row>
    <row r="3488" spans="8:12">
      <c r="H3488"/>
      <c r="I3488"/>
      <c r="J3488"/>
      <c r="K3488"/>
      <c r="L3488"/>
    </row>
    <row r="3489" spans="8:12">
      <c r="H3489"/>
      <c r="I3489"/>
      <c r="J3489"/>
      <c r="K3489"/>
      <c r="L3489"/>
    </row>
    <row r="3490" spans="8:12">
      <c r="H3490"/>
      <c r="I3490"/>
      <c r="J3490"/>
      <c r="K3490"/>
      <c r="L3490"/>
    </row>
    <row r="3491" spans="8:12">
      <c r="H3491"/>
      <c r="I3491"/>
      <c r="J3491"/>
      <c r="K3491"/>
      <c r="L3491"/>
    </row>
    <row r="3492" spans="8:12">
      <c r="H3492"/>
      <c r="I3492"/>
      <c r="J3492"/>
      <c r="K3492"/>
      <c r="L3492"/>
    </row>
    <row r="3493" spans="8:12">
      <c r="H3493"/>
      <c r="I3493"/>
      <c r="J3493"/>
      <c r="K3493"/>
      <c r="L3493"/>
    </row>
    <row r="3494" spans="8:12">
      <c r="H3494"/>
      <c r="I3494"/>
      <c r="J3494"/>
      <c r="K3494"/>
      <c r="L3494"/>
    </row>
    <row r="3495" spans="8:12">
      <c r="H3495"/>
      <c r="I3495"/>
      <c r="J3495"/>
      <c r="K3495"/>
      <c r="L3495"/>
    </row>
    <row r="3496" spans="8:12">
      <c r="H3496"/>
      <c r="I3496"/>
      <c r="J3496"/>
      <c r="K3496"/>
      <c r="L3496"/>
    </row>
    <row r="3497" spans="8:12">
      <c r="H3497"/>
      <c r="I3497"/>
      <c r="J3497"/>
      <c r="K3497"/>
      <c r="L3497"/>
    </row>
    <row r="3498" spans="8:12">
      <c r="H3498"/>
      <c r="I3498"/>
      <c r="J3498"/>
      <c r="K3498"/>
      <c r="L3498"/>
    </row>
    <row r="3499" spans="8:12">
      <c r="H3499"/>
      <c r="I3499"/>
      <c r="J3499"/>
      <c r="K3499"/>
      <c r="L3499"/>
    </row>
    <row r="3500" spans="8:12">
      <c r="H3500"/>
      <c r="I3500"/>
      <c r="J3500"/>
      <c r="K3500"/>
      <c r="L3500"/>
    </row>
    <row r="3501" spans="8:12">
      <c r="H3501"/>
      <c r="I3501"/>
      <c r="J3501"/>
      <c r="K3501"/>
      <c r="L3501"/>
    </row>
    <row r="3502" spans="8:12">
      <c r="H3502"/>
      <c r="I3502"/>
      <c r="J3502"/>
      <c r="K3502"/>
      <c r="L3502"/>
    </row>
    <row r="3503" spans="8:12">
      <c r="H3503"/>
      <c r="I3503"/>
      <c r="J3503"/>
      <c r="K3503"/>
      <c r="L3503"/>
    </row>
    <row r="3504" spans="8:12">
      <c r="H3504"/>
      <c r="I3504"/>
      <c r="J3504"/>
      <c r="K3504"/>
      <c r="L3504"/>
    </row>
    <row r="3505" spans="8:12">
      <c r="H3505"/>
      <c r="I3505"/>
      <c r="J3505"/>
      <c r="K3505"/>
      <c r="L3505"/>
    </row>
    <row r="3506" spans="8:12">
      <c r="H3506"/>
      <c r="I3506"/>
      <c r="J3506"/>
      <c r="K3506"/>
      <c r="L3506"/>
    </row>
    <row r="3507" spans="8:12">
      <c r="H3507"/>
      <c r="I3507"/>
      <c r="J3507"/>
      <c r="K3507"/>
      <c r="L3507"/>
    </row>
    <row r="3508" spans="8:12">
      <c r="H3508"/>
      <c r="I3508"/>
      <c r="J3508"/>
      <c r="K3508"/>
      <c r="L3508"/>
    </row>
    <row r="3509" spans="8:12">
      <c r="H3509"/>
      <c r="I3509"/>
      <c r="J3509"/>
      <c r="K3509"/>
      <c r="L3509"/>
    </row>
    <row r="3510" spans="8:12">
      <c r="H3510"/>
      <c r="I3510"/>
      <c r="J3510"/>
      <c r="K3510"/>
      <c r="L3510"/>
    </row>
    <row r="3511" spans="8:12">
      <c r="H3511"/>
      <c r="I3511"/>
      <c r="J3511"/>
      <c r="K3511"/>
      <c r="L3511"/>
    </row>
    <row r="3512" spans="8:12">
      <c r="H3512"/>
      <c r="I3512"/>
      <c r="J3512"/>
      <c r="K3512"/>
      <c r="L3512"/>
    </row>
    <row r="3513" spans="8:12">
      <c r="H3513"/>
      <c r="I3513"/>
      <c r="J3513"/>
      <c r="K3513"/>
      <c r="L3513"/>
    </row>
    <row r="3514" spans="8:12">
      <c r="H3514"/>
      <c r="I3514"/>
      <c r="J3514"/>
      <c r="K3514"/>
      <c r="L3514"/>
    </row>
    <row r="3515" spans="8:12">
      <c r="H3515"/>
      <c r="I3515"/>
      <c r="J3515"/>
      <c r="K3515"/>
      <c r="L3515"/>
    </row>
    <row r="3516" spans="8:12">
      <c r="H3516"/>
      <c r="I3516"/>
      <c r="J3516"/>
      <c r="K3516"/>
      <c r="L3516"/>
    </row>
    <row r="3517" spans="8:12">
      <c r="H3517"/>
      <c r="I3517"/>
      <c r="J3517"/>
      <c r="K3517"/>
      <c r="L3517"/>
    </row>
    <row r="3518" spans="8:12">
      <c r="H3518"/>
      <c r="I3518"/>
      <c r="J3518"/>
      <c r="K3518"/>
      <c r="L3518"/>
    </row>
    <row r="3519" spans="8:12">
      <c r="H3519"/>
      <c r="I3519"/>
      <c r="J3519"/>
      <c r="K3519"/>
      <c r="L3519"/>
    </row>
    <row r="3520" spans="8:12">
      <c r="H3520"/>
      <c r="I3520"/>
      <c r="J3520"/>
      <c r="K3520"/>
      <c r="L3520"/>
    </row>
    <row r="3521" spans="8:12">
      <c r="H3521"/>
      <c r="I3521"/>
      <c r="J3521"/>
      <c r="K3521"/>
      <c r="L3521"/>
    </row>
    <row r="3522" spans="8:12">
      <c r="H3522"/>
      <c r="I3522"/>
      <c r="J3522"/>
      <c r="K3522"/>
      <c r="L3522"/>
    </row>
    <row r="3523" spans="8:12">
      <c r="H3523"/>
      <c r="I3523"/>
      <c r="J3523"/>
      <c r="K3523"/>
      <c r="L3523"/>
    </row>
    <row r="3524" spans="8:12">
      <c r="H3524"/>
      <c r="I3524"/>
      <c r="J3524"/>
      <c r="K3524"/>
      <c r="L3524"/>
    </row>
    <row r="3525" spans="8:12">
      <c r="H3525"/>
      <c r="I3525"/>
      <c r="J3525"/>
      <c r="K3525"/>
      <c r="L3525"/>
    </row>
    <row r="3526" spans="8:12">
      <c r="H3526"/>
      <c r="I3526"/>
      <c r="J3526"/>
      <c r="K3526"/>
      <c r="L3526"/>
    </row>
    <row r="3527" spans="8:12">
      <c r="H3527"/>
      <c r="I3527"/>
      <c r="J3527"/>
      <c r="K3527"/>
      <c r="L3527"/>
    </row>
    <row r="3528" spans="8:12">
      <c r="H3528"/>
      <c r="I3528"/>
      <c r="J3528"/>
      <c r="K3528"/>
      <c r="L3528"/>
    </row>
    <row r="3529" spans="8:12">
      <c r="H3529"/>
      <c r="I3529"/>
      <c r="J3529"/>
      <c r="K3529"/>
      <c r="L3529"/>
    </row>
    <row r="3530" spans="8:12">
      <c r="H3530"/>
      <c r="I3530"/>
      <c r="J3530"/>
      <c r="K3530"/>
      <c r="L3530"/>
    </row>
    <row r="3531" spans="8:12">
      <c r="H3531"/>
      <c r="I3531"/>
      <c r="J3531"/>
      <c r="K3531"/>
      <c r="L3531"/>
    </row>
    <row r="3532" spans="8:12">
      <c r="H3532"/>
      <c r="I3532"/>
      <c r="J3532"/>
      <c r="K3532"/>
      <c r="L3532"/>
    </row>
    <row r="3533" spans="8:12">
      <c r="H3533"/>
      <c r="I3533"/>
      <c r="J3533"/>
      <c r="K3533"/>
      <c r="L3533"/>
    </row>
    <row r="3534" spans="8:12">
      <c r="H3534"/>
      <c r="I3534"/>
      <c r="J3534"/>
      <c r="K3534"/>
      <c r="L3534"/>
    </row>
    <row r="3535" spans="8:12">
      <c r="H3535"/>
      <c r="I3535"/>
      <c r="J3535"/>
      <c r="K3535"/>
      <c r="L3535"/>
    </row>
    <row r="3536" spans="8:12">
      <c r="H3536"/>
      <c r="I3536"/>
      <c r="J3536"/>
      <c r="K3536"/>
      <c r="L3536"/>
    </row>
    <row r="3537" spans="8:12">
      <c r="H3537"/>
      <c r="I3537"/>
      <c r="J3537"/>
      <c r="K3537"/>
      <c r="L3537"/>
    </row>
    <row r="3538" spans="8:12">
      <c r="H3538"/>
      <c r="I3538"/>
      <c r="J3538"/>
      <c r="K3538"/>
      <c r="L3538"/>
    </row>
    <row r="3539" spans="8:12">
      <c r="H3539"/>
      <c r="I3539"/>
      <c r="J3539"/>
      <c r="K3539"/>
      <c r="L3539"/>
    </row>
    <row r="3540" spans="8:12">
      <c r="H3540"/>
      <c r="I3540"/>
      <c r="J3540"/>
      <c r="K3540"/>
      <c r="L3540"/>
    </row>
    <row r="3541" spans="8:12">
      <c r="H3541"/>
      <c r="I3541"/>
      <c r="J3541"/>
      <c r="K3541"/>
      <c r="L3541"/>
    </row>
    <row r="3542" spans="8:12">
      <c r="H3542"/>
      <c r="I3542"/>
      <c r="J3542"/>
      <c r="K3542"/>
      <c r="L3542"/>
    </row>
    <row r="3543" spans="8:12">
      <c r="H3543"/>
      <c r="I3543"/>
      <c r="J3543"/>
      <c r="K3543"/>
      <c r="L3543"/>
    </row>
    <row r="3544" spans="8:12">
      <c r="H3544"/>
      <c r="I3544"/>
      <c r="J3544"/>
      <c r="K3544"/>
      <c r="L3544"/>
    </row>
    <row r="3545" spans="8:12">
      <c r="H3545"/>
      <c r="I3545"/>
      <c r="J3545"/>
      <c r="K3545"/>
      <c r="L3545"/>
    </row>
    <row r="3546" spans="8:12">
      <c r="H3546"/>
      <c r="I3546"/>
      <c r="J3546"/>
      <c r="K3546"/>
      <c r="L3546"/>
    </row>
    <row r="3547" spans="8:12">
      <c r="H3547"/>
      <c r="I3547"/>
      <c r="J3547"/>
      <c r="K3547"/>
      <c r="L3547"/>
    </row>
    <row r="3548" spans="8:12">
      <c r="H3548"/>
      <c r="I3548"/>
      <c r="J3548"/>
      <c r="K3548"/>
      <c r="L3548"/>
    </row>
    <row r="3549" spans="8:12">
      <c r="H3549"/>
      <c r="I3549"/>
      <c r="J3549"/>
      <c r="K3549"/>
      <c r="L3549"/>
    </row>
    <row r="3550" spans="8:12">
      <c r="H3550"/>
      <c r="I3550"/>
      <c r="J3550"/>
      <c r="K3550"/>
      <c r="L3550"/>
    </row>
    <row r="3551" spans="8:12">
      <c r="H3551"/>
      <c r="I3551"/>
      <c r="J3551"/>
      <c r="K3551"/>
      <c r="L3551"/>
    </row>
    <row r="3552" spans="8:12">
      <c r="H3552"/>
      <c r="I3552"/>
      <c r="J3552"/>
      <c r="K3552"/>
      <c r="L3552"/>
    </row>
    <row r="3553" spans="8:12">
      <c r="H3553"/>
      <c r="I3553"/>
      <c r="J3553"/>
      <c r="K3553"/>
      <c r="L3553"/>
    </row>
    <row r="3554" spans="8:12">
      <c r="H3554"/>
      <c r="I3554"/>
      <c r="J3554"/>
      <c r="K3554"/>
      <c r="L3554"/>
    </row>
    <row r="3555" spans="8:12">
      <c r="H3555"/>
      <c r="I3555"/>
      <c r="J3555"/>
      <c r="K3555"/>
      <c r="L3555"/>
    </row>
    <row r="3556" spans="8:12">
      <c r="H3556"/>
      <c r="I3556"/>
      <c r="J3556"/>
      <c r="K3556"/>
      <c r="L3556"/>
    </row>
    <row r="3557" spans="8:12">
      <c r="H3557"/>
      <c r="I3557"/>
      <c r="J3557"/>
      <c r="K3557"/>
      <c r="L3557"/>
    </row>
    <row r="3558" spans="8:12">
      <c r="H3558"/>
      <c r="I3558"/>
      <c r="J3558"/>
      <c r="K3558"/>
      <c r="L3558"/>
    </row>
    <row r="3559" spans="8:12">
      <c r="H3559"/>
      <c r="I3559"/>
      <c r="J3559"/>
      <c r="K3559"/>
      <c r="L3559"/>
    </row>
    <row r="3560" spans="8:12">
      <c r="H3560"/>
      <c r="I3560"/>
      <c r="J3560"/>
      <c r="K3560"/>
      <c r="L3560"/>
    </row>
    <row r="3561" spans="8:12">
      <c r="H3561"/>
      <c r="I3561"/>
      <c r="J3561"/>
      <c r="K3561"/>
      <c r="L3561"/>
    </row>
    <row r="3562" spans="8:12">
      <c r="H3562"/>
      <c r="I3562"/>
      <c r="J3562"/>
      <c r="K3562"/>
      <c r="L3562"/>
    </row>
    <row r="3563" spans="8:12">
      <c r="H3563"/>
      <c r="I3563"/>
      <c r="J3563"/>
      <c r="K3563"/>
      <c r="L3563"/>
    </row>
    <row r="3564" spans="8:12">
      <c r="H3564"/>
      <c r="I3564"/>
      <c r="J3564"/>
      <c r="K3564"/>
      <c r="L3564"/>
    </row>
    <row r="3565" spans="8:12">
      <c r="H3565"/>
      <c r="I3565"/>
      <c r="J3565"/>
      <c r="K3565"/>
      <c r="L3565"/>
    </row>
    <row r="3566" spans="8:12">
      <c r="H3566"/>
      <c r="I3566"/>
      <c r="J3566"/>
      <c r="K3566"/>
      <c r="L3566"/>
    </row>
    <row r="3567" spans="8:12">
      <c r="H3567"/>
      <c r="I3567"/>
      <c r="J3567"/>
      <c r="K3567"/>
      <c r="L3567"/>
    </row>
    <row r="3568" spans="8:12">
      <c r="H3568"/>
      <c r="I3568"/>
      <c r="J3568"/>
      <c r="K3568"/>
      <c r="L3568"/>
    </row>
    <row r="3569" spans="8:12">
      <c r="H3569"/>
      <c r="I3569"/>
      <c r="J3569"/>
      <c r="K3569"/>
      <c r="L3569"/>
    </row>
    <row r="3570" spans="8:12">
      <c r="H3570"/>
      <c r="I3570"/>
      <c r="J3570"/>
      <c r="K3570"/>
      <c r="L3570"/>
    </row>
    <row r="3571" spans="8:12">
      <c r="H3571"/>
      <c r="I3571"/>
      <c r="J3571"/>
      <c r="K3571"/>
      <c r="L3571"/>
    </row>
    <row r="3572" spans="8:12">
      <c r="H3572"/>
      <c r="I3572"/>
      <c r="J3572"/>
      <c r="K3572"/>
      <c r="L3572"/>
    </row>
    <row r="3573" spans="8:12">
      <c r="H3573"/>
      <c r="I3573"/>
      <c r="J3573"/>
      <c r="K3573"/>
      <c r="L3573"/>
    </row>
    <row r="3574" spans="8:12">
      <c r="H3574"/>
      <c r="I3574"/>
      <c r="J3574"/>
      <c r="K3574"/>
      <c r="L3574"/>
    </row>
    <row r="3575" spans="8:12">
      <c r="H3575"/>
      <c r="I3575"/>
      <c r="J3575"/>
      <c r="K3575"/>
      <c r="L3575"/>
    </row>
    <row r="3576" spans="8:12">
      <c r="H3576"/>
      <c r="I3576"/>
      <c r="J3576"/>
      <c r="K3576"/>
      <c r="L3576"/>
    </row>
    <row r="3577" spans="8:12">
      <c r="H3577"/>
      <c r="I3577"/>
      <c r="J3577"/>
      <c r="K3577"/>
      <c r="L3577"/>
    </row>
    <row r="3578" spans="8:12">
      <c r="H3578"/>
      <c r="I3578"/>
      <c r="J3578"/>
      <c r="K3578"/>
      <c r="L3578"/>
    </row>
    <row r="3579" spans="8:12">
      <c r="H3579"/>
      <c r="I3579"/>
      <c r="J3579"/>
      <c r="K3579"/>
      <c r="L3579"/>
    </row>
    <row r="3580" spans="8:12">
      <c r="H3580"/>
      <c r="I3580"/>
      <c r="J3580"/>
      <c r="K3580"/>
      <c r="L3580"/>
    </row>
    <row r="3581" spans="8:12">
      <c r="H3581"/>
      <c r="I3581"/>
      <c r="J3581"/>
      <c r="K3581"/>
      <c r="L3581"/>
    </row>
    <row r="3582" spans="8:12">
      <c r="H3582"/>
      <c r="I3582"/>
      <c r="J3582"/>
      <c r="K3582"/>
      <c r="L3582"/>
    </row>
    <row r="3583" spans="8:12">
      <c r="H3583"/>
      <c r="I3583"/>
      <c r="J3583"/>
      <c r="K3583"/>
      <c r="L3583"/>
    </row>
    <row r="3584" spans="8:12">
      <c r="H3584"/>
      <c r="I3584"/>
      <c r="J3584"/>
      <c r="K3584"/>
      <c r="L3584"/>
    </row>
    <row r="3585" spans="8:12">
      <c r="H3585"/>
      <c r="I3585"/>
      <c r="J3585"/>
      <c r="K3585"/>
      <c r="L3585"/>
    </row>
    <row r="3586" spans="8:12">
      <c r="H3586"/>
      <c r="I3586"/>
      <c r="J3586"/>
      <c r="K3586"/>
      <c r="L3586"/>
    </row>
    <row r="3587" spans="8:12">
      <c r="H3587"/>
      <c r="I3587"/>
      <c r="J3587"/>
      <c r="K3587"/>
      <c r="L3587"/>
    </row>
    <row r="3588" spans="8:12">
      <c r="H3588"/>
      <c r="I3588"/>
      <c r="J3588"/>
      <c r="K3588"/>
      <c r="L3588"/>
    </row>
    <row r="3589" spans="8:12">
      <c r="H3589"/>
      <c r="I3589"/>
      <c r="J3589"/>
      <c r="K3589"/>
      <c r="L3589"/>
    </row>
    <row r="3590" spans="8:12">
      <c r="H3590"/>
      <c r="I3590"/>
      <c r="J3590"/>
      <c r="K3590"/>
      <c r="L3590"/>
    </row>
    <row r="3591" spans="8:12">
      <c r="H3591"/>
      <c r="I3591"/>
      <c r="J3591"/>
      <c r="K3591"/>
      <c r="L3591"/>
    </row>
    <row r="3592" spans="8:12">
      <c r="H3592"/>
      <c r="I3592"/>
      <c r="J3592"/>
      <c r="K3592"/>
      <c r="L3592"/>
    </row>
    <row r="3593" spans="8:12">
      <c r="H3593"/>
      <c r="I3593"/>
      <c r="J3593"/>
      <c r="K3593"/>
      <c r="L3593"/>
    </row>
    <row r="3594" spans="8:12">
      <c r="H3594"/>
      <c r="I3594"/>
      <c r="J3594"/>
      <c r="K3594"/>
      <c r="L3594"/>
    </row>
    <row r="3595" spans="8:12">
      <c r="H3595"/>
      <c r="I3595"/>
      <c r="J3595"/>
      <c r="K3595"/>
      <c r="L3595"/>
    </row>
    <row r="3596" spans="8:12">
      <c r="H3596"/>
      <c r="I3596"/>
      <c r="J3596"/>
      <c r="K3596"/>
      <c r="L3596"/>
    </row>
    <row r="3597" spans="8:12">
      <c r="H3597"/>
      <c r="I3597"/>
      <c r="J3597"/>
      <c r="K3597"/>
      <c r="L3597"/>
    </row>
    <row r="3598" spans="8:12">
      <c r="H3598"/>
      <c r="I3598"/>
      <c r="J3598"/>
      <c r="K3598"/>
      <c r="L3598"/>
    </row>
    <row r="3599" spans="8:12">
      <c r="H3599"/>
      <c r="I3599"/>
      <c r="J3599"/>
      <c r="K3599"/>
      <c r="L3599"/>
    </row>
    <row r="3600" spans="8:12">
      <c r="H3600"/>
      <c r="I3600"/>
      <c r="J3600"/>
      <c r="K3600"/>
      <c r="L3600"/>
    </row>
    <row r="3601" spans="8:12">
      <c r="H3601"/>
      <c r="I3601"/>
      <c r="J3601"/>
      <c r="K3601"/>
      <c r="L3601"/>
    </row>
    <row r="3602" spans="8:12">
      <c r="H3602"/>
      <c r="I3602"/>
      <c r="J3602"/>
      <c r="K3602"/>
      <c r="L3602"/>
    </row>
    <row r="3603" spans="8:12">
      <c r="H3603"/>
      <c r="I3603"/>
      <c r="J3603"/>
      <c r="K3603"/>
      <c r="L3603"/>
    </row>
    <row r="3604" spans="8:12">
      <c r="H3604"/>
      <c r="I3604"/>
      <c r="J3604"/>
      <c r="K3604"/>
      <c r="L3604"/>
    </row>
    <row r="3605" spans="8:12">
      <c r="H3605"/>
      <c r="I3605"/>
      <c r="J3605"/>
      <c r="K3605"/>
      <c r="L3605"/>
    </row>
    <row r="3606" spans="8:12">
      <c r="H3606"/>
      <c r="I3606"/>
      <c r="J3606"/>
      <c r="K3606"/>
      <c r="L3606"/>
    </row>
    <row r="3607" spans="8:12">
      <c r="H3607"/>
      <c r="I3607"/>
      <c r="J3607"/>
      <c r="K3607"/>
      <c r="L3607"/>
    </row>
    <row r="3608" spans="8:12">
      <c r="H3608"/>
      <c r="I3608"/>
      <c r="J3608"/>
      <c r="K3608"/>
      <c r="L3608"/>
    </row>
    <row r="3609" spans="8:12">
      <c r="H3609"/>
      <c r="I3609"/>
      <c r="J3609"/>
      <c r="K3609"/>
      <c r="L3609"/>
    </row>
    <row r="3610" spans="8:12">
      <c r="H3610"/>
      <c r="I3610"/>
      <c r="J3610"/>
      <c r="K3610"/>
      <c r="L3610"/>
    </row>
    <row r="3611" spans="8:12">
      <c r="H3611"/>
      <c r="I3611"/>
      <c r="J3611"/>
      <c r="K3611"/>
      <c r="L3611"/>
    </row>
    <row r="3612" spans="8:12">
      <c r="H3612"/>
      <c r="I3612"/>
      <c r="J3612"/>
      <c r="K3612"/>
      <c r="L3612"/>
    </row>
    <row r="3613" spans="8:12">
      <c r="H3613"/>
      <c r="I3613"/>
      <c r="J3613"/>
      <c r="K3613"/>
      <c r="L3613"/>
    </row>
    <row r="3614" spans="8:12">
      <c r="H3614"/>
      <c r="I3614"/>
      <c r="J3614"/>
      <c r="K3614"/>
      <c r="L3614"/>
    </row>
    <row r="3615" spans="8:12">
      <c r="H3615"/>
      <c r="I3615"/>
      <c r="J3615"/>
      <c r="K3615"/>
      <c r="L3615"/>
    </row>
    <row r="3616" spans="8:12">
      <c r="H3616"/>
      <c r="I3616"/>
      <c r="J3616"/>
      <c r="K3616"/>
      <c r="L3616"/>
    </row>
    <row r="3617" spans="8:12">
      <c r="H3617"/>
      <c r="I3617"/>
      <c r="J3617"/>
      <c r="K3617"/>
      <c r="L3617"/>
    </row>
    <row r="3618" spans="8:12">
      <c r="H3618"/>
      <c r="I3618"/>
      <c r="J3618"/>
      <c r="K3618"/>
      <c r="L3618"/>
    </row>
    <row r="3619" spans="8:12">
      <c r="H3619"/>
      <c r="I3619"/>
      <c r="J3619"/>
      <c r="K3619"/>
      <c r="L3619"/>
    </row>
    <row r="3620" spans="8:12">
      <c r="H3620"/>
      <c r="I3620"/>
      <c r="J3620"/>
      <c r="K3620"/>
      <c r="L3620"/>
    </row>
    <row r="3621" spans="8:12">
      <c r="H3621"/>
      <c r="I3621"/>
      <c r="J3621"/>
      <c r="K3621"/>
      <c r="L3621"/>
    </row>
    <row r="3622" spans="8:12">
      <c r="H3622"/>
      <c r="I3622"/>
      <c r="J3622"/>
      <c r="K3622"/>
      <c r="L3622"/>
    </row>
    <row r="3623" spans="8:12">
      <c r="H3623"/>
      <c r="I3623"/>
      <c r="J3623"/>
      <c r="K3623"/>
      <c r="L3623"/>
    </row>
    <row r="3624" spans="8:12">
      <c r="H3624"/>
      <c r="I3624"/>
      <c r="J3624"/>
      <c r="K3624"/>
      <c r="L3624"/>
    </row>
    <row r="3625" spans="8:12">
      <c r="H3625"/>
      <c r="I3625"/>
      <c r="J3625"/>
      <c r="K3625"/>
      <c r="L3625"/>
    </row>
    <row r="3626" spans="8:12">
      <c r="H3626"/>
      <c r="I3626"/>
      <c r="J3626"/>
      <c r="K3626"/>
      <c r="L3626"/>
    </row>
    <row r="3627" spans="8:12">
      <c r="H3627"/>
      <c r="I3627"/>
      <c r="J3627"/>
      <c r="K3627"/>
      <c r="L3627"/>
    </row>
    <row r="3628" spans="8:12">
      <c r="H3628"/>
      <c r="I3628"/>
      <c r="J3628"/>
      <c r="K3628"/>
      <c r="L3628"/>
    </row>
    <row r="3629" spans="8:12">
      <c r="H3629"/>
      <c r="I3629"/>
      <c r="J3629"/>
      <c r="K3629"/>
      <c r="L3629"/>
    </row>
    <row r="3630" spans="8:12">
      <c r="H3630"/>
      <c r="I3630"/>
      <c r="J3630"/>
      <c r="K3630"/>
      <c r="L3630"/>
    </row>
    <row r="3631" spans="8:12">
      <c r="H3631"/>
      <c r="I3631"/>
      <c r="J3631"/>
      <c r="K3631"/>
      <c r="L3631"/>
    </row>
    <row r="3632" spans="8:12">
      <c r="H3632"/>
      <c r="I3632"/>
      <c r="J3632"/>
      <c r="K3632"/>
      <c r="L3632"/>
    </row>
    <row r="3633" spans="8:12">
      <c r="H3633"/>
      <c r="I3633"/>
      <c r="J3633"/>
      <c r="K3633"/>
      <c r="L3633"/>
    </row>
    <row r="3634" spans="8:12">
      <c r="H3634"/>
      <c r="I3634"/>
      <c r="J3634"/>
      <c r="K3634"/>
      <c r="L3634"/>
    </row>
    <row r="3635" spans="8:12">
      <c r="H3635"/>
      <c r="I3635"/>
      <c r="J3635"/>
      <c r="K3635"/>
      <c r="L3635"/>
    </row>
    <row r="3636" spans="8:12">
      <c r="H3636"/>
      <c r="I3636"/>
      <c r="J3636"/>
      <c r="K3636"/>
      <c r="L3636"/>
    </row>
    <row r="3637" spans="8:12">
      <c r="H3637"/>
      <c r="I3637"/>
      <c r="J3637"/>
      <c r="K3637"/>
      <c r="L3637"/>
    </row>
    <row r="3638" spans="8:12">
      <c r="H3638"/>
      <c r="I3638"/>
      <c r="J3638"/>
      <c r="K3638"/>
      <c r="L3638"/>
    </row>
    <row r="3639" spans="8:12">
      <c r="H3639"/>
      <c r="I3639"/>
      <c r="J3639"/>
      <c r="K3639"/>
      <c r="L3639"/>
    </row>
    <row r="3640" spans="8:12">
      <c r="H3640"/>
      <c r="I3640"/>
      <c r="J3640"/>
      <c r="K3640"/>
      <c r="L3640"/>
    </row>
    <row r="3641" spans="8:12">
      <c r="H3641"/>
      <c r="I3641"/>
      <c r="J3641"/>
      <c r="K3641"/>
      <c r="L3641"/>
    </row>
    <row r="3642" spans="8:12">
      <c r="H3642"/>
      <c r="I3642"/>
      <c r="J3642"/>
      <c r="K3642"/>
      <c r="L3642"/>
    </row>
    <row r="3643" spans="8:12">
      <c r="H3643"/>
      <c r="I3643"/>
      <c r="J3643"/>
      <c r="K3643"/>
      <c r="L3643"/>
    </row>
    <row r="3644" spans="8:12">
      <c r="H3644"/>
      <c r="I3644"/>
      <c r="J3644"/>
      <c r="K3644"/>
      <c r="L3644"/>
    </row>
    <row r="3645" spans="8:12">
      <c r="H3645"/>
      <c r="I3645"/>
      <c r="J3645"/>
      <c r="K3645"/>
      <c r="L3645"/>
    </row>
    <row r="3646" spans="8:12">
      <c r="H3646"/>
      <c r="I3646"/>
      <c r="J3646"/>
      <c r="K3646"/>
      <c r="L3646"/>
    </row>
    <row r="3647" spans="8:12">
      <c r="H3647"/>
      <c r="I3647"/>
      <c r="J3647"/>
      <c r="K3647"/>
      <c r="L3647"/>
    </row>
    <row r="3648" spans="8:12">
      <c r="H3648"/>
      <c r="I3648"/>
      <c r="J3648"/>
      <c r="K3648"/>
      <c r="L3648"/>
    </row>
    <row r="3649" spans="8:12">
      <c r="H3649"/>
      <c r="I3649"/>
      <c r="J3649"/>
      <c r="K3649"/>
      <c r="L3649"/>
    </row>
    <row r="3650" spans="8:12">
      <c r="H3650"/>
      <c r="I3650"/>
      <c r="J3650"/>
      <c r="K3650"/>
      <c r="L3650"/>
    </row>
    <row r="3651" spans="8:12">
      <c r="H3651"/>
      <c r="I3651"/>
      <c r="J3651"/>
      <c r="K3651"/>
      <c r="L3651"/>
    </row>
    <row r="3652" spans="8:12">
      <c r="H3652"/>
      <c r="I3652"/>
      <c r="J3652"/>
      <c r="K3652"/>
      <c r="L3652"/>
    </row>
    <row r="3653" spans="8:12">
      <c r="H3653"/>
      <c r="I3653"/>
      <c r="J3653"/>
      <c r="K3653"/>
      <c r="L3653"/>
    </row>
    <row r="3654" spans="8:12">
      <c r="H3654"/>
      <c r="I3654"/>
      <c r="J3654"/>
      <c r="K3654"/>
      <c r="L3654"/>
    </row>
    <row r="3655" spans="8:12">
      <c r="H3655"/>
      <c r="I3655"/>
      <c r="J3655"/>
      <c r="K3655"/>
      <c r="L3655"/>
    </row>
    <row r="3656" spans="8:12">
      <c r="H3656"/>
      <c r="I3656"/>
      <c r="J3656"/>
      <c r="K3656"/>
      <c r="L3656"/>
    </row>
    <row r="3657" spans="8:12">
      <c r="H3657"/>
      <c r="I3657"/>
      <c r="J3657"/>
      <c r="K3657"/>
      <c r="L3657"/>
    </row>
    <row r="3658" spans="8:12">
      <c r="H3658"/>
      <c r="I3658"/>
      <c r="J3658"/>
      <c r="K3658"/>
      <c r="L3658"/>
    </row>
    <row r="3659" spans="8:12">
      <c r="H3659"/>
      <c r="I3659"/>
      <c r="J3659"/>
      <c r="K3659"/>
      <c r="L3659"/>
    </row>
    <row r="3660" spans="8:12">
      <c r="H3660"/>
      <c r="I3660"/>
      <c r="J3660"/>
      <c r="K3660"/>
      <c r="L3660"/>
    </row>
    <row r="3661" spans="8:12">
      <c r="H3661"/>
      <c r="I3661"/>
      <c r="J3661"/>
      <c r="K3661"/>
      <c r="L3661"/>
    </row>
    <row r="3662" spans="8:12">
      <c r="H3662"/>
      <c r="I3662"/>
      <c r="J3662"/>
      <c r="K3662"/>
      <c r="L3662"/>
    </row>
    <row r="3663" spans="8:12">
      <c r="H3663"/>
      <c r="I3663"/>
      <c r="J3663"/>
      <c r="K3663"/>
      <c r="L3663"/>
    </row>
    <row r="3664" spans="8:12">
      <c r="H3664"/>
      <c r="I3664"/>
      <c r="J3664"/>
      <c r="K3664"/>
      <c r="L3664"/>
    </row>
    <row r="3665" spans="8:12">
      <c r="H3665"/>
      <c r="I3665"/>
      <c r="J3665"/>
      <c r="K3665"/>
      <c r="L3665"/>
    </row>
    <row r="3666" spans="8:12">
      <c r="H3666"/>
      <c r="I3666"/>
      <c r="J3666"/>
      <c r="K3666"/>
      <c r="L3666"/>
    </row>
    <row r="3667" spans="8:12">
      <c r="H3667"/>
      <c r="I3667"/>
      <c r="J3667"/>
      <c r="K3667"/>
      <c r="L3667"/>
    </row>
    <row r="3668" spans="8:12">
      <c r="H3668"/>
      <c r="I3668"/>
      <c r="J3668"/>
      <c r="K3668"/>
      <c r="L3668"/>
    </row>
    <row r="3669" spans="8:12">
      <c r="H3669"/>
      <c r="I3669"/>
      <c r="J3669"/>
      <c r="K3669"/>
      <c r="L3669"/>
    </row>
    <row r="3670" spans="8:12">
      <c r="H3670"/>
      <c r="I3670"/>
      <c r="J3670"/>
      <c r="K3670"/>
      <c r="L3670"/>
    </row>
    <row r="3671" spans="8:12">
      <c r="H3671"/>
      <c r="I3671"/>
      <c r="J3671"/>
      <c r="K3671"/>
      <c r="L3671"/>
    </row>
    <row r="3672" spans="8:12">
      <c r="H3672"/>
      <c r="I3672"/>
      <c r="J3672"/>
      <c r="K3672"/>
      <c r="L3672"/>
    </row>
    <row r="3673" spans="8:12">
      <c r="H3673"/>
      <c r="I3673"/>
      <c r="J3673"/>
      <c r="K3673"/>
      <c r="L3673"/>
    </row>
    <row r="3674" spans="8:12">
      <c r="H3674"/>
      <c r="I3674"/>
      <c r="J3674"/>
      <c r="K3674"/>
      <c r="L3674"/>
    </row>
    <row r="3675" spans="8:12">
      <c r="H3675"/>
      <c r="I3675"/>
      <c r="J3675"/>
      <c r="K3675"/>
      <c r="L3675"/>
    </row>
    <row r="3676" spans="8:12">
      <c r="H3676"/>
      <c r="I3676"/>
      <c r="J3676"/>
      <c r="K3676"/>
      <c r="L3676"/>
    </row>
    <row r="3677" spans="8:12">
      <c r="H3677"/>
      <c r="I3677"/>
      <c r="J3677"/>
      <c r="K3677"/>
      <c r="L3677"/>
    </row>
    <row r="3678" spans="8:12">
      <c r="H3678"/>
      <c r="I3678"/>
      <c r="J3678"/>
      <c r="K3678"/>
      <c r="L3678"/>
    </row>
    <row r="3679" spans="8:12">
      <c r="H3679"/>
      <c r="I3679"/>
      <c r="J3679"/>
      <c r="K3679"/>
      <c r="L3679"/>
    </row>
    <row r="3680" spans="8:12">
      <c r="H3680"/>
      <c r="I3680"/>
      <c r="J3680"/>
      <c r="K3680"/>
      <c r="L3680"/>
    </row>
    <row r="3681" spans="8:12">
      <c r="H3681"/>
      <c r="I3681"/>
      <c r="J3681"/>
      <c r="K3681"/>
      <c r="L3681"/>
    </row>
    <row r="3682" spans="8:12">
      <c r="H3682"/>
      <c r="I3682"/>
      <c r="J3682"/>
      <c r="K3682"/>
      <c r="L3682"/>
    </row>
    <row r="3683" spans="8:12">
      <c r="H3683"/>
      <c r="I3683"/>
      <c r="J3683"/>
      <c r="K3683"/>
      <c r="L3683"/>
    </row>
    <row r="3684" spans="8:12">
      <c r="H3684"/>
      <c r="I3684"/>
      <c r="J3684"/>
      <c r="K3684"/>
      <c r="L3684"/>
    </row>
    <row r="3685" spans="8:12">
      <c r="H3685"/>
      <c r="I3685"/>
      <c r="J3685"/>
      <c r="K3685"/>
      <c r="L3685"/>
    </row>
    <row r="3686" spans="8:12">
      <c r="H3686"/>
      <c r="I3686"/>
      <c r="J3686"/>
      <c r="K3686"/>
      <c r="L3686"/>
    </row>
    <row r="3687" spans="8:12">
      <c r="H3687"/>
      <c r="I3687"/>
      <c r="J3687"/>
      <c r="K3687"/>
      <c r="L3687"/>
    </row>
    <row r="3688" spans="8:12">
      <c r="H3688"/>
      <c r="I3688"/>
      <c r="J3688"/>
      <c r="K3688"/>
      <c r="L3688"/>
    </row>
    <row r="3689" spans="8:12">
      <c r="H3689"/>
      <c r="I3689"/>
      <c r="J3689"/>
      <c r="K3689"/>
      <c r="L3689"/>
    </row>
    <row r="3690" spans="8:12">
      <c r="H3690"/>
      <c r="I3690"/>
      <c r="J3690"/>
      <c r="K3690"/>
      <c r="L3690"/>
    </row>
    <row r="3691" spans="8:12">
      <c r="H3691"/>
      <c r="I3691"/>
      <c r="J3691"/>
      <c r="K3691"/>
      <c r="L3691"/>
    </row>
    <row r="3692" spans="8:12">
      <c r="H3692"/>
      <c r="I3692"/>
      <c r="J3692"/>
      <c r="K3692"/>
      <c r="L3692"/>
    </row>
    <row r="3693" spans="8:12">
      <c r="H3693"/>
      <c r="I3693"/>
      <c r="J3693"/>
      <c r="K3693"/>
      <c r="L3693"/>
    </row>
    <row r="3694" spans="8:12">
      <c r="H3694"/>
      <c r="I3694"/>
      <c r="J3694"/>
      <c r="K3694"/>
      <c r="L3694"/>
    </row>
    <row r="3695" spans="8:12">
      <c r="H3695"/>
      <c r="I3695"/>
      <c r="J3695"/>
      <c r="K3695"/>
      <c r="L3695"/>
    </row>
    <row r="3696" spans="8:12">
      <c r="H3696"/>
      <c r="I3696"/>
      <c r="J3696"/>
      <c r="K3696"/>
      <c r="L3696"/>
    </row>
    <row r="3697" spans="8:12">
      <c r="H3697"/>
      <c r="I3697"/>
      <c r="J3697"/>
      <c r="K3697"/>
      <c r="L3697"/>
    </row>
    <row r="3698" spans="8:12">
      <c r="H3698"/>
      <c r="I3698"/>
      <c r="J3698"/>
      <c r="K3698"/>
      <c r="L3698"/>
    </row>
    <row r="3699" spans="8:12">
      <c r="H3699"/>
      <c r="I3699"/>
      <c r="J3699"/>
      <c r="K3699"/>
      <c r="L3699"/>
    </row>
    <row r="3700" spans="8:12">
      <c r="H3700"/>
      <c r="I3700"/>
      <c r="J3700"/>
      <c r="K3700"/>
      <c r="L3700"/>
    </row>
    <row r="3701" spans="8:12">
      <c r="H3701"/>
      <c r="I3701"/>
      <c r="J3701"/>
      <c r="K3701"/>
      <c r="L3701"/>
    </row>
    <row r="3702" spans="8:12">
      <c r="H3702"/>
      <c r="I3702"/>
      <c r="J3702"/>
      <c r="K3702"/>
      <c r="L3702"/>
    </row>
    <row r="3703" spans="8:12">
      <c r="H3703"/>
      <c r="I3703"/>
      <c r="J3703"/>
      <c r="K3703"/>
      <c r="L3703"/>
    </row>
    <row r="3704" spans="8:12">
      <c r="H3704"/>
      <c r="I3704"/>
      <c r="J3704"/>
      <c r="K3704"/>
      <c r="L3704"/>
    </row>
    <row r="3705" spans="8:12">
      <c r="H3705"/>
      <c r="I3705"/>
      <c r="J3705"/>
      <c r="K3705"/>
      <c r="L3705"/>
    </row>
    <row r="3706" spans="8:12">
      <c r="H3706"/>
      <c r="I3706"/>
      <c r="J3706"/>
      <c r="K3706"/>
      <c r="L3706"/>
    </row>
    <row r="3707" spans="8:12">
      <c r="H3707"/>
      <c r="I3707"/>
      <c r="J3707"/>
      <c r="K3707"/>
      <c r="L3707"/>
    </row>
    <row r="3708" spans="8:12">
      <c r="H3708"/>
      <c r="I3708"/>
      <c r="J3708"/>
      <c r="K3708"/>
      <c r="L3708"/>
    </row>
    <row r="3709" spans="8:12">
      <c r="H3709"/>
      <c r="I3709"/>
      <c r="J3709"/>
      <c r="K3709"/>
      <c r="L3709"/>
    </row>
    <row r="3710" spans="8:12">
      <c r="H3710"/>
      <c r="I3710"/>
      <c r="J3710"/>
      <c r="K3710"/>
      <c r="L3710"/>
    </row>
    <row r="3711" spans="8:12">
      <c r="H3711"/>
      <c r="I3711"/>
      <c r="J3711"/>
      <c r="K3711"/>
      <c r="L3711"/>
    </row>
    <row r="3712" spans="8:12">
      <c r="H3712"/>
      <c r="I3712"/>
      <c r="J3712"/>
      <c r="K3712"/>
      <c r="L3712"/>
    </row>
    <row r="3713" spans="8:12">
      <c r="H3713"/>
      <c r="I3713"/>
      <c r="J3713"/>
      <c r="K3713"/>
      <c r="L3713"/>
    </row>
    <row r="3714" spans="8:12">
      <c r="H3714"/>
      <c r="I3714"/>
      <c r="J3714"/>
      <c r="K3714"/>
      <c r="L3714"/>
    </row>
    <row r="3715" spans="8:12">
      <c r="H3715"/>
      <c r="I3715"/>
      <c r="J3715"/>
      <c r="K3715"/>
      <c r="L3715"/>
    </row>
    <row r="3716" spans="8:12">
      <c r="H3716"/>
      <c r="I3716"/>
      <c r="J3716"/>
      <c r="K3716"/>
      <c r="L3716"/>
    </row>
    <row r="3717" spans="8:12">
      <c r="H3717"/>
      <c r="I3717"/>
      <c r="J3717"/>
      <c r="K3717"/>
      <c r="L3717"/>
    </row>
    <row r="3718" spans="8:12">
      <c r="H3718"/>
      <c r="I3718"/>
      <c r="J3718"/>
      <c r="K3718"/>
      <c r="L3718"/>
    </row>
    <row r="3719" spans="8:12">
      <c r="H3719"/>
      <c r="I3719"/>
      <c r="J3719"/>
      <c r="K3719"/>
      <c r="L3719"/>
    </row>
    <row r="3720" spans="8:12">
      <c r="H3720"/>
      <c r="I3720"/>
      <c r="J3720"/>
      <c r="K3720"/>
      <c r="L3720"/>
    </row>
    <row r="3721" spans="8:12">
      <c r="H3721"/>
      <c r="I3721"/>
      <c r="J3721"/>
      <c r="K3721"/>
      <c r="L3721"/>
    </row>
    <row r="3722" spans="8:12">
      <c r="H3722"/>
      <c r="I3722"/>
      <c r="J3722"/>
      <c r="K3722"/>
      <c r="L3722"/>
    </row>
    <row r="3723" spans="8:12">
      <c r="H3723"/>
      <c r="I3723"/>
      <c r="J3723"/>
      <c r="K3723"/>
      <c r="L3723"/>
    </row>
    <row r="3724" spans="8:12">
      <c r="H3724"/>
      <c r="I3724"/>
      <c r="J3724"/>
      <c r="K3724"/>
      <c r="L3724"/>
    </row>
    <row r="3725" spans="8:12">
      <c r="H3725"/>
      <c r="I3725"/>
      <c r="J3725"/>
      <c r="K3725"/>
      <c r="L3725"/>
    </row>
    <row r="3726" spans="8:12">
      <c r="H3726"/>
      <c r="I3726"/>
      <c r="J3726"/>
      <c r="K3726"/>
      <c r="L3726"/>
    </row>
    <row r="3727" spans="8:12">
      <c r="H3727"/>
      <c r="I3727"/>
      <c r="J3727"/>
      <c r="K3727"/>
      <c r="L3727"/>
    </row>
    <row r="3728" spans="8:12">
      <c r="H3728"/>
      <c r="I3728"/>
      <c r="J3728"/>
      <c r="K3728"/>
      <c r="L3728"/>
    </row>
    <row r="3729" spans="8:12">
      <c r="H3729"/>
      <c r="I3729"/>
      <c r="J3729"/>
      <c r="K3729"/>
      <c r="L3729"/>
    </row>
    <row r="3730" spans="8:12">
      <c r="H3730"/>
      <c r="I3730"/>
      <c r="J3730"/>
      <c r="K3730"/>
      <c r="L3730"/>
    </row>
    <row r="3731" spans="8:12">
      <c r="H3731"/>
      <c r="I3731"/>
      <c r="J3731"/>
      <c r="K3731"/>
      <c r="L3731"/>
    </row>
    <row r="3732" spans="8:12">
      <c r="H3732"/>
      <c r="I3732"/>
      <c r="J3732"/>
      <c r="K3732"/>
      <c r="L3732"/>
    </row>
    <row r="3733" spans="8:12">
      <c r="H3733"/>
      <c r="I3733"/>
      <c r="J3733"/>
      <c r="K3733"/>
      <c r="L3733"/>
    </row>
    <row r="3734" spans="8:12">
      <c r="H3734"/>
      <c r="I3734"/>
      <c r="J3734"/>
      <c r="K3734"/>
      <c r="L3734"/>
    </row>
    <row r="3735" spans="8:12">
      <c r="H3735"/>
      <c r="I3735"/>
      <c r="J3735"/>
      <c r="K3735"/>
      <c r="L3735"/>
    </row>
    <row r="3736" spans="8:12">
      <c r="H3736"/>
      <c r="I3736"/>
      <c r="J3736"/>
      <c r="K3736"/>
      <c r="L3736"/>
    </row>
    <row r="3737" spans="8:12">
      <c r="H3737"/>
      <c r="I3737"/>
      <c r="J3737"/>
      <c r="K3737"/>
      <c r="L3737"/>
    </row>
    <row r="3738" spans="8:12">
      <c r="H3738"/>
      <c r="I3738"/>
      <c r="J3738"/>
      <c r="K3738"/>
      <c r="L3738"/>
    </row>
    <row r="3739" spans="8:12">
      <c r="H3739"/>
      <c r="I3739"/>
      <c r="J3739"/>
      <c r="K3739"/>
      <c r="L3739"/>
    </row>
    <row r="3740" spans="8:12">
      <c r="H3740"/>
      <c r="I3740"/>
      <c r="J3740"/>
      <c r="K3740"/>
      <c r="L3740"/>
    </row>
    <row r="3741" spans="8:12">
      <c r="H3741"/>
      <c r="I3741"/>
      <c r="J3741"/>
      <c r="K3741"/>
      <c r="L3741"/>
    </row>
    <row r="3742" spans="8:12">
      <c r="H3742"/>
      <c r="I3742"/>
      <c r="J3742"/>
      <c r="K3742"/>
      <c r="L3742"/>
    </row>
    <row r="3743" spans="8:12">
      <c r="H3743"/>
      <c r="I3743"/>
      <c r="J3743"/>
      <c r="K3743"/>
      <c r="L3743"/>
    </row>
    <row r="3744" spans="8:12">
      <c r="H3744"/>
      <c r="I3744"/>
      <c r="J3744"/>
      <c r="K3744"/>
      <c r="L3744"/>
    </row>
    <row r="3745" spans="8:12">
      <c r="H3745"/>
      <c r="I3745"/>
      <c r="J3745"/>
      <c r="K3745"/>
      <c r="L3745"/>
    </row>
    <row r="3746" spans="8:12">
      <c r="H3746"/>
      <c r="I3746"/>
      <c r="J3746"/>
      <c r="K3746"/>
      <c r="L3746"/>
    </row>
    <row r="3747" spans="8:12">
      <c r="H3747"/>
      <c r="I3747"/>
      <c r="J3747"/>
      <c r="K3747"/>
      <c r="L3747"/>
    </row>
    <row r="3748" spans="8:12">
      <c r="H3748"/>
      <c r="I3748"/>
      <c r="J3748"/>
      <c r="K3748"/>
      <c r="L3748"/>
    </row>
    <row r="3749" spans="8:12">
      <c r="H3749"/>
      <c r="I3749"/>
      <c r="J3749"/>
      <c r="K3749"/>
      <c r="L3749"/>
    </row>
    <row r="3750" spans="8:12">
      <c r="H3750"/>
      <c r="I3750"/>
      <c r="J3750"/>
      <c r="K3750"/>
      <c r="L3750"/>
    </row>
    <row r="3751" spans="8:12">
      <c r="H3751"/>
      <c r="I3751"/>
      <c r="J3751"/>
      <c r="K3751"/>
      <c r="L3751"/>
    </row>
    <row r="3752" spans="8:12">
      <c r="H3752"/>
      <c r="I3752"/>
      <c r="J3752"/>
      <c r="K3752"/>
      <c r="L3752"/>
    </row>
    <row r="3753" spans="8:12">
      <c r="H3753"/>
      <c r="I3753"/>
      <c r="J3753"/>
      <c r="K3753"/>
      <c r="L3753"/>
    </row>
    <row r="3754" spans="8:12">
      <c r="H3754"/>
      <c r="I3754"/>
      <c r="J3754"/>
      <c r="K3754"/>
      <c r="L3754"/>
    </row>
    <row r="3755" spans="8:12">
      <c r="H3755"/>
      <c r="I3755"/>
      <c r="J3755"/>
      <c r="K3755"/>
      <c r="L3755"/>
    </row>
    <row r="3756" spans="8:12">
      <c r="H3756"/>
      <c r="I3756"/>
      <c r="J3756"/>
      <c r="K3756"/>
      <c r="L3756"/>
    </row>
    <row r="3757" spans="8:12">
      <c r="H3757"/>
      <c r="I3757"/>
      <c r="J3757"/>
      <c r="K3757"/>
      <c r="L3757"/>
    </row>
    <row r="3758" spans="8:12">
      <c r="H3758"/>
      <c r="I3758"/>
      <c r="J3758"/>
      <c r="K3758"/>
      <c r="L3758"/>
    </row>
    <row r="3759" spans="8:12">
      <c r="H3759"/>
      <c r="I3759"/>
      <c r="J3759"/>
      <c r="K3759"/>
      <c r="L3759"/>
    </row>
    <row r="3760" spans="8:12">
      <c r="H3760"/>
      <c r="I3760"/>
      <c r="J3760"/>
      <c r="K3760"/>
      <c r="L3760"/>
    </row>
    <row r="3761" spans="8:12">
      <c r="H3761"/>
      <c r="I3761"/>
      <c r="J3761"/>
      <c r="K3761"/>
      <c r="L3761"/>
    </row>
    <row r="3762" spans="8:12">
      <c r="H3762"/>
      <c r="I3762"/>
      <c r="J3762"/>
      <c r="K3762"/>
      <c r="L3762"/>
    </row>
    <row r="3763" spans="8:12">
      <c r="H3763"/>
      <c r="I3763"/>
      <c r="J3763"/>
      <c r="K3763"/>
      <c r="L3763"/>
    </row>
    <row r="3764" spans="8:12">
      <c r="H3764"/>
      <c r="I3764"/>
      <c r="J3764"/>
      <c r="K3764"/>
      <c r="L3764"/>
    </row>
    <row r="3765" spans="8:12">
      <c r="H3765"/>
      <c r="I3765"/>
      <c r="J3765"/>
      <c r="K3765"/>
      <c r="L3765"/>
    </row>
    <row r="3766" spans="8:12">
      <c r="H3766"/>
      <c r="I3766"/>
      <c r="J3766"/>
      <c r="K3766"/>
      <c r="L3766"/>
    </row>
    <row r="3767" spans="8:12">
      <c r="H3767"/>
      <c r="I3767"/>
      <c r="J3767"/>
      <c r="K3767"/>
      <c r="L3767"/>
    </row>
    <row r="3768" spans="8:12">
      <c r="H3768"/>
      <c r="I3768"/>
      <c r="J3768"/>
      <c r="K3768"/>
      <c r="L3768"/>
    </row>
    <row r="3769" spans="8:12">
      <c r="H3769"/>
      <c r="I3769"/>
      <c r="J3769"/>
      <c r="K3769"/>
      <c r="L3769"/>
    </row>
    <row r="3770" spans="8:12">
      <c r="H3770"/>
      <c r="I3770"/>
      <c r="J3770"/>
      <c r="K3770"/>
      <c r="L3770"/>
    </row>
    <row r="3771" spans="8:12">
      <c r="H3771"/>
      <c r="I3771"/>
      <c r="J3771"/>
      <c r="K3771"/>
      <c r="L3771"/>
    </row>
    <row r="3772" spans="8:12">
      <c r="H3772"/>
      <c r="I3772"/>
      <c r="J3772"/>
      <c r="K3772"/>
      <c r="L3772"/>
    </row>
    <row r="3773" spans="8:12">
      <c r="H3773"/>
      <c r="I3773"/>
      <c r="J3773"/>
      <c r="K3773"/>
      <c r="L3773"/>
    </row>
    <row r="3774" spans="8:12">
      <c r="H3774"/>
      <c r="I3774"/>
      <c r="J3774"/>
      <c r="K3774"/>
      <c r="L3774"/>
    </row>
    <row r="3775" spans="8:12">
      <c r="H3775"/>
      <c r="I3775"/>
      <c r="J3775"/>
      <c r="K3775"/>
      <c r="L3775"/>
    </row>
    <row r="3776" spans="8:12">
      <c r="H3776"/>
      <c r="I3776"/>
      <c r="J3776"/>
      <c r="K3776"/>
      <c r="L3776"/>
    </row>
    <row r="3777" spans="8:12">
      <c r="H3777"/>
      <c r="I3777"/>
      <c r="J3777"/>
      <c r="K3777"/>
      <c r="L3777"/>
    </row>
    <row r="3778" spans="8:12">
      <c r="H3778"/>
      <c r="I3778"/>
      <c r="J3778"/>
      <c r="K3778"/>
      <c r="L3778"/>
    </row>
    <row r="3779" spans="8:12">
      <c r="H3779"/>
      <c r="I3779"/>
      <c r="J3779"/>
      <c r="K3779"/>
      <c r="L3779"/>
    </row>
    <row r="3780" spans="8:12">
      <c r="H3780"/>
      <c r="I3780"/>
      <c r="J3780"/>
      <c r="K3780"/>
      <c r="L3780"/>
    </row>
    <row r="3781" spans="8:12">
      <c r="H3781"/>
      <c r="I3781"/>
      <c r="J3781"/>
      <c r="K3781"/>
      <c r="L3781"/>
    </row>
    <row r="3782" spans="8:12">
      <c r="H3782"/>
      <c r="I3782"/>
      <c r="J3782"/>
      <c r="K3782"/>
      <c r="L3782"/>
    </row>
    <row r="3783" spans="8:12">
      <c r="H3783"/>
      <c r="I3783"/>
      <c r="J3783"/>
      <c r="K3783"/>
      <c r="L3783"/>
    </row>
    <row r="3784" spans="8:12">
      <c r="H3784"/>
      <c r="I3784"/>
      <c r="J3784"/>
      <c r="K3784"/>
      <c r="L3784"/>
    </row>
    <row r="3785" spans="8:12">
      <c r="H3785"/>
      <c r="I3785"/>
      <c r="J3785"/>
      <c r="K3785"/>
      <c r="L3785"/>
    </row>
    <row r="3786" spans="8:12">
      <c r="H3786"/>
      <c r="I3786"/>
      <c r="J3786"/>
      <c r="K3786"/>
      <c r="L3786"/>
    </row>
    <row r="3787" spans="8:12">
      <c r="H3787"/>
      <c r="I3787"/>
      <c r="J3787"/>
      <c r="K3787"/>
      <c r="L3787"/>
    </row>
    <row r="3788" spans="8:12">
      <c r="H3788"/>
      <c r="I3788"/>
      <c r="J3788"/>
      <c r="K3788"/>
      <c r="L3788"/>
    </row>
    <row r="3789" spans="8:12">
      <c r="H3789"/>
      <c r="I3789"/>
      <c r="J3789"/>
      <c r="K3789"/>
      <c r="L3789"/>
    </row>
    <row r="3790" spans="8:12">
      <c r="H3790"/>
      <c r="I3790"/>
      <c r="J3790"/>
      <c r="K3790"/>
      <c r="L3790"/>
    </row>
    <row r="3791" spans="8:12">
      <c r="H3791"/>
      <c r="I3791"/>
      <c r="J3791"/>
      <c r="K3791"/>
      <c r="L3791"/>
    </row>
    <row r="3792" spans="8:12">
      <c r="H3792"/>
      <c r="I3792"/>
      <c r="J3792"/>
      <c r="K3792"/>
      <c r="L3792"/>
    </row>
    <row r="3793" spans="8:12">
      <c r="H3793"/>
      <c r="I3793"/>
      <c r="J3793"/>
      <c r="K3793"/>
      <c r="L3793"/>
    </row>
    <row r="3794" spans="8:12">
      <c r="H3794"/>
      <c r="I3794"/>
      <c r="J3794"/>
      <c r="K3794"/>
      <c r="L3794"/>
    </row>
    <row r="3795" spans="8:12">
      <c r="H3795"/>
      <c r="I3795"/>
      <c r="J3795"/>
      <c r="K3795"/>
      <c r="L3795"/>
    </row>
    <row r="3796" spans="8:12">
      <c r="H3796"/>
      <c r="I3796"/>
      <c r="J3796"/>
      <c r="K3796"/>
      <c r="L3796"/>
    </row>
    <row r="3797" spans="8:12">
      <c r="H3797"/>
      <c r="I3797"/>
      <c r="J3797"/>
      <c r="K3797"/>
      <c r="L3797"/>
    </row>
    <row r="3798" spans="8:12">
      <c r="H3798"/>
      <c r="I3798"/>
      <c r="J3798"/>
      <c r="K3798"/>
      <c r="L3798"/>
    </row>
    <row r="3799" spans="8:12">
      <c r="H3799"/>
      <c r="I3799"/>
      <c r="J3799"/>
      <c r="K3799"/>
      <c r="L3799"/>
    </row>
    <row r="3800" spans="8:12">
      <c r="H3800"/>
      <c r="I3800"/>
      <c r="J3800"/>
      <c r="K3800"/>
      <c r="L3800"/>
    </row>
    <row r="3801" spans="8:12">
      <c r="H3801"/>
      <c r="I3801"/>
      <c r="J3801"/>
      <c r="K3801"/>
      <c r="L3801"/>
    </row>
    <row r="3802" spans="8:12">
      <c r="H3802"/>
      <c r="I3802"/>
      <c r="J3802"/>
      <c r="K3802"/>
      <c r="L3802"/>
    </row>
    <row r="3803" spans="8:12">
      <c r="H3803"/>
      <c r="I3803"/>
      <c r="J3803"/>
      <c r="K3803"/>
      <c r="L3803"/>
    </row>
    <row r="3804" spans="8:12">
      <c r="H3804"/>
      <c r="I3804"/>
      <c r="J3804"/>
      <c r="K3804"/>
      <c r="L3804"/>
    </row>
    <row r="3805" spans="8:12">
      <c r="H3805"/>
      <c r="I3805"/>
      <c r="J3805"/>
      <c r="K3805"/>
      <c r="L3805"/>
    </row>
    <row r="3806" spans="8:12">
      <c r="H3806"/>
      <c r="I3806"/>
      <c r="J3806"/>
      <c r="K3806"/>
      <c r="L3806"/>
    </row>
    <row r="3807" spans="8:12">
      <c r="H3807"/>
      <c r="I3807"/>
      <c r="J3807"/>
      <c r="K3807"/>
      <c r="L3807"/>
    </row>
    <row r="3808" spans="8:12">
      <c r="H3808"/>
      <c r="I3808"/>
      <c r="J3808"/>
      <c r="K3808"/>
      <c r="L3808"/>
    </row>
    <row r="3809" spans="8:12">
      <c r="H3809"/>
      <c r="I3809"/>
      <c r="J3809"/>
      <c r="K3809"/>
      <c r="L3809"/>
    </row>
    <row r="3810" spans="8:12">
      <c r="H3810"/>
      <c r="I3810"/>
      <c r="J3810"/>
      <c r="K3810"/>
      <c r="L3810"/>
    </row>
    <row r="3811" spans="8:12">
      <c r="H3811"/>
      <c r="I3811"/>
      <c r="J3811"/>
      <c r="K3811"/>
      <c r="L3811"/>
    </row>
    <row r="3812" spans="8:12">
      <c r="H3812"/>
      <c r="I3812"/>
      <c r="J3812"/>
      <c r="K3812"/>
      <c r="L3812"/>
    </row>
    <row r="3813" spans="8:12">
      <c r="H3813"/>
      <c r="I3813"/>
      <c r="J3813"/>
      <c r="K3813"/>
      <c r="L3813"/>
    </row>
    <row r="3814" spans="8:12">
      <c r="H3814"/>
      <c r="I3814"/>
      <c r="J3814"/>
      <c r="K3814"/>
      <c r="L3814"/>
    </row>
    <row r="3815" spans="8:12">
      <c r="H3815"/>
      <c r="I3815"/>
      <c r="J3815"/>
      <c r="K3815"/>
      <c r="L3815"/>
    </row>
    <row r="3816" spans="8:12">
      <c r="H3816"/>
      <c r="I3816"/>
      <c r="J3816"/>
      <c r="K3816"/>
      <c r="L3816"/>
    </row>
    <row r="3817" spans="8:12">
      <c r="H3817"/>
      <c r="I3817"/>
      <c r="J3817"/>
      <c r="K3817"/>
      <c r="L3817"/>
    </row>
    <row r="3818" spans="8:12">
      <c r="H3818"/>
      <c r="I3818"/>
      <c r="J3818"/>
      <c r="K3818"/>
      <c r="L3818"/>
    </row>
    <row r="3819" spans="8:12">
      <c r="H3819"/>
      <c r="I3819"/>
      <c r="J3819"/>
      <c r="K3819"/>
      <c r="L3819"/>
    </row>
    <row r="3820" spans="8:12">
      <c r="H3820"/>
      <c r="I3820"/>
      <c r="J3820"/>
      <c r="K3820"/>
      <c r="L3820"/>
    </row>
    <row r="3821" spans="8:12">
      <c r="H3821"/>
      <c r="I3821"/>
      <c r="J3821"/>
      <c r="K3821"/>
      <c r="L3821"/>
    </row>
    <row r="3822" spans="8:12">
      <c r="H3822"/>
      <c r="I3822"/>
      <c r="J3822"/>
      <c r="K3822"/>
      <c r="L3822"/>
    </row>
    <row r="3823" spans="8:12">
      <c r="H3823"/>
      <c r="I3823"/>
      <c r="J3823"/>
      <c r="K3823"/>
      <c r="L3823"/>
    </row>
    <row r="3824" spans="8:12">
      <c r="H3824"/>
      <c r="I3824"/>
      <c r="J3824"/>
      <c r="K3824"/>
      <c r="L3824"/>
    </row>
    <row r="3825" spans="8:12">
      <c r="H3825"/>
      <c r="I3825"/>
      <c r="J3825"/>
      <c r="K3825"/>
      <c r="L3825"/>
    </row>
    <row r="3826" spans="8:12">
      <c r="H3826"/>
      <c r="I3826"/>
      <c r="J3826"/>
      <c r="K3826"/>
      <c r="L3826"/>
    </row>
    <row r="3827" spans="8:12">
      <c r="H3827"/>
      <c r="I3827"/>
      <c r="J3827"/>
      <c r="K3827"/>
      <c r="L3827"/>
    </row>
    <row r="3828" spans="8:12">
      <c r="H3828"/>
      <c r="I3828"/>
      <c r="J3828"/>
      <c r="K3828"/>
      <c r="L3828"/>
    </row>
    <row r="3829" spans="8:12">
      <c r="H3829"/>
      <c r="I3829"/>
      <c r="J3829"/>
      <c r="K3829"/>
      <c r="L3829"/>
    </row>
    <row r="3830" spans="8:12">
      <c r="H3830"/>
      <c r="I3830"/>
      <c r="J3830"/>
      <c r="K3830"/>
      <c r="L3830"/>
    </row>
    <row r="3831" spans="8:12">
      <c r="H3831"/>
      <c r="I3831"/>
      <c r="J3831"/>
      <c r="K3831"/>
      <c r="L3831"/>
    </row>
    <row r="3832" spans="8:12">
      <c r="H3832"/>
      <c r="I3832"/>
      <c r="J3832"/>
      <c r="K3832"/>
      <c r="L3832"/>
    </row>
    <row r="3833" spans="8:12">
      <c r="H3833"/>
      <c r="I3833"/>
      <c r="J3833"/>
      <c r="K3833"/>
      <c r="L3833"/>
    </row>
    <row r="3834" spans="8:12">
      <c r="H3834"/>
      <c r="I3834"/>
      <c r="J3834"/>
      <c r="K3834"/>
      <c r="L3834"/>
    </row>
    <row r="3835" spans="8:12">
      <c r="H3835"/>
      <c r="I3835"/>
      <c r="J3835"/>
      <c r="K3835"/>
      <c r="L3835"/>
    </row>
    <row r="3836" spans="8:12">
      <c r="H3836"/>
      <c r="I3836"/>
      <c r="J3836"/>
      <c r="K3836"/>
      <c r="L3836"/>
    </row>
    <row r="3837" spans="8:12">
      <c r="H3837"/>
      <c r="I3837"/>
      <c r="J3837"/>
      <c r="K3837"/>
      <c r="L3837"/>
    </row>
    <row r="3838" spans="8:12">
      <c r="H3838"/>
      <c r="I3838"/>
      <c r="J3838"/>
      <c r="K3838"/>
      <c r="L3838"/>
    </row>
    <row r="3839" spans="8:12">
      <c r="H3839"/>
      <c r="I3839"/>
      <c r="J3839"/>
      <c r="K3839"/>
      <c r="L3839"/>
    </row>
    <row r="3840" spans="8:12">
      <c r="H3840"/>
      <c r="I3840"/>
      <c r="J3840"/>
      <c r="K3840"/>
      <c r="L3840"/>
    </row>
    <row r="3841" spans="8:12">
      <c r="H3841"/>
      <c r="I3841"/>
      <c r="J3841"/>
      <c r="K3841"/>
      <c r="L3841"/>
    </row>
    <row r="3842" spans="8:12">
      <c r="H3842"/>
      <c r="I3842"/>
      <c r="J3842"/>
      <c r="K3842"/>
      <c r="L3842"/>
    </row>
    <row r="3843" spans="8:12">
      <c r="H3843"/>
      <c r="I3843"/>
      <c r="J3843"/>
      <c r="K3843"/>
      <c r="L3843"/>
    </row>
    <row r="3844" spans="8:12">
      <c r="H3844"/>
      <c r="I3844"/>
      <c r="J3844"/>
      <c r="K3844"/>
      <c r="L3844"/>
    </row>
    <row r="3845" spans="8:12">
      <c r="H3845"/>
      <c r="I3845"/>
      <c r="J3845"/>
      <c r="K3845"/>
      <c r="L3845"/>
    </row>
    <row r="3846" spans="8:12">
      <c r="H3846"/>
      <c r="I3846"/>
      <c r="J3846"/>
      <c r="K3846"/>
      <c r="L3846"/>
    </row>
    <row r="3847" spans="8:12">
      <c r="H3847"/>
      <c r="I3847"/>
      <c r="J3847"/>
      <c r="K3847"/>
      <c r="L3847"/>
    </row>
    <row r="3848" spans="8:12">
      <c r="H3848"/>
      <c r="I3848"/>
      <c r="J3848"/>
      <c r="K3848"/>
      <c r="L3848"/>
    </row>
    <row r="3849" spans="8:12">
      <c r="H3849"/>
      <c r="I3849"/>
      <c r="J3849"/>
      <c r="K3849"/>
      <c r="L3849"/>
    </row>
    <row r="3850" spans="8:12">
      <c r="H3850"/>
      <c r="I3850"/>
      <c r="J3850"/>
      <c r="K3850"/>
      <c r="L3850"/>
    </row>
    <row r="3851" spans="8:12">
      <c r="H3851"/>
      <c r="I3851"/>
      <c r="J3851"/>
      <c r="K3851"/>
      <c r="L3851"/>
    </row>
    <row r="3852" spans="8:12">
      <c r="H3852"/>
      <c r="I3852"/>
      <c r="J3852"/>
      <c r="K3852"/>
      <c r="L3852"/>
    </row>
    <row r="3853" spans="8:12">
      <c r="H3853"/>
      <c r="I3853"/>
      <c r="J3853"/>
      <c r="K3853"/>
      <c r="L3853"/>
    </row>
    <row r="3854" spans="8:12">
      <c r="H3854"/>
      <c r="I3854"/>
      <c r="J3854"/>
      <c r="K3854"/>
      <c r="L3854"/>
    </row>
    <row r="3855" spans="8:12">
      <c r="H3855"/>
      <c r="I3855"/>
      <c r="J3855"/>
      <c r="K3855"/>
      <c r="L3855"/>
    </row>
    <row r="3856" spans="8:12">
      <c r="H3856"/>
      <c r="I3856"/>
      <c r="J3856"/>
      <c r="K3856"/>
      <c r="L3856"/>
    </row>
    <row r="3857" spans="8:12">
      <c r="H3857"/>
      <c r="I3857"/>
      <c r="J3857"/>
      <c r="K3857"/>
      <c r="L3857"/>
    </row>
    <row r="3858" spans="8:12">
      <c r="H3858"/>
      <c r="I3858"/>
      <c r="J3858"/>
      <c r="K3858"/>
      <c r="L3858"/>
    </row>
    <row r="3859" spans="8:12">
      <c r="H3859"/>
      <c r="I3859"/>
      <c r="J3859"/>
      <c r="K3859"/>
      <c r="L3859"/>
    </row>
    <row r="3860" spans="8:12">
      <c r="H3860"/>
      <c r="I3860"/>
      <c r="J3860"/>
      <c r="K3860"/>
      <c r="L3860"/>
    </row>
    <row r="3861" spans="8:12">
      <c r="H3861"/>
      <c r="I3861"/>
      <c r="J3861"/>
      <c r="K3861"/>
      <c r="L3861"/>
    </row>
    <row r="3862" spans="8:12">
      <c r="H3862"/>
      <c r="I3862"/>
      <c r="J3862"/>
      <c r="K3862"/>
      <c r="L3862"/>
    </row>
    <row r="3863" spans="8:12">
      <c r="H3863"/>
      <c r="I3863"/>
      <c r="J3863"/>
      <c r="K3863"/>
      <c r="L3863"/>
    </row>
    <row r="3864" spans="8:12">
      <c r="H3864"/>
      <c r="I3864"/>
      <c r="J3864"/>
      <c r="K3864"/>
      <c r="L3864"/>
    </row>
    <row r="3865" spans="8:12">
      <c r="H3865"/>
      <c r="I3865"/>
      <c r="J3865"/>
      <c r="K3865"/>
      <c r="L3865"/>
    </row>
    <row r="3866" spans="8:12">
      <c r="H3866"/>
      <c r="I3866"/>
      <c r="J3866"/>
      <c r="K3866"/>
      <c r="L3866"/>
    </row>
    <row r="3867" spans="8:12">
      <c r="H3867"/>
      <c r="I3867"/>
      <c r="J3867"/>
      <c r="K3867"/>
      <c r="L3867"/>
    </row>
    <row r="3868" spans="8:12">
      <c r="H3868"/>
      <c r="I3868"/>
      <c r="J3868"/>
      <c r="K3868"/>
      <c r="L3868"/>
    </row>
    <row r="3869" spans="8:12">
      <c r="H3869"/>
      <c r="I3869"/>
      <c r="J3869"/>
      <c r="K3869"/>
      <c r="L3869"/>
    </row>
    <row r="3870" spans="8:12">
      <c r="H3870"/>
      <c r="I3870"/>
      <c r="J3870"/>
      <c r="K3870"/>
      <c r="L3870"/>
    </row>
    <row r="3871" spans="8:12">
      <c r="H3871"/>
      <c r="I3871"/>
      <c r="J3871"/>
      <c r="K3871"/>
      <c r="L3871"/>
    </row>
    <row r="3872" spans="8:12">
      <c r="H3872"/>
      <c r="I3872"/>
      <c r="J3872"/>
      <c r="K3872"/>
      <c r="L3872"/>
    </row>
    <row r="3873" spans="8:12">
      <c r="H3873"/>
      <c r="I3873"/>
      <c r="J3873"/>
      <c r="K3873"/>
      <c r="L3873"/>
    </row>
    <row r="3874" spans="8:12">
      <c r="H3874"/>
      <c r="I3874"/>
      <c r="J3874"/>
      <c r="K3874"/>
      <c r="L3874"/>
    </row>
    <row r="3875" spans="8:12">
      <c r="H3875"/>
      <c r="I3875"/>
      <c r="J3875"/>
      <c r="K3875"/>
      <c r="L3875"/>
    </row>
    <row r="3876" spans="8:12">
      <c r="H3876"/>
      <c r="I3876"/>
      <c r="J3876"/>
      <c r="K3876"/>
      <c r="L3876"/>
    </row>
    <row r="3877" spans="8:12">
      <c r="H3877"/>
      <c r="I3877"/>
      <c r="J3877"/>
      <c r="K3877"/>
      <c r="L3877"/>
    </row>
    <row r="3878" spans="8:12">
      <c r="H3878"/>
      <c r="I3878"/>
      <c r="J3878"/>
      <c r="K3878"/>
      <c r="L3878"/>
    </row>
    <row r="3879" spans="8:12">
      <c r="H3879"/>
      <c r="I3879"/>
      <c r="J3879"/>
      <c r="K3879"/>
      <c r="L3879"/>
    </row>
    <row r="3880" spans="8:12">
      <c r="H3880"/>
      <c r="I3880"/>
      <c r="J3880"/>
      <c r="K3880"/>
      <c r="L3880"/>
    </row>
    <row r="3881" spans="8:12">
      <c r="H3881"/>
      <c r="I3881"/>
      <c r="J3881"/>
      <c r="K3881"/>
      <c r="L3881"/>
    </row>
    <row r="3882" spans="8:12">
      <c r="H3882"/>
      <c r="I3882"/>
      <c r="J3882"/>
      <c r="K3882"/>
      <c r="L3882"/>
    </row>
    <row r="3883" spans="8:12">
      <c r="H3883"/>
      <c r="I3883"/>
      <c r="J3883"/>
      <c r="K3883"/>
      <c r="L3883"/>
    </row>
    <row r="3884" spans="8:12">
      <c r="H3884"/>
      <c r="I3884"/>
      <c r="J3884"/>
      <c r="K3884"/>
      <c r="L3884"/>
    </row>
    <row r="3885" spans="8:12">
      <c r="H3885"/>
      <c r="I3885"/>
      <c r="J3885"/>
      <c r="K3885"/>
      <c r="L3885"/>
    </row>
    <row r="3886" spans="8:12">
      <c r="H3886"/>
      <c r="I3886"/>
      <c r="J3886"/>
      <c r="K3886"/>
      <c r="L3886"/>
    </row>
    <row r="3887" spans="8:12">
      <c r="H3887"/>
      <c r="I3887"/>
      <c r="J3887"/>
      <c r="K3887"/>
      <c r="L3887"/>
    </row>
    <row r="3888" spans="8:12">
      <c r="H3888"/>
      <c r="I3888"/>
      <c r="J3888"/>
      <c r="K3888"/>
      <c r="L3888"/>
    </row>
    <row r="3889" spans="8:12">
      <c r="H3889"/>
      <c r="I3889"/>
      <c r="J3889"/>
      <c r="K3889"/>
      <c r="L3889"/>
    </row>
    <row r="3890" spans="8:12">
      <c r="H3890"/>
      <c r="I3890"/>
      <c r="J3890"/>
      <c r="K3890"/>
      <c r="L3890"/>
    </row>
    <row r="3891" spans="8:12">
      <c r="H3891"/>
      <c r="I3891"/>
      <c r="J3891"/>
      <c r="K3891"/>
      <c r="L3891"/>
    </row>
    <row r="3892" spans="8:12">
      <c r="H3892"/>
      <c r="I3892"/>
      <c r="J3892"/>
      <c r="K3892"/>
      <c r="L3892"/>
    </row>
    <row r="3893" spans="8:12">
      <c r="H3893"/>
      <c r="I3893"/>
      <c r="J3893"/>
      <c r="K3893"/>
      <c r="L3893"/>
    </row>
    <row r="3894" spans="8:12">
      <c r="H3894"/>
      <c r="I3894"/>
      <c r="J3894"/>
      <c r="K3894"/>
      <c r="L3894"/>
    </row>
    <row r="3895" spans="8:12">
      <c r="H3895"/>
      <c r="I3895"/>
      <c r="J3895"/>
      <c r="K3895"/>
      <c r="L3895"/>
    </row>
    <row r="3896" spans="8:12">
      <c r="H3896"/>
      <c r="I3896"/>
      <c r="J3896"/>
      <c r="K3896"/>
      <c r="L3896"/>
    </row>
    <row r="3897" spans="8:12">
      <c r="H3897"/>
      <c r="I3897"/>
      <c r="J3897"/>
      <c r="K3897"/>
      <c r="L3897"/>
    </row>
    <row r="3898" spans="8:12">
      <c r="H3898"/>
      <c r="I3898"/>
      <c r="J3898"/>
      <c r="K3898"/>
      <c r="L3898"/>
    </row>
    <row r="3899" spans="8:12">
      <c r="H3899"/>
      <c r="I3899"/>
      <c r="J3899"/>
      <c r="K3899"/>
      <c r="L3899"/>
    </row>
    <row r="3900" spans="8:12">
      <c r="H3900"/>
      <c r="I3900"/>
      <c r="J3900"/>
      <c r="K3900"/>
      <c r="L3900"/>
    </row>
    <row r="3901" spans="8:12">
      <c r="H3901"/>
      <c r="I3901"/>
      <c r="J3901"/>
      <c r="K3901"/>
      <c r="L3901"/>
    </row>
    <row r="3902" spans="8:12">
      <c r="H3902"/>
      <c r="I3902"/>
      <c r="J3902"/>
      <c r="K3902"/>
      <c r="L3902"/>
    </row>
    <row r="3903" spans="8:12">
      <c r="H3903"/>
      <c r="I3903"/>
      <c r="J3903"/>
      <c r="K3903"/>
      <c r="L3903"/>
    </row>
    <row r="3904" spans="8:12">
      <c r="H3904"/>
      <c r="I3904"/>
      <c r="J3904"/>
      <c r="K3904"/>
      <c r="L3904"/>
    </row>
    <row r="3905" spans="8:12">
      <c r="H3905"/>
      <c r="I3905"/>
      <c r="J3905"/>
      <c r="K3905"/>
      <c r="L3905"/>
    </row>
    <row r="3906" spans="8:12">
      <c r="H3906"/>
      <c r="I3906"/>
      <c r="J3906"/>
      <c r="K3906"/>
      <c r="L3906"/>
    </row>
    <row r="3907" spans="8:12">
      <c r="H3907"/>
      <c r="I3907"/>
      <c r="J3907"/>
      <c r="K3907"/>
      <c r="L3907"/>
    </row>
    <row r="3908" spans="8:12">
      <c r="H3908"/>
      <c r="I3908"/>
      <c r="J3908"/>
      <c r="K3908"/>
      <c r="L3908"/>
    </row>
    <row r="3909" spans="8:12">
      <c r="H3909"/>
      <c r="I3909"/>
      <c r="J3909"/>
      <c r="K3909"/>
      <c r="L3909"/>
    </row>
    <row r="3910" spans="8:12">
      <c r="H3910"/>
      <c r="I3910"/>
      <c r="J3910"/>
      <c r="K3910"/>
      <c r="L3910"/>
    </row>
    <row r="3911" spans="8:12">
      <c r="H3911"/>
      <c r="I3911"/>
      <c r="J3911"/>
      <c r="K3911"/>
      <c r="L3911"/>
    </row>
    <row r="3912" spans="8:12">
      <c r="H3912"/>
      <c r="I3912"/>
      <c r="J3912"/>
      <c r="K3912"/>
      <c r="L3912"/>
    </row>
    <row r="3913" spans="8:12">
      <c r="H3913"/>
      <c r="I3913"/>
      <c r="J3913"/>
      <c r="K3913"/>
      <c r="L3913"/>
    </row>
    <row r="3914" spans="8:12">
      <c r="H3914"/>
      <c r="I3914"/>
      <c r="J3914"/>
      <c r="K3914"/>
      <c r="L3914"/>
    </row>
    <row r="3915" spans="8:12">
      <c r="H3915"/>
      <c r="I3915"/>
      <c r="J3915"/>
      <c r="K3915"/>
      <c r="L3915"/>
    </row>
    <row r="3916" spans="8:12">
      <c r="H3916"/>
      <c r="I3916"/>
      <c r="J3916"/>
      <c r="K3916"/>
      <c r="L3916"/>
    </row>
    <row r="3917" spans="8:12">
      <c r="H3917"/>
      <c r="I3917"/>
      <c r="J3917"/>
      <c r="K3917"/>
      <c r="L3917"/>
    </row>
    <row r="3918" spans="8:12">
      <c r="H3918"/>
      <c r="I3918"/>
      <c r="J3918"/>
      <c r="K3918"/>
      <c r="L3918"/>
    </row>
    <row r="3919" spans="8:12">
      <c r="H3919"/>
      <c r="I3919"/>
      <c r="J3919"/>
      <c r="K3919"/>
      <c r="L3919"/>
    </row>
    <row r="3920" spans="8:12">
      <c r="H3920"/>
      <c r="I3920"/>
      <c r="J3920"/>
      <c r="K3920"/>
      <c r="L3920"/>
    </row>
    <row r="3921" spans="8:12">
      <c r="H3921"/>
      <c r="I3921"/>
      <c r="J3921"/>
      <c r="K3921"/>
      <c r="L3921"/>
    </row>
    <row r="3922" spans="8:12">
      <c r="H3922"/>
      <c r="I3922"/>
      <c r="J3922"/>
      <c r="K3922"/>
      <c r="L3922"/>
    </row>
    <row r="3923" spans="8:12">
      <c r="H3923"/>
      <c r="I3923"/>
      <c r="J3923"/>
      <c r="K3923"/>
      <c r="L3923"/>
    </row>
    <row r="3924" spans="8:12">
      <c r="H3924"/>
      <c r="I3924"/>
      <c r="J3924"/>
      <c r="K3924"/>
      <c r="L3924"/>
    </row>
    <row r="3925" spans="8:12">
      <c r="H3925"/>
      <c r="I3925"/>
      <c r="J3925"/>
      <c r="K3925"/>
      <c r="L3925"/>
    </row>
    <row r="3926" spans="8:12">
      <c r="H3926"/>
      <c r="I3926"/>
      <c r="J3926"/>
      <c r="K3926"/>
      <c r="L3926"/>
    </row>
    <row r="3927" spans="8:12">
      <c r="H3927"/>
      <c r="I3927"/>
      <c r="J3927"/>
      <c r="K3927"/>
      <c r="L3927"/>
    </row>
    <row r="3928" spans="8:12">
      <c r="H3928"/>
      <c r="I3928"/>
      <c r="J3928"/>
      <c r="K3928"/>
      <c r="L3928"/>
    </row>
    <row r="3929" spans="8:12">
      <c r="H3929"/>
      <c r="I3929"/>
      <c r="J3929"/>
      <c r="K3929"/>
      <c r="L3929"/>
    </row>
    <row r="3930" spans="8:12">
      <c r="H3930"/>
      <c r="I3930"/>
      <c r="J3930"/>
      <c r="K3930"/>
      <c r="L3930"/>
    </row>
    <row r="3931" spans="8:12">
      <c r="H3931"/>
      <c r="I3931"/>
      <c r="J3931"/>
      <c r="K3931"/>
      <c r="L3931"/>
    </row>
    <row r="3932" spans="8:12">
      <c r="H3932"/>
      <c r="I3932"/>
      <c r="J3932"/>
      <c r="K3932"/>
      <c r="L3932"/>
    </row>
    <row r="3933" spans="8:12">
      <c r="H3933"/>
      <c r="I3933"/>
      <c r="J3933"/>
      <c r="K3933"/>
      <c r="L3933"/>
    </row>
    <row r="3934" spans="8:12">
      <c r="H3934"/>
      <c r="I3934"/>
      <c r="J3934"/>
      <c r="K3934"/>
      <c r="L3934"/>
    </row>
    <row r="3935" spans="8:12">
      <c r="H3935"/>
      <c r="I3935"/>
      <c r="J3935"/>
      <c r="K3935"/>
      <c r="L3935"/>
    </row>
    <row r="3936" spans="8:12">
      <c r="H3936"/>
      <c r="I3936"/>
      <c r="J3936"/>
      <c r="K3936"/>
      <c r="L3936"/>
    </row>
    <row r="3937" spans="8:12">
      <c r="H3937"/>
      <c r="I3937"/>
      <c r="J3937"/>
      <c r="K3937"/>
      <c r="L3937"/>
    </row>
    <row r="3938" spans="8:12">
      <c r="H3938"/>
      <c r="I3938"/>
      <c r="J3938"/>
      <c r="K3938"/>
      <c r="L3938"/>
    </row>
    <row r="3939" spans="8:12">
      <c r="H3939"/>
      <c r="I3939"/>
      <c r="J3939"/>
      <c r="K3939"/>
      <c r="L3939"/>
    </row>
    <row r="3940" spans="8:12">
      <c r="H3940"/>
      <c r="I3940"/>
      <c r="J3940"/>
      <c r="K3940"/>
      <c r="L3940"/>
    </row>
    <row r="3941" spans="8:12">
      <c r="H3941"/>
      <c r="I3941"/>
      <c r="J3941"/>
      <c r="K3941"/>
      <c r="L3941"/>
    </row>
    <row r="3942" spans="8:12">
      <c r="H3942"/>
      <c r="I3942"/>
      <c r="J3942"/>
      <c r="K3942"/>
      <c r="L3942"/>
    </row>
    <row r="3943" spans="8:12">
      <c r="H3943"/>
      <c r="I3943"/>
      <c r="J3943"/>
      <c r="K3943"/>
      <c r="L3943"/>
    </row>
    <row r="3944" spans="8:12">
      <c r="H3944"/>
      <c r="I3944"/>
      <c r="J3944"/>
      <c r="K3944"/>
      <c r="L3944"/>
    </row>
    <row r="3945" spans="8:12">
      <c r="H3945"/>
      <c r="I3945"/>
      <c r="J3945"/>
      <c r="K3945"/>
      <c r="L3945"/>
    </row>
    <row r="3946" spans="8:12">
      <c r="H3946"/>
      <c r="I3946"/>
      <c r="J3946"/>
      <c r="K3946"/>
      <c r="L3946"/>
    </row>
    <row r="3947" spans="8:12">
      <c r="H3947"/>
      <c r="I3947"/>
      <c r="J3947"/>
      <c r="K3947"/>
      <c r="L3947"/>
    </row>
    <row r="3948" spans="8:12">
      <c r="H3948"/>
      <c r="I3948"/>
      <c r="J3948"/>
      <c r="K3948"/>
      <c r="L3948"/>
    </row>
    <row r="3949" spans="8:12">
      <c r="H3949"/>
      <c r="I3949"/>
      <c r="J3949"/>
      <c r="K3949"/>
      <c r="L3949"/>
    </row>
    <row r="3950" spans="8:12">
      <c r="H3950"/>
      <c r="I3950"/>
      <c r="J3950"/>
      <c r="K3950"/>
      <c r="L3950"/>
    </row>
    <row r="3951" spans="8:12">
      <c r="H3951"/>
      <c r="I3951"/>
      <c r="J3951"/>
      <c r="K3951"/>
      <c r="L3951"/>
    </row>
    <row r="3952" spans="8:12">
      <c r="H3952"/>
      <c r="I3952"/>
      <c r="J3952"/>
      <c r="K3952"/>
      <c r="L3952"/>
    </row>
    <row r="3953" spans="8:12">
      <c r="H3953"/>
      <c r="I3953"/>
      <c r="J3953"/>
      <c r="K3953"/>
      <c r="L3953"/>
    </row>
    <row r="3954" spans="8:12">
      <c r="H3954"/>
      <c r="I3954"/>
      <c r="J3954"/>
      <c r="K3954"/>
      <c r="L3954"/>
    </row>
    <row r="3955" spans="8:12">
      <c r="H3955"/>
      <c r="I3955"/>
      <c r="J3955"/>
      <c r="K3955"/>
      <c r="L3955"/>
    </row>
    <row r="3956" spans="8:12">
      <c r="H3956"/>
      <c r="I3956"/>
      <c r="J3956"/>
      <c r="K3956"/>
      <c r="L3956"/>
    </row>
    <row r="3957" spans="8:12">
      <c r="H3957"/>
      <c r="I3957"/>
      <c r="J3957"/>
      <c r="K3957"/>
      <c r="L3957"/>
    </row>
    <row r="3958" spans="8:12">
      <c r="H3958"/>
      <c r="I3958"/>
      <c r="J3958"/>
      <c r="K3958"/>
      <c r="L3958"/>
    </row>
    <row r="3959" spans="8:12">
      <c r="H3959"/>
      <c r="I3959"/>
      <c r="J3959"/>
      <c r="K3959"/>
      <c r="L3959"/>
    </row>
    <row r="3960" spans="8:12">
      <c r="H3960"/>
      <c r="I3960"/>
      <c r="J3960"/>
      <c r="K3960"/>
      <c r="L3960"/>
    </row>
    <row r="3961" spans="8:12">
      <c r="H3961"/>
      <c r="I3961"/>
      <c r="J3961"/>
      <c r="K3961"/>
      <c r="L3961"/>
    </row>
    <row r="3962" spans="8:12">
      <c r="H3962"/>
      <c r="I3962"/>
      <c r="J3962"/>
      <c r="K3962"/>
      <c r="L3962"/>
    </row>
    <row r="3963" spans="8:12">
      <c r="H3963"/>
      <c r="I3963"/>
      <c r="J3963"/>
      <c r="K3963"/>
      <c r="L3963"/>
    </row>
    <row r="3964" spans="8:12">
      <c r="H3964"/>
      <c r="I3964"/>
      <c r="J3964"/>
      <c r="K3964"/>
      <c r="L3964"/>
    </row>
    <row r="3965" spans="8:12">
      <c r="H3965"/>
      <c r="I3965"/>
      <c r="J3965"/>
      <c r="K3965"/>
      <c r="L3965"/>
    </row>
    <row r="3966" spans="8:12">
      <c r="H3966"/>
      <c r="I3966"/>
      <c r="J3966"/>
      <c r="K3966"/>
      <c r="L3966"/>
    </row>
    <row r="3967" spans="8:12">
      <c r="H3967"/>
      <c r="I3967"/>
      <c r="J3967"/>
      <c r="K3967"/>
      <c r="L3967"/>
    </row>
    <row r="3968" spans="8:12">
      <c r="H3968"/>
      <c r="I3968"/>
      <c r="J3968"/>
      <c r="K3968"/>
      <c r="L3968"/>
    </row>
    <row r="3969" spans="8:12">
      <c r="H3969"/>
      <c r="I3969"/>
      <c r="J3969"/>
      <c r="K3969"/>
      <c r="L3969"/>
    </row>
    <row r="3970" spans="8:12">
      <c r="H3970"/>
      <c r="I3970"/>
      <c r="J3970"/>
      <c r="K3970"/>
      <c r="L3970"/>
    </row>
    <row r="3971" spans="8:12">
      <c r="H3971"/>
      <c r="I3971"/>
      <c r="J3971"/>
      <c r="K3971"/>
      <c r="L3971"/>
    </row>
    <row r="3972" spans="8:12">
      <c r="H3972"/>
      <c r="I3972"/>
      <c r="J3972"/>
      <c r="K3972"/>
      <c r="L3972"/>
    </row>
    <row r="3973" spans="8:12">
      <c r="H3973"/>
      <c r="I3973"/>
      <c r="J3973"/>
      <c r="K3973"/>
      <c r="L3973"/>
    </row>
    <row r="3974" spans="8:12">
      <c r="H3974"/>
      <c r="I3974"/>
      <c r="J3974"/>
      <c r="K3974"/>
      <c r="L3974"/>
    </row>
    <row r="3975" spans="8:12">
      <c r="H3975"/>
      <c r="I3975"/>
      <c r="J3975"/>
      <c r="K3975"/>
      <c r="L3975"/>
    </row>
    <row r="3976" spans="8:12">
      <c r="H3976"/>
      <c r="I3976"/>
      <c r="J3976"/>
      <c r="K3976"/>
      <c r="L3976"/>
    </row>
    <row r="3977" spans="8:12">
      <c r="H3977"/>
      <c r="I3977"/>
      <c r="J3977"/>
      <c r="K3977"/>
      <c r="L3977"/>
    </row>
    <row r="3978" spans="8:12">
      <c r="H3978"/>
      <c r="I3978"/>
      <c r="J3978"/>
      <c r="K3978"/>
      <c r="L3978"/>
    </row>
    <row r="3979" spans="8:12">
      <c r="H3979"/>
      <c r="I3979"/>
      <c r="J3979"/>
      <c r="K3979"/>
      <c r="L3979"/>
    </row>
    <row r="3980" spans="8:12">
      <c r="H3980"/>
      <c r="I3980"/>
      <c r="J3980"/>
      <c r="K3980"/>
      <c r="L3980"/>
    </row>
    <row r="3981" spans="8:12">
      <c r="H3981"/>
      <c r="I3981"/>
      <c r="J3981"/>
      <c r="K3981"/>
      <c r="L3981"/>
    </row>
    <row r="3982" spans="8:12">
      <c r="H3982"/>
      <c r="I3982"/>
      <c r="J3982"/>
      <c r="K3982"/>
      <c r="L3982"/>
    </row>
    <row r="3983" spans="8:12">
      <c r="H3983"/>
      <c r="I3983"/>
      <c r="J3983"/>
      <c r="K3983"/>
      <c r="L3983"/>
    </row>
    <row r="3984" spans="8:12">
      <c r="H3984"/>
      <c r="I3984"/>
      <c r="J3984"/>
      <c r="K3984"/>
      <c r="L3984"/>
    </row>
    <row r="3985" spans="8:12">
      <c r="H3985"/>
      <c r="I3985"/>
      <c r="J3985"/>
      <c r="K3985"/>
      <c r="L3985"/>
    </row>
    <row r="3986" spans="8:12">
      <c r="H3986"/>
      <c r="I3986"/>
      <c r="J3986"/>
      <c r="K3986"/>
      <c r="L3986"/>
    </row>
    <row r="3987" spans="8:12">
      <c r="H3987"/>
      <c r="I3987"/>
      <c r="J3987"/>
      <c r="K3987"/>
      <c r="L3987"/>
    </row>
    <row r="3988" spans="8:12">
      <c r="H3988"/>
      <c r="I3988"/>
      <c r="J3988"/>
      <c r="K3988"/>
      <c r="L3988"/>
    </row>
    <row r="3989" spans="8:12">
      <c r="H3989"/>
      <c r="I3989"/>
      <c r="J3989"/>
      <c r="K3989"/>
      <c r="L3989"/>
    </row>
    <row r="3990" spans="8:12">
      <c r="H3990"/>
      <c r="I3990"/>
      <c r="J3990"/>
      <c r="K3990"/>
      <c r="L3990"/>
    </row>
    <row r="3991" spans="8:12">
      <c r="H3991"/>
      <c r="I3991"/>
      <c r="J3991"/>
      <c r="K3991"/>
      <c r="L3991"/>
    </row>
    <row r="3992" spans="8:12">
      <c r="H3992"/>
      <c r="I3992"/>
      <c r="J3992"/>
      <c r="K3992"/>
      <c r="L3992"/>
    </row>
    <row r="3993" spans="8:12">
      <c r="H3993"/>
      <c r="I3993"/>
      <c r="J3993"/>
      <c r="K3993"/>
      <c r="L3993"/>
    </row>
    <row r="3994" spans="8:12">
      <c r="H3994"/>
      <c r="I3994"/>
      <c r="J3994"/>
      <c r="K3994"/>
      <c r="L3994"/>
    </row>
    <row r="3995" spans="8:12">
      <c r="H3995"/>
      <c r="I3995"/>
      <c r="J3995"/>
      <c r="K3995"/>
      <c r="L3995"/>
    </row>
    <row r="3996" spans="8:12">
      <c r="H3996"/>
      <c r="I3996"/>
      <c r="J3996"/>
      <c r="K3996"/>
      <c r="L3996"/>
    </row>
    <row r="3997" spans="8:12">
      <c r="H3997"/>
      <c r="I3997"/>
      <c r="J3997"/>
      <c r="K3997"/>
      <c r="L3997"/>
    </row>
    <row r="3998" spans="8:12">
      <c r="H3998"/>
      <c r="I3998"/>
      <c r="J3998"/>
      <c r="K3998"/>
      <c r="L3998"/>
    </row>
    <row r="3999" spans="8:12">
      <c r="H3999"/>
      <c r="I3999"/>
      <c r="J3999"/>
      <c r="K3999"/>
      <c r="L3999"/>
    </row>
    <row r="4000" spans="8:12">
      <c r="H4000"/>
      <c r="I4000"/>
      <c r="J4000"/>
      <c r="K4000"/>
      <c r="L4000"/>
    </row>
    <row r="4001" spans="8:12">
      <c r="H4001"/>
      <c r="I4001"/>
      <c r="J4001"/>
      <c r="K4001"/>
      <c r="L4001"/>
    </row>
    <row r="4002" spans="8:12">
      <c r="H4002"/>
      <c r="I4002"/>
      <c r="J4002"/>
      <c r="K4002"/>
      <c r="L4002"/>
    </row>
    <row r="4003" spans="8:12">
      <c r="H4003"/>
      <c r="I4003"/>
      <c r="J4003"/>
      <c r="K4003"/>
      <c r="L4003"/>
    </row>
    <row r="4004" spans="8:12">
      <c r="H4004"/>
      <c r="I4004"/>
      <c r="J4004"/>
      <c r="K4004"/>
      <c r="L4004"/>
    </row>
    <row r="4005" spans="8:12">
      <c r="H4005"/>
      <c r="I4005"/>
      <c r="J4005"/>
      <c r="K4005"/>
      <c r="L4005"/>
    </row>
    <row r="4006" spans="8:12">
      <c r="H4006"/>
      <c r="I4006"/>
      <c r="J4006"/>
      <c r="K4006"/>
      <c r="L4006"/>
    </row>
    <row r="4007" spans="8:12">
      <c r="H4007"/>
      <c r="I4007"/>
      <c r="J4007"/>
      <c r="K4007"/>
      <c r="L4007"/>
    </row>
    <row r="4008" spans="8:12">
      <c r="H4008"/>
      <c r="I4008"/>
      <c r="J4008"/>
      <c r="K4008"/>
      <c r="L4008"/>
    </row>
    <row r="4009" spans="8:12">
      <c r="H4009"/>
      <c r="I4009"/>
      <c r="J4009"/>
      <c r="K4009"/>
      <c r="L4009"/>
    </row>
    <row r="4010" spans="8:12">
      <c r="H4010"/>
      <c r="I4010"/>
      <c r="J4010"/>
      <c r="K4010"/>
      <c r="L4010"/>
    </row>
    <row r="4011" spans="8:12">
      <c r="H4011"/>
      <c r="I4011"/>
      <c r="J4011"/>
      <c r="K4011"/>
      <c r="L4011"/>
    </row>
    <row r="4012" spans="8:12">
      <c r="H4012"/>
      <c r="I4012"/>
      <c r="J4012"/>
      <c r="K4012"/>
      <c r="L4012"/>
    </row>
    <row r="4013" spans="8:12">
      <c r="H4013"/>
      <c r="I4013"/>
      <c r="J4013"/>
      <c r="K4013"/>
      <c r="L4013"/>
    </row>
    <row r="4014" spans="8:12">
      <c r="H4014"/>
      <c r="I4014"/>
      <c r="J4014"/>
      <c r="K4014"/>
      <c r="L4014"/>
    </row>
    <row r="4015" spans="8:12">
      <c r="H4015"/>
      <c r="I4015"/>
      <c r="J4015"/>
      <c r="K4015"/>
      <c r="L4015"/>
    </row>
    <row r="4016" spans="8:12">
      <c r="H4016"/>
      <c r="I4016"/>
      <c r="J4016"/>
      <c r="K4016"/>
      <c r="L4016"/>
    </row>
    <row r="4017" spans="8:12">
      <c r="H4017"/>
      <c r="I4017"/>
      <c r="J4017"/>
      <c r="K4017"/>
      <c r="L4017"/>
    </row>
    <row r="4018" spans="8:12">
      <c r="H4018"/>
      <c r="I4018"/>
      <c r="J4018"/>
      <c r="K4018"/>
      <c r="L4018"/>
    </row>
    <row r="4019" spans="8:12">
      <c r="H4019"/>
      <c r="I4019"/>
      <c r="J4019"/>
      <c r="K4019"/>
      <c r="L4019"/>
    </row>
    <row r="4020" spans="8:12">
      <c r="H4020"/>
      <c r="I4020"/>
      <c r="J4020"/>
      <c r="K4020"/>
      <c r="L4020"/>
    </row>
    <row r="4021" spans="8:12">
      <c r="H4021"/>
      <c r="I4021"/>
      <c r="J4021"/>
      <c r="K4021"/>
      <c r="L4021"/>
    </row>
    <row r="4022" spans="8:12">
      <c r="H4022"/>
      <c r="I4022"/>
      <c r="J4022"/>
      <c r="K4022"/>
      <c r="L4022"/>
    </row>
    <row r="4023" spans="8:12">
      <c r="H4023"/>
      <c r="I4023"/>
      <c r="J4023"/>
      <c r="K4023"/>
      <c r="L4023"/>
    </row>
    <row r="4024" spans="8:12">
      <c r="H4024"/>
      <c r="I4024"/>
      <c r="J4024"/>
      <c r="K4024"/>
      <c r="L4024"/>
    </row>
    <row r="4025" spans="8:12">
      <c r="H4025"/>
      <c r="I4025"/>
      <c r="J4025"/>
      <c r="K4025"/>
      <c r="L4025"/>
    </row>
    <row r="4026" spans="8:12">
      <c r="H4026"/>
      <c r="I4026"/>
      <c r="J4026"/>
      <c r="K4026"/>
      <c r="L4026"/>
    </row>
    <row r="4027" spans="8:12">
      <c r="H4027"/>
      <c r="I4027"/>
      <c r="J4027"/>
      <c r="K4027"/>
      <c r="L4027"/>
    </row>
    <row r="4028" spans="8:12">
      <c r="H4028"/>
      <c r="I4028"/>
      <c r="J4028"/>
      <c r="K4028"/>
      <c r="L4028"/>
    </row>
    <row r="4029" spans="8:12">
      <c r="H4029"/>
      <c r="I4029"/>
      <c r="J4029"/>
      <c r="K4029"/>
      <c r="L4029"/>
    </row>
    <row r="4030" spans="8:12">
      <c r="H4030"/>
      <c r="I4030"/>
      <c r="J4030"/>
      <c r="K4030"/>
      <c r="L4030"/>
    </row>
    <row r="4031" spans="8:12">
      <c r="H4031"/>
      <c r="I4031"/>
      <c r="J4031"/>
      <c r="K4031"/>
      <c r="L4031"/>
    </row>
    <row r="4032" spans="8:12">
      <c r="H4032"/>
      <c r="I4032"/>
      <c r="J4032"/>
      <c r="K4032"/>
      <c r="L4032"/>
    </row>
    <row r="4033" spans="8:12">
      <c r="H4033"/>
      <c r="I4033"/>
      <c r="J4033"/>
      <c r="K4033"/>
      <c r="L4033"/>
    </row>
    <row r="4034" spans="8:12">
      <c r="H4034"/>
      <c r="I4034"/>
      <c r="J4034"/>
      <c r="K4034"/>
      <c r="L4034"/>
    </row>
    <row r="4035" spans="8:12">
      <c r="H4035"/>
      <c r="I4035"/>
      <c r="J4035"/>
      <c r="K4035"/>
      <c r="L4035"/>
    </row>
    <row r="4036" spans="8:12">
      <c r="H4036"/>
      <c r="I4036"/>
      <c r="J4036"/>
      <c r="K4036"/>
      <c r="L4036"/>
    </row>
    <row r="4037" spans="8:12">
      <c r="H4037"/>
      <c r="I4037"/>
      <c r="J4037"/>
      <c r="K4037"/>
      <c r="L4037"/>
    </row>
    <row r="4038" spans="8:12">
      <c r="H4038"/>
      <c r="I4038"/>
      <c r="J4038"/>
      <c r="K4038"/>
      <c r="L4038"/>
    </row>
    <row r="4039" spans="8:12">
      <c r="H4039"/>
      <c r="I4039"/>
      <c r="J4039"/>
      <c r="K4039"/>
      <c r="L4039"/>
    </row>
    <row r="4040" spans="8:12">
      <c r="H4040"/>
      <c r="I4040"/>
      <c r="J4040"/>
      <c r="K4040"/>
      <c r="L4040"/>
    </row>
    <row r="4041" spans="8:12">
      <c r="H4041"/>
      <c r="I4041"/>
      <c r="J4041"/>
      <c r="K4041"/>
      <c r="L4041"/>
    </row>
    <row r="4042" spans="8:12">
      <c r="H4042"/>
      <c r="I4042"/>
      <c r="J4042"/>
      <c r="K4042"/>
      <c r="L4042"/>
    </row>
    <row r="4043" spans="8:12">
      <c r="H4043"/>
      <c r="I4043"/>
      <c r="J4043"/>
      <c r="K4043"/>
      <c r="L4043"/>
    </row>
    <row r="4044" spans="8:12">
      <c r="H4044"/>
      <c r="I4044"/>
      <c r="J4044"/>
      <c r="K4044"/>
      <c r="L4044"/>
    </row>
    <row r="4045" spans="8:12">
      <c r="H4045"/>
      <c r="I4045"/>
      <c r="J4045"/>
      <c r="K4045"/>
      <c r="L4045"/>
    </row>
    <row r="4046" spans="8:12">
      <c r="H4046"/>
      <c r="I4046"/>
      <c r="J4046"/>
      <c r="K4046"/>
      <c r="L4046"/>
    </row>
    <row r="4047" spans="8:12">
      <c r="H4047"/>
      <c r="I4047"/>
      <c r="J4047"/>
      <c r="K4047"/>
      <c r="L4047"/>
    </row>
    <row r="4048" spans="8:12">
      <c r="H4048"/>
      <c r="I4048"/>
      <c r="J4048"/>
      <c r="K4048"/>
      <c r="L4048"/>
    </row>
    <row r="4049" spans="8:12">
      <c r="H4049"/>
      <c r="I4049"/>
      <c r="J4049"/>
      <c r="K4049"/>
      <c r="L4049"/>
    </row>
    <row r="4050" spans="8:12">
      <c r="H4050"/>
      <c r="I4050"/>
      <c r="J4050"/>
      <c r="K4050"/>
      <c r="L4050"/>
    </row>
    <row r="4051" spans="8:12">
      <c r="H4051"/>
      <c r="I4051"/>
      <c r="J4051"/>
      <c r="K4051"/>
      <c r="L4051"/>
    </row>
    <row r="4052" spans="8:12">
      <c r="H4052"/>
      <c r="I4052"/>
      <c r="J4052"/>
      <c r="K4052"/>
      <c r="L4052"/>
    </row>
    <row r="4053" spans="8:12">
      <c r="H4053"/>
      <c r="I4053"/>
      <c r="J4053"/>
      <c r="K4053"/>
      <c r="L4053"/>
    </row>
    <row r="4054" spans="8:12">
      <c r="H4054"/>
      <c r="I4054"/>
      <c r="J4054"/>
      <c r="K4054"/>
      <c r="L4054"/>
    </row>
    <row r="4055" spans="8:12">
      <c r="H4055"/>
      <c r="I4055"/>
      <c r="J4055"/>
      <c r="K4055"/>
      <c r="L4055"/>
    </row>
    <row r="4056" spans="8:12">
      <c r="H4056"/>
      <c r="I4056"/>
      <c r="J4056"/>
      <c r="K4056"/>
      <c r="L4056"/>
    </row>
    <row r="4057" spans="8:12">
      <c r="H4057"/>
      <c r="I4057"/>
      <c r="J4057"/>
      <c r="K4057"/>
      <c r="L4057"/>
    </row>
    <row r="4058" spans="8:12">
      <c r="H4058"/>
      <c r="I4058"/>
      <c r="J4058"/>
      <c r="K4058"/>
      <c r="L4058"/>
    </row>
    <row r="4059" spans="8:12">
      <c r="H4059"/>
      <c r="I4059"/>
      <c r="J4059"/>
      <c r="K4059"/>
      <c r="L4059"/>
    </row>
    <row r="4060" spans="8:12">
      <c r="H4060"/>
      <c r="I4060"/>
      <c r="J4060"/>
      <c r="K4060"/>
      <c r="L4060"/>
    </row>
    <row r="4061" spans="8:12">
      <c r="H4061"/>
      <c r="I4061"/>
      <c r="J4061"/>
      <c r="K4061"/>
      <c r="L4061"/>
    </row>
    <row r="4062" spans="8:12">
      <c r="H4062"/>
      <c r="I4062"/>
      <c r="J4062"/>
      <c r="K4062"/>
      <c r="L4062"/>
    </row>
    <row r="4063" spans="8:12">
      <c r="H4063"/>
      <c r="I4063"/>
      <c r="J4063"/>
      <c r="K4063"/>
      <c r="L4063"/>
    </row>
    <row r="4064" spans="8:12">
      <c r="H4064"/>
      <c r="I4064"/>
      <c r="J4064"/>
      <c r="K4064"/>
      <c r="L4064"/>
    </row>
    <row r="4065" spans="8:12">
      <c r="H4065"/>
      <c r="I4065"/>
      <c r="J4065"/>
      <c r="K4065"/>
      <c r="L4065"/>
    </row>
    <row r="4066" spans="8:12">
      <c r="H4066"/>
      <c r="I4066"/>
      <c r="J4066"/>
      <c r="K4066"/>
      <c r="L4066"/>
    </row>
    <row r="4067" spans="8:12">
      <c r="H4067"/>
      <c r="I4067"/>
      <c r="J4067"/>
      <c r="K4067"/>
      <c r="L4067"/>
    </row>
    <row r="4068" spans="8:12">
      <c r="H4068"/>
      <c r="I4068"/>
      <c r="J4068"/>
      <c r="K4068"/>
      <c r="L4068"/>
    </row>
    <row r="4069" spans="8:12">
      <c r="H4069"/>
      <c r="I4069"/>
      <c r="J4069"/>
      <c r="K4069"/>
      <c r="L4069"/>
    </row>
    <row r="4070" spans="8:12">
      <c r="H4070"/>
      <c r="I4070"/>
      <c r="J4070"/>
      <c r="K4070"/>
      <c r="L4070"/>
    </row>
    <row r="4071" spans="8:12">
      <c r="H4071"/>
      <c r="I4071"/>
      <c r="J4071"/>
      <c r="K4071"/>
      <c r="L4071"/>
    </row>
    <row r="4072" spans="8:12">
      <c r="H4072"/>
      <c r="I4072"/>
      <c r="J4072"/>
      <c r="K4072"/>
      <c r="L4072"/>
    </row>
    <row r="4073" spans="8:12">
      <c r="H4073"/>
      <c r="I4073"/>
      <c r="J4073"/>
      <c r="K4073"/>
      <c r="L4073"/>
    </row>
    <row r="4074" spans="8:12">
      <c r="H4074"/>
      <c r="I4074"/>
      <c r="J4074"/>
      <c r="K4074"/>
      <c r="L4074"/>
    </row>
    <row r="4075" spans="8:12">
      <c r="H4075"/>
      <c r="I4075"/>
      <c r="J4075"/>
      <c r="K4075"/>
      <c r="L4075"/>
    </row>
    <row r="4076" spans="8:12">
      <c r="H4076"/>
      <c r="I4076"/>
      <c r="J4076"/>
      <c r="K4076"/>
      <c r="L4076"/>
    </row>
    <row r="4077" spans="8:12">
      <c r="H4077"/>
      <c r="I4077"/>
      <c r="J4077"/>
      <c r="K4077"/>
      <c r="L4077"/>
    </row>
    <row r="4078" spans="8:12">
      <c r="H4078"/>
      <c r="I4078"/>
      <c r="J4078"/>
      <c r="K4078"/>
      <c r="L4078"/>
    </row>
    <row r="4079" spans="8:12">
      <c r="H4079"/>
      <c r="I4079"/>
      <c r="J4079"/>
      <c r="K4079"/>
      <c r="L4079"/>
    </row>
    <row r="4080" spans="8:12">
      <c r="H4080"/>
      <c r="I4080"/>
      <c r="J4080"/>
      <c r="K4080"/>
      <c r="L4080"/>
    </row>
    <row r="4081" spans="8:12">
      <c r="H4081"/>
      <c r="I4081"/>
      <c r="J4081"/>
      <c r="K4081"/>
      <c r="L4081"/>
    </row>
    <row r="4082" spans="8:12">
      <c r="H4082"/>
      <c r="I4082"/>
      <c r="J4082"/>
      <c r="K4082"/>
      <c r="L4082"/>
    </row>
    <row r="4083" spans="8:12">
      <c r="H4083"/>
      <c r="I4083"/>
      <c r="J4083"/>
      <c r="K4083"/>
      <c r="L4083"/>
    </row>
    <row r="4084" spans="8:12">
      <c r="H4084"/>
      <c r="I4084"/>
      <c r="J4084"/>
      <c r="K4084"/>
      <c r="L4084"/>
    </row>
    <row r="4085" spans="8:12">
      <c r="H4085"/>
      <c r="I4085"/>
      <c r="J4085"/>
      <c r="K4085"/>
      <c r="L4085"/>
    </row>
    <row r="4086" spans="8:12">
      <c r="H4086"/>
      <c r="I4086"/>
      <c r="J4086"/>
      <c r="K4086"/>
      <c r="L4086"/>
    </row>
    <row r="4087" spans="8:12">
      <c r="H4087"/>
      <c r="I4087"/>
      <c r="J4087"/>
      <c r="K4087"/>
      <c r="L4087"/>
    </row>
    <row r="4088" spans="8:12">
      <c r="H4088"/>
      <c r="I4088"/>
      <c r="J4088"/>
      <c r="K4088"/>
      <c r="L4088"/>
    </row>
    <row r="4089" spans="8:12">
      <c r="H4089"/>
      <c r="I4089"/>
      <c r="J4089"/>
      <c r="K4089"/>
      <c r="L4089"/>
    </row>
    <row r="4090" spans="8:12">
      <c r="H4090"/>
      <c r="I4090"/>
      <c r="J4090"/>
      <c r="K4090"/>
      <c r="L4090"/>
    </row>
    <row r="4091" spans="8:12">
      <c r="H4091"/>
      <c r="I4091"/>
      <c r="J4091"/>
      <c r="K4091"/>
      <c r="L4091"/>
    </row>
    <row r="4092" spans="8:12">
      <c r="H4092"/>
      <c r="I4092"/>
      <c r="J4092"/>
      <c r="K4092"/>
      <c r="L4092"/>
    </row>
    <row r="4093" spans="8:12">
      <c r="H4093"/>
      <c r="I4093"/>
      <c r="J4093"/>
      <c r="K4093"/>
      <c r="L4093"/>
    </row>
    <row r="4094" spans="8:12">
      <c r="H4094"/>
      <c r="I4094"/>
      <c r="J4094"/>
      <c r="K4094"/>
      <c r="L4094"/>
    </row>
    <row r="4095" spans="8:12">
      <c r="H4095"/>
      <c r="I4095"/>
      <c r="J4095"/>
      <c r="K4095"/>
      <c r="L4095"/>
    </row>
    <row r="4096" spans="8:12">
      <c r="H4096"/>
      <c r="I4096"/>
      <c r="J4096"/>
      <c r="K4096"/>
      <c r="L4096"/>
    </row>
    <row r="4097" spans="8:12">
      <c r="H4097"/>
      <c r="I4097"/>
      <c r="J4097"/>
      <c r="K4097"/>
      <c r="L4097"/>
    </row>
    <row r="4098" spans="8:12">
      <c r="H4098"/>
      <c r="I4098"/>
      <c r="J4098"/>
      <c r="K4098"/>
      <c r="L4098"/>
    </row>
    <row r="4099" spans="8:12">
      <c r="H4099"/>
      <c r="I4099"/>
      <c r="J4099"/>
      <c r="K4099"/>
      <c r="L4099"/>
    </row>
    <row r="4100" spans="8:12">
      <c r="H4100"/>
      <c r="I4100"/>
      <c r="J4100"/>
      <c r="K4100"/>
      <c r="L4100"/>
    </row>
    <row r="4101" spans="8:12">
      <c r="H4101"/>
      <c r="I4101"/>
      <c r="J4101"/>
      <c r="K4101"/>
      <c r="L4101"/>
    </row>
    <row r="4102" spans="8:12">
      <c r="H4102"/>
      <c r="I4102"/>
      <c r="J4102"/>
      <c r="K4102"/>
      <c r="L4102"/>
    </row>
    <row r="4103" spans="8:12">
      <c r="H4103"/>
      <c r="I4103"/>
      <c r="J4103"/>
      <c r="K4103"/>
      <c r="L4103"/>
    </row>
    <row r="4104" spans="8:12">
      <c r="H4104"/>
      <c r="I4104"/>
      <c r="J4104"/>
      <c r="K4104"/>
      <c r="L4104"/>
    </row>
    <row r="4105" spans="8:12">
      <c r="H4105"/>
      <c r="I4105"/>
      <c r="J4105"/>
      <c r="K4105"/>
      <c r="L4105"/>
    </row>
    <row r="4106" spans="8:12">
      <c r="H4106"/>
      <c r="I4106"/>
      <c r="J4106"/>
      <c r="K4106"/>
      <c r="L4106"/>
    </row>
    <row r="4107" spans="8:12">
      <c r="H4107"/>
      <c r="I4107"/>
      <c r="J4107"/>
      <c r="K4107"/>
      <c r="L4107"/>
    </row>
    <row r="4108" spans="8:12">
      <c r="H4108"/>
      <c r="I4108"/>
      <c r="J4108"/>
      <c r="K4108"/>
      <c r="L4108"/>
    </row>
    <row r="4109" spans="8:12">
      <c r="H4109"/>
      <c r="I4109"/>
      <c r="J4109"/>
      <c r="K4109"/>
      <c r="L4109"/>
    </row>
    <row r="4110" spans="8:12">
      <c r="H4110"/>
      <c r="I4110"/>
      <c r="J4110"/>
      <c r="K4110"/>
      <c r="L4110"/>
    </row>
    <row r="4111" spans="8:12">
      <c r="H4111"/>
      <c r="I4111"/>
      <c r="J4111"/>
      <c r="K4111"/>
      <c r="L4111"/>
    </row>
    <row r="4112" spans="8:12">
      <c r="H4112"/>
      <c r="I4112"/>
      <c r="J4112"/>
      <c r="K4112"/>
      <c r="L4112"/>
    </row>
    <row r="4113" spans="8:12">
      <c r="H4113"/>
      <c r="I4113"/>
      <c r="J4113"/>
      <c r="K4113"/>
      <c r="L4113"/>
    </row>
    <row r="4114" spans="8:12">
      <c r="H4114"/>
      <c r="I4114"/>
      <c r="J4114"/>
      <c r="K4114"/>
      <c r="L4114"/>
    </row>
    <row r="4115" spans="8:12">
      <c r="H4115"/>
      <c r="I4115"/>
      <c r="J4115"/>
      <c r="K4115"/>
      <c r="L4115"/>
    </row>
    <row r="4116" spans="8:12">
      <c r="H4116"/>
      <c r="I4116"/>
      <c r="J4116"/>
      <c r="K4116"/>
      <c r="L4116"/>
    </row>
    <row r="4117" spans="8:12">
      <c r="H4117"/>
      <c r="I4117"/>
      <c r="J4117"/>
      <c r="K4117"/>
      <c r="L4117"/>
    </row>
    <row r="4118" spans="8:12">
      <c r="H4118"/>
      <c r="I4118"/>
      <c r="J4118"/>
      <c r="K4118"/>
      <c r="L4118"/>
    </row>
    <row r="4119" spans="8:12">
      <c r="H4119"/>
      <c r="I4119"/>
      <c r="J4119"/>
      <c r="K4119"/>
      <c r="L4119"/>
    </row>
    <row r="4120" spans="8:12">
      <c r="H4120"/>
      <c r="I4120"/>
      <c r="J4120"/>
      <c r="K4120"/>
      <c r="L4120"/>
    </row>
    <row r="4121" spans="8:12">
      <c r="H4121"/>
      <c r="I4121"/>
      <c r="J4121"/>
      <c r="K4121"/>
      <c r="L4121"/>
    </row>
    <row r="4122" spans="8:12">
      <c r="H4122"/>
      <c r="I4122"/>
      <c r="J4122"/>
      <c r="K4122"/>
      <c r="L4122"/>
    </row>
    <row r="4123" spans="8:12">
      <c r="H4123"/>
      <c r="I4123"/>
      <c r="J4123"/>
      <c r="K4123"/>
      <c r="L4123"/>
    </row>
    <row r="4124" spans="8:12">
      <c r="H4124"/>
      <c r="I4124"/>
      <c r="J4124"/>
      <c r="K4124"/>
      <c r="L4124"/>
    </row>
    <row r="4125" spans="8:12">
      <c r="H4125"/>
      <c r="I4125"/>
      <c r="J4125"/>
      <c r="K4125"/>
      <c r="L4125"/>
    </row>
    <row r="4126" spans="8:12">
      <c r="H4126"/>
      <c r="I4126"/>
      <c r="J4126"/>
      <c r="K4126"/>
      <c r="L4126"/>
    </row>
    <row r="4127" spans="8:12">
      <c r="H4127"/>
      <c r="I4127"/>
      <c r="J4127"/>
      <c r="K4127"/>
      <c r="L4127"/>
    </row>
    <row r="4128" spans="8:12">
      <c r="H4128"/>
      <c r="I4128"/>
      <c r="J4128"/>
      <c r="K4128"/>
      <c r="L4128"/>
    </row>
    <row r="4129" spans="8:12">
      <c r="H4129"/>
      <c r="I4129"/>
      <c r="J4129"/>
      <c r="K4129"/>
      <c r="L4129"/>
    </row>
    <row r="4130" spans="8:12">
      <c r="H4130"/>
      <c r="I4130"/>
      <c r="J4130"/>
      <c r="K4130"/>
      <c r="L4130"/>
    </row>
    <row r="4131" spans="8:12">
      <c r="H4131"/>
      <c r="I4131"/>
      <c r="J4131"/>
      <c r="K4131"/>
      <c r="L4131"/>
    </row>
    <row r="4132" spans="8:12">
      <c r="H4132"/>
      <c r="I4132"/>
      <c r="J4132"/>
      <c r="K4132"/>
      <c r="L4132"/>
    </row>
    <row r="4133" spans="8:12">
      <c r="H4133"/>
      <c r="I4133"/>
      <c r="J4133"/>
      <c r="K4133"/>
      <c r="L4133"/>
    </row>
    <row r="4134" spans="8:12">
      <c r="H4134"/>
      <c r="I4134"/>
      <c r="J4134"/>
      <c r="K4134"/>
      <c r="L4134"/>
    </row>
    <row r="4135" spans="8:12">
      <c r="H4135"/>
      <c r="I4135"/>
      <c r="J4135"/>
      <c r="K4135"/>
      <c r="L4135"/>
    </row>
    <row r="4136" spans="8:12">
      <c r="H4136"/>
      <c r="I4136"/>
      <c r="J4136"/>
      <c r="K4136"/>
      <c r="L4136"/>
    </row>
    <row r="4137" spans="8:12">
      <c r="H4137"/>
      <c r="I4137"/>
      <c r="J4137"/>
      <c r="K4137"/>
      <c r="L4137"/>
    </row>
    <row r="4138" spans="8:12">
      <c r="H4138"/>
      <c r="I4138"/>
      <c r="J4138"/>
      <c r="K4138"/>
      <c r="L4138"/>
    </row>
    <row r="4139" spans="8:12">
      <c r="H4139"/>
      <c r="I4139"/>
      <c r="J4139"/>
      <c r="K4139"/>
      <c r="L4139"/>
    </row>
    <row r="4140" spans="8:12">
      <c r="H4140"/>
      <c r="I4140"/>
      <c r="J4140"/>
      <c r="K4140"/>
      <c r="L4140"/>
    </row>
    <row r="4141" spans="8:12">
      <c r="H4141"/>
      <c r="I4141"/>
      <c r="J4141"/>
      <c r="K4141"/>
      <c r="L4141"/>
    </row>
    <row r="4142" spans="8:12">
      <c r="H4142"/>
      <c r="I4142"/>
      <c r="J4142"/>
      <c r="K4142"/>
      <c r="L4142"/>
    </row>
    <row r="4143" spans="8:12">
      <c r="H4143"/>
      <c r="I4143"/>
      <c r="J4143"/>
      <c r="K4143"/>
      <c r="L4143"/>
    </row>
    <row r="4144" spans="8:12">
      <c r="H4144"/>
      <c r="I4144"/>
      <c r="J4144"/>
      <c r="K4144"/>
      <c r="L4144"/>
    </row>
    <row r="4145" spans="8:12">
      <c r="H4145"/>
      <c r="I4145"/>
      <c r="J4145"/>
      <c r="K4145"/>
      <c r="L4145"/>
    </row>
    <row r="4146" spans="8:12">
      <c r="H4146"/>
      <c r="I4146"/>
      <c r="J4146"/>
      <c r="K4146"/>
      <c r="L4146"/>
    </row>
    <row r="4147" spans="8:12">
      <c r="H4147"/>
      <c r="I4147"/>
      <c r="J4147"/>
      <c r="K4147"/>
      <c r="L4147"/>
    </row>
    <row r="4148" spans="8:12">
      <c r="H4148"/>
      <c r="I4148"/>
      <c r="J4148"/>
      <c r="K4148"/>
      <c r="L4148"/>
    </row>
    <row r="4149" spans="8:12">
      <c r="H4149"/>
      <c r="I4149"/>
      <c r="J4149"/>
      <c r="K4149"/>
      <c r="L4149"/>
    </row>
    <row r="4150" spans="8:12">
      <c r="H4150"/>
      <c r="I4150"/>
      <c r="J4150"/>
      <c r="K4150"/>
      <c r="L4150"/>
    </row>
    <row r="4151" spans="8:12">
      <c r="H4151"/>
      <c r="I4151"/>
      <c r="J4151"/>
      <c r="K4151"/>
      <c r="L4151"/>
    </row>
    <row r="4152" spans="8:12">
      <c r="H4152"/>
      <c r="I4152"/>
      <c r="J4152"/>
      <c r="K4152"/>
      <c r="L4152"/>
    </row>
    <row r="4153" spans="8:12">
      <c r="H4153"/>
      <c r="I4153"/>
      <c r="J4153"/>
      <c r="K4153"/>
      <c r="L4153"/>
    </row>
    <row r="4154" spans="8:12">
      <c r="H4154"/>
      <c r="I4154"/>
      <c r="J4154"/>
      <c r="K4154"/>
      <c r="L4154"/>
    </row>
    <row r="4155" spans="8:12">
      <c r="H4155"/>
      <c r="I4155"/>
      <c r="J4155"/>
      <c r="K4155"/>
      <c r="L4155"/>
    </row>
    <row r="4156" spans="8:12">
      <c r="H4156"/>
      <c r="I4156"/>
      <c r="J4156"/>
      <c r="K4156"/>
      <c r="L4156"/>
    </row>
    <row r="4157" spans="8:12">
      <c r="H4157"/>
      <c r="I4157"/>
      <c r="J4157"/>
      <c r="K4157"/>
      <c r="L4157"/>
    </row>
    <row r="4158" spans="8:12">
      <c r="H4158"/>
      <c r="I4158"/>
      <c r="J4158"/>
      <c r="K4158"/>
      <c r="L4158"/>
    </row>
    <row r="4159" spans="8:12">
      <c r="H4159"/>
      <c r="I4159"/>
      <c r="J4159"/>
      <c r="K4159"/>
      <c r="L4159"/>
    </row>
    <row r="4160" spans="8:12">
      <c r="H4160"/>
      <c r="I4160"/>
      <c r="J4160"/>
      <c r="K4160"/>
      <c r="L4160"/>
    </row>
    <row r="4161" spans="8:12">
      <c r="H4161"/>
      <c r="I4161"/>
      <c r="J4161"/>
      <c r="K4161"/>
      <c r="L4161"/>
    </row>
    <row r="4162" spans="8:12">
      <c r="H4162"/>
      <c r="I4162"/>
      <c r="J4162"/>
      <c r="K4162"/>
      <c r="L4162"/>
    </row>
    <row r="4163" spans="8:12">
      <c r="H4163"/>
      <c r="I4163"/>
      <c r="J4163"/>
      <c r="K4163"/>
      <c r="L4163"/>
    </row>
    <row r="4164" spans="8:12">
      <c r="H4164"/>
      <c r="I4164"/>
      <c r="J4164"/>
      <c r="K4164"/>
      <c r="L4164"/>
    </row>
    <row r="4165" spans="8:12">
      <c r="H4165"/>
      <c r="I4165"/>
      <c r="J4165"/>
      <c r="K4165"/>
      <c r="L4165"/>
    </row>
    <row r="4166" spans="8:12">
      <c r="H4166"/>
      <c r="I4166"/>
      <c r="J4166"/>
      <c r="K4166"/>
      <c r="L4166"/>
    </row>
    <row r="4167" spans="8:12">
      <c r="H4167"/>
      <c r="I4167"/>
      <c r="J4167"/>
      <c r="K4167"/>
      <c r="L4167"/>
    </row>
    <row r="4168" spans="8:12">
      <c r="H4168"/>
      <c r="I4168"/>
      <c r="J4168"/>
      <c r="K4168"/>
      <c r="L4168"/>
    </row>
    <row r="4169" spans="8:12">
      <c r="H4169"/>
      <c r="I4169"/>
      <c r="J4169"/>
      <c r="K4169"/>
      <c r="L4169"/>
    </row>
    <row r="4170" spans="8:12">
      <c r="H4170"/>
      <c r="I4170"/>
      <c r="J4170"/>
      <c r="K4170"/>
      <c r="L4170"/>
    </row>
    <row r="4171" spans="8:12">
      <c r="H4171"/>
      <c r="I4171"/>
      <c r="J4171"/>
      <c r="K4171"/>
      <c r="L4171"/>
    </row>
    <row r="4172" spans="8:12">
      <c r="H4172"/>
      <c r="I4172"/>
      <c r="J4172"/>
      <c r="K4172"/>
      <c r="L4172"/>
    </row>
    <row r="4173" spans="8:12">
      <c r="H4173"/>
      <c r="I4173"/>
      <c r="J4173"/>
      <c r="K4173"/>
      <c r="L4173"/>
    </row>
    <row r="4174" spans="8:12">
      <c r="H4174"/>
      <c r="I4174"/>
      <c r="J4174"/>
      <c r="K4174"/>
      <c r="L4174"/>
    </row>
    <row r="4175" spans="8:12">
      <c r="H4175"/>
      <c r="I4175"/>
      <c r="J4175"/>
      <c r="K4175"/>
      <c r="L4175"/>
    </row>
    <row r="4176" spans="8:12">
      <c r="H4176"/>
      <c r="I4176"/>
      <c r="J4176"/>
      <c r="K4176"/>
      <c r="L4176"/>
    </row>
    <row r="4177" spans="8:12">
      <c r="H4177"/>
      <c r="I4177"/>
      <c r="J4177"/>
      <c r="K4177"/>
      <c r="L4177"/>
    </row>
    <row r="4178" spans="8:12">
      <c r="H4178"/>
      <c r="I4178"/>
      <c r="J4178"/>
      <c r="K4178"/>
      <c r="L4178"/>
    </row>
    <row r="4179" spans="8:12">
      <c r="H4179"/>
      <c r="I4179"/>
      <c r="J4179"/>
      <c r="K4179"/>
      <c r="L4179"/>
    </row>
    <row r="4180" spans="8:12">
      <c r="H4180"/>
      <c r="I4180"/>
      <c r="J4180"/>
      <c r="K4180"/>
      <c r="L4180"/>
    </row>
    <row r="4181" spans="8:12">
      <c r="H4181"/>
      <c r="I4181"/>
      <c r="J4181"/>
      <c r="K4181"/>
      <c r="L4181"/>
    </row>
    <row r="4182" spans="8:12">
      <c r="H4182"/>
      <c r="I4182"/>
      <c r="J4182"/>
      <c r="K4182"/>
      <c r="L4182"/>
    </row>
    <row r="4183" spans="8:12">
      <c r="H4183"/>
      <c r="I4183"/>
      <c r="J4183"/>
      <c r="K4183"/>
      <c r="L4183"/>
    </row>
    <row r="4184" spans="8:12">
      <c r="H4184"/>
      <c r="I4184"/>
      <c r="J4184"/>
      <c r="K4184"/>
      <c r="L4184"/>
    </row>
    <row r="4185" spans="8:12">
      <c r="H4185"/>
      <c r="I4185"/>
      <c r="J4185"/>
      <c r="K4185"/>
      <c r="L4185"/>
    </row>
    <row r="4186" spans="8:12">
      <c r="H4186"/>
      <c r="I4186"/>
      <c r="J4186"/>
      <c r="K4186"/>
      <c r="L4186"/>
    </row>
    <row r="4187" spans="8:12">
      <c r="H4187"/>
      <c r="I4187"/>
      <c r="J4187"/>
      <c r="K4187"/>
      <c r="L4187"/>
    </row>
    <row r="4188" spans="8:12">
      <c r="H4188"/>
      <c r="I4188"/>
      <c r="J4188"/>
      <c r="K4188"/>
      <c r="L4188"/>
    </row>
    <row r="4189" spans="8:12">
      <c r="H4189"/>
      <c r="I4189"/>
      <c r="J4189"/>
      <c r="K4189"/>
      <c r="L4189"/>
    </row>
    <row r="4190" spans="8:12">
      <c r="H4190"/>
      <c r="I4190"/>
      <c r="J4190"/>
      <c r="K4190"/>
      <c r="L4190"/>
    </row>
    <row r="4191" spans="8:12">
      <c r="H4191"/>
      <c r="I4191"/>
      <c r="J4191"/>
      <c r="K4191"/>
      <c r="L4191"/>
    </row>
    <row r="4192" spans="8:12">
      <c r="H4192"/>
      <c r="I4192"/>
      <c r="J4192"/>
      <c r="K4192"/>
      <c r="L4192"/>
    </row>
    <row r="4193" spans="8:12">
      <c r="H4193"/>
      <c r="I4193"/>
      <c r="J4193"/>
      <c r="K4193"/>
      <c r="L4193"/>
    </row>
    <row r="4194" spans="8:12">
      <c r="H4194"/>
      <c r="I4194"/>
      <c r="J4194"/>
      <c r="K4194"/>
      <c r="L4194"/>
    </row>
    <row r="4195" spans="8:12">
      <c r="H4195"/>
      <c r="I4195"/>
      <c r="J4195"/>
      <c r="K4195"/>
      <c r="L4195"/>
    </row>
    <row r="4196" spans="8:12">
      <c r="H4196"/>
      <c r="I4196"/>
      <c r="J4196"/>
      <c r="K4196"/>
      <c r="L4196"/>
    </row>
    <row r="4197" spans="8:12">
      <c r="H4197"/>
      <c r="I4197"/>
      <c r="J4197"/>
      <c r="K4197"/>
      <c r="L4197"/>
    </row>
    <row r="4198" spans="8:12">
      <c r="H4198"/>
      <c r="I4198"/>
      <c r="J4198"/>
      <c r="K4198"/>
      <c r="L4198"/>
    </row>
    <row r="4199" spans="8:12">
      <c r="H4199"/>
      <c r="I4199"/>
      <c r="J4199"/>
      <c r="K4199"/>
      <c r="L4199"/>
    </row>
    <row r="4200" spans="8:12">
      <c r="H4200"/>
      <c r="I4200"/>
      <c r="J4200"/>
      <c r="K4200"/>
      <c r="L4200"/>
    </row>
    <row r="4201" spans="8:12">
      <c r="H4201"/>
      <c r="I4201"/>
      <c r="J4201"/>
      <c r="K4201"/>
      <c r="L4201"/>
    </row>
    <row r="4202" spans="8:12">
      <c r="H4202"/>
      <c r="I4202"/>
      <c r="J4202"/>
      <c r="K4202"/>
      <c r="L4202"/>
    </row>
    <row r="4203" spans="8:12">
      <c r="H4203"/>
      <c r="I4203"/>
      <c r="J4203"/>
      <c r="K4203"/>
      <c r="L4203"/>
    </row>
    <row r="4204" spans="8:12">
      <c r="H4204"/>
      <c r="I4204"/>
      <c r="J4204"/>
      <c r="K4204"/>
      <c r="L4204"/>
    </row>
    <row r="4205" spans="8:12">
      <c r="H4205"/>
      <c r="I4205"/>
      <c r="J4205"/>
      <c r="K4205"/>
      <c r="L4205"/>
    </row>
    <row r="4206" spans="8:12">
      <c r="H4206"/>
      <c r="I4206"/>
      <c r="J4206"/>
      <c r="K4206"/>
      <c r="L4206"/>
    </row>
    <row r="4207" spans="8:12">
      <c r="H4207"/>
      <c r="I4207"/>
      <c r="J4207"/>
      <c r="K4207"/>
      <c r="L4207"/>
    </row>
    <row r="4208" spans="8:12">
      <c r="H4208"/>
      <c r="I4208"/>
      <c r="J4208"/>
      <c r="K4208"/>
      <c r="L4208"/>
    </row>
    <row r="4209" spans="8:12">
      <c r="H4209"/>
      <c r="I4209"/>
      <c r="J4209"/>
      <c r="K4209"/>
      <c r="L4209"/>
    </row>
    <row r="4210" spans="8:12">
      <c r="H4210"/>
      <c r="I4210"/>
      <c r="J4210"/>
      <c r="K4210"/>
      <c r="L4210"/>
    </row>
    <row r="4211" spans="8:12">
      <c r="H4211"/>
      <c r="I4211"/>
      <c r="J4211"/>
      <c r="K4211"/>
      <c r="L4211"/>
    </row>
    <row r="4212" spans="8:12">
      <c r="H4212"/>
      <c r="I4212"/>
      <c r="J4212"/>
      <c r="K4212"/>
      <c r="L4212"/>
    </row>
    <row r="4213" spans="8:12">
      <c r="H4213"/>
      <c r="I4213"/>
      <c r="J4213"/>
      <c r="K4213"/>
      <c r="L4213"/>
    </row>
    <row r="4214" spans="8:12">
      <c r="H4214"/>
      <c r="I4214"/>
      <c r="J4214"/>
      <c r="K4214"/>
      <c r="L4214"/>
    </row>
    <row r="4215" spans="8:12">
      <c r="H4215"/>
      <c r="I4215"/>
      <c r="J4215"/>
      <c r="K4215"/>
      <c r="L4215"/>
    </row>
    <row r="4216" spans="8:12">
      <c r="H4216"/>
      <c r="I4216"/>
      <c r="J4216"/>
      <c r="K4216"/>
      <c r="L4216"/>
    </row>
    <row r="4217" spans="8:12">
      <c r="H4217"/>
      <c r="I4217"/>
      <c r="J4217"/>
      <c r="K4217"/>
      <c r="L4217"/>
    </row>
    <row r="4218" spans="8:12">
      <c r="H4218"/>
      <c r="I4218"/>
      <c r="J4218"/>
      <c r="K4218"/>
      <c r="L4218"/>
    </row>
    <row r="4219" spans="8:12">
      <c r="H4219"/>
      <c r="I4219"/>
      <c r="J4219"/>
      <c r="K4219"/>
      <c r="L4219"/>
    </row>
    <row r="4220" spans="8:12">
      <c r="H4220"/>
      <c r="I4220"/>
      <c r="J4220"/>
      <c r="K4220"/>
      <c r="L4220"/>
    </row>
    <row r="4221" spans="8:12">
      <c r="H4221"/>
      <c r="I4221"/>
      <c r="J4221"/>
      <c r="K4221"/>
      <c r="L4221"/>
    </row>
    <row r="4222" spans="8:12">
      <c r="H4222"/>
      <c r="I4222"/>
      <c r="J4222"/>
      <c r="K4222"/>
      <c r="L4222"/>
    </row>
    <row r="4223" spans="8:12">
      <c r="H4223"/>
      <c r="I4223"/>
      <c r="J4223"/>
      <c r="K4223"/>
      <c r="L4223"/>
    </row>
    <row r="4224" spans="8:12">
      <c r="H4224"/>
      <c r="I4224"/>
      <c r="J4224"/>
      <c r="K4224"/>
      <c r="L4224"/>
    </row>
    <row r="4225" spans="8:12">
      <c r="H4225"/>
      <c r="I4225"/>
      <c r="J4225"/>
      <c r="K4225"/>
      <c r="L4225"/>
    </row>
    <row r="4226" spans="8:12">
      <c r="H4226"/>
      <c r="I4226"/>
      <c r="J4226"/>
      <c r="K4226"/>
      <c r="L4226"/>
    </row>
    <row r="4227" spans="8:12">
      <c r="H4227"/>
      <c r="I4227"/>
      <c r="J4227"/>
      <c r="K4227"/>
      <c r="L4227"/>
    </row>
    <row r="4228" spans="8:12">
      <c r="H4228"/>
      <c r="I4228"/>
      <c r="J4228"/>
      <c r="K4228"/>
      <c r="L4228"/>
    </row>
    <row r="4229" spans="8:12">
      <c r="H4229"/>
      <c r="I4229"/>
      <c r="J4229"/>
      <c r="K4229"/>
      <c r="L4229"/>
    </row>
    <row r="4230" spans="8:12">
      <c r="H4230"/>
      <c r="I4230"/>
      <c r="J4230"/>
      <c r="K4230"/>
      <c r="L4230"/>
    </row>
    <row r="4231" spans="8:12">
      <c r="H4231"/>
      <c r="I4231"/>
      <c r="J4231"/>
      <c r="K4231"/>
      <c r="L4231"/>
    </row>
    <row r="4232" spans="8:12">
      <c r="H4232"/>
      <c r="I4232"/>
      <c r="J4232"/>
      <c r="K4232"/>
      <c r="L4232"/>
    </row>
    <row r="4233" spans="8:12">
      <c r="H4233"/>
      <c r="I4233"/>
      <c r="J4233"/>
      <c r="K4233"/>
      <c r="L4233"/>
    </row>
    <row r="4234" spans="8:12">
      <c r="H4234"/>
      <c r="I4234"/>
      <c r="J4234"/>
      <c r="K4234"/>
      <c r="L4234"/>
    </row>
    <row r="4235" spans="8:12">
      <c r="H4235"/>
      <c r="I4235"/>
      <c r="J4235"/>
      <c r="K4235"/>
      <c r="L4235"/>
    </row>
    <row r="4236" spans="8:12">
      <c r="H4236"/>
      <c r="I4236"/>
      <c r="J4236"/>
      <c r="K4236"/>
      <c r="L4236"/>
    </row>
    <row r="4237" spans="8:12">
      <c r="H4237"/>
      <c r="I4237"/>
      <c r="J4237"/>
      <c r="K4237"/>
      <c r="L4237"/>
    </row>
    <row r="4238" spans="8:12">
      <c r="H4238"/>
      <c r="I4238"/>
      <c r="J4238"/>
      <c r="K4238"/>
      <c r="L4238"/>
    </row>
    <row r="4239" spans="8:12">
      <c r="H4239"/>
      <c r="I4239"/>
      <c r="J4239"/>
      <c r="K4239"/>
      <c r="L4239"/>
    </row>
    <row r="4240" spans="8:12">
      <c r="H4240"/>
      <c r="I4240"/>
      <c r="J4240"/>
      <c r="K4240"/>
      <c r="L4240"/>
    </row>
    <row r="4241" spans="8:12">
      <c r="H4241"/>
      <c r="I4241"/>
      <c r="J4241"/>
      <c r="K4241"/>
      <c r="L4241"/>
    </row>
    <row r="4242" spans="8:12">
      <c r="H4242"/>
      <c r="I4242"/>
      <c r="J4242"/>
      <c r="K4242"/>
      <c r="L4242"/>
    </row>
    <row r="4243" spans="8:12">
      <c r="H4243"/>
      <c r="I4243"/>
      <c r="J4243"/>
      <c r="K4243"/>
      <c r="L4243"/>
    </row>
    <row r="4244" spans="8:12">
      <c r="H4244"/>
      <c r="I4244"/>
      <c r="J4244"/>
      <c r="K4244"/>
      <c r="L4244"/>
    </row>
    <row r="4245" spans="8:12">
      <c r="H4245"/>
      <c r="I4245"/>
      <c r="J4245"/>
      <c r="K4245"/>
      <c r="L4245"/>
    </row>
    <row r="4246" spans="8:12">
      <c r="H4246"/>
      <c r="I4246"/>
      <c r="J4246"/>
      <c r="K4246"/>
      <c r="L4246"/>
    </row>
    <row r="4247" spans="8:12">
      <c r="H4247"/>
      <c r="I4247"/>
      <c r="J4247"/>
      <c r="K4247"/>
      <c r="L4247"/>
    </row>
    <row r="4248" spans="8:12">
      <c r="H4248"/>
      <c r="I4248"/>
      <c r="J4248"/>
      <c r="K4248"/>
      <c r="L4248"/>
    </row>
    <row r="4249" spans="8:12">
      <c r="H4249"/>
      <c r="I4249"/>
      <c r="J4249"/>
      <c r="K4249"/>
      <c r="L4249"/>
    </row>
    <row r="4250" spans="8:12">
      <c r="H4250"/>
      <c r="I4250"/>
      <c r="J4250"/>
      <c r="K4250"/>
      <c r="L4250"/>
    </row>
    <row r="4251" spans="8:12">
      <c r="H4251"/>
      <c r="I4251"/>
      <c r="J4251"/>
      <c r="K4251"/>
      <c r="L4251"/>
    </row>
    <row r="4252" spans="8:12">
      <c r="H4252"/>
      <c r="I4252"/>
      <c r="J4252"/>
      <c r="K4252"/>
      <c r="L4252"/>
    </row>
    <row r="4253" spans="8:12">
      <c r="H4253"/>
      <c r="I4253"/>
      <c r="J4253"/>
      <c r="K4253"/>
      <c r="L4253"/>
    </row>
    <row r="4254" spans="8:12">
      <c r="H4254"/>
      <c r="I4254"/>
      <c r="J4254"/>
      <c r="K4254"/>
      <c r="L4254"/>
    </row>
    <row r="4255" spans="8:12">
      <c r="H4255"/>
      <c r="I4255"/>
      <c r="J4255"/>
      <c r="K4255"/>
      <c r="L4255"/>
    </row>
    <row r="4256" spans="8:12">
      <c r="H4256"/>
      <c r="I4256"/>
      <c r="J4256"/>
      <c r="K4256"/>
      <c r="L4256"/>
    </row>
    <row r="4257" spans="8:12">
      <c r="H4257"/>
      <c r="I4257"/>
      <c r="J4257"/>
      <c r="K4257"/>
      <c r="L4257"/>
    </row>
    <row r="4258" spans="8:12">
      <c r="H4258"/>
      <c r="I4258"/>
      <c r="J4258"/>
      <c r="K4258"/>
      <c r="L4258"/>
    </row>
    <row r="4259" spans="8:12">
      <c r="H4259"/>
      <c r="I4259"/>
      <c r="J4259"/>
      <c r="K4259"/>
      <c r="L4259"/>
    </row>
    <row r="4260" spans="8:12">
      <c r="H4260"/>
      <c r="I4260"/>
      <c r="J4260"/>
      <c r="K4260"/>
      <c r="L4260"/>
    </row>
    <row r="4261" spans="8:12">
      <c r="H4261"/>
      <c r="I4261"/>
      <c r="J4261"/>
      <c r="K4261"/>
      <c r="L4261"/>
    </row>
    <row r="4262" spans="8:12">
      <c r="H4262"/>
      <c r="I4262"/>
      <c r="J4262"/>
      <c r="K4262"/>
      <c r="L4262"/>
    </row>
    <row r="4263" spans="8:12">
      <c r="H4263"/>
      <c r="I4263"/>
      <c r="J4263"/>
      <c r="K4263"/>
      <c r="L4263"/>
    </row>
    <row r="4264" spans="8:12">
      <c r="H4264"/>
      <c r="I4264"/>
      <c r="J4264"/>
      <c r="K4264"/>
      <c r="L4264"/>
    </row>
    <row r="4265" spans="8:12">
      <c r="H4265"/>
      <c r="I4265"/>
      <c r="J4265"/>
      <c r="K4265"/>
      <c r="L4265"/>
    </row>
    <row r="4266" spans="8:12">
      <c r="H4266"/>
      <c r="I4266"/>
      <c r="J4266"/>
      <c r="K4266"/>
      <c r="L4266"/>
    </row>
    <row r="4267" spans="8:12">
      <c r="H4267"/>
      <c r="I4267"/>
      <c r="J4267"/>
      <c r="K4267"/>
      <c r="L4267"/>
    </row>
    <row r="4268" spans="8:12">
      <c r="H4268"/>
      <c r="I4268"/>
      <c r="J4268"/>
      <c r="K4268"/>
      <c r="L4268"/>
    </row>
    <row r="4269" spans="8:12">
      <c r="H4269"/>
      <c r="I4269"/>
      <c r="J4269"/>
      <c r="K4269"/>
      <c r="L4269"/>
    </row>
    <row r="4270" spans="8:12">
      <c r="H4270"/>
      <c r="I4270"/>
      <c r="J4270"/>
      <c r="K4270"/>
      <c r="L4270"/>
    </row>
    <row r="4271" spans="8:12">
      <c r="H4271"/>
      <c r="I4271"/>
      <c r="J4271"/>
      <c r="K4271"/>
      <c r="L4271"/>
    </row>
    <row r="4272" spans="8:12">
      <c r="H4272"/>
      <c r="I4272"/>
      <c r="J4272"/>
      <c r="K4272"/>
      <c r="L4272"/>
    </row>
    <row r="4273" spans="8:12">
      <c r="H4273"/>
      <c r="I4273"/>
      <c r="J4273"/>
      <c r="K4273"/>
      <c r="L4273"/>
    </row>
    <row r="4274" spans="8:12">
      <c r="H4274"/>
      <c r="I4274"/>
      <c r="J4274"/>
      <c r="K4274"/>
      <c r="L4274"/>
    </row>
    <row r="4275" spans="8:12">
      <c r="H4275"/>
      <c r="I4275"/>
      <c r="J4275"/>
      <c r="K4275"/>
      <c r="L4275"/>
    </row>
    <row r="4276" spans="8:12">
      <c r="H4276"/>
      <c r="I4276"/>
      <c r="J4276"/>
      <c r="K4276"/>
      <c r="L4276"/>
    </row>
    <row r="4277" spans="8:12">
      <c r="H4277"/>
      <c r="I4277"/>
      <c r="J4277"/>
      <c r="K4277"/>
      <c r="L4277"/>
    </row>
    <row r="4278" spans="8:12">
      <c r="H4278"/>
      <c r="I4278"/>
      <c r="J4278"/>
      <c r="K4278"/>
      <c r="L4278"/>
    </row>
    <row r="4279" spans="8:12">
      <c r="H4279"/>
      <c r="I4279"/>
      <c r="J4279"/>
      <c r="K4279"/>
      <c r="L4279"/>
    </row>
    <row r="4280" spans="8:12">
      <c r="H4280"/>
      <c r="I4280"/>
      <c r="J4280"/>
      <c r="K4280"/>
      <c r="L4280"/>
    </row>
    <row r="4281" spans="8:12">
      <c r="H4281"/>
      <c r="I4281"/>
      <c r="J4281"/>
      <c r="K4281"/>
      <c r="L4281"/>
    </row>
    <row r="4282" spans="8:12">
      <c r="H4282"/>
      <c r="I4282"/>
      <c r="J4282"/>
      <c r="K4282"/>
      <c r="L4282"/>
    </row>
    <row r="4283" spans="8:12">
      <c r="H4283"/>
      <c r="I4283"/>
      <c r="J4283"/>
      <c r="K4283"/>
      <c r="L4283"/>
    </row>
    <row r="4284" spans="8:12">
      <c r="H4284"/>
      <c r="I4284"/>
      <c r="J4284"/>
      <c r="K4284"/>
      <c r="L4284"/>
    </row>
    <row r="4285" spans="8:12">
      <c r="H4285"/>
      <c r="I4285"/>
      <c r="J4285"/>
      <c r="K4285"/>
      <c r="L4285"/>
    </row>
    <row r="4286" spans="8:12">
      <c r="H4286"/>
      <c r="I4286"/>
      <c r="J4286"/>
      <c r="K4286"/>
      <c r="L4286"/>
    </row>
    <row r="4287" spans="8:12">
      <c r="H4287"/>
      <c r="I4287"/>
      <c r="J4287"/>
      <c r="K4287"/>
      <c r="L4287"/>
    </row>
    <row r="4288" spans="8:12">
      <c r="H4288"/>
      <c r="I4288"/>
      <c r="J4288"/>
      <c r="K4288"/>
      <c r="L4288"/>
    </row>
    <row r="4289" spans="8:12">
      <c r="H4289"/>
      <c r="I4289"/>
      <c r="J4289"/>
      <c r="K4289"/>
      <c r="L4289"/>
    </row>
    <row r="4290" spans="8:12">
      <c r="H4290"/>
      <c r="I4290"/>
      <c r="J4290"/>
      <c r="K4290"/>
      <c r="L4290"/>
    </row>
    <row r="4291" spans="8:12">
      <c r="H4291"/>
      <c r="I4291"/>
      <c r="J4291"/>
      <c r="K4291"/>
      <c r="L4291"/>
    </row>
    <row r="4292" spans="8:12">
      <c r="H4292"/>
      <c r="I4292"/>
      <c r="J4292"/>
      <c r="K4292"/>
      <c r="L4292"/>
    </row>
    <row r="4293" spans="8:12">
      <c r="H4293"/>
      <c r="I4293"/>
      <c r="J4293"/>
      <c r="K4293"/>
      <c r="L4293"/>
    </row>
    <row r="4294" spans="8:12">
      <c r="H4294"/>
      <c r="I4294"/>
      <c r="J4294"/>
      <c r="K4294"/>
      <c r="L4294"/>
    </row>
    <row r="4295" spans="8:12">
      <c r="H4295"/>
      <c r="I4295"/>
      <c r="J4295"/>
      <c r="K4295"/>
      <c r="L4295"/>
    </row>
    <row r="4296" spans="8:12">
      <c r="H4296"/>
      <c r="I4296"/>
      <c r="J4296"/>
      <c r="K4296"/>
      <c r="L4296"/>
    </row>
    <row r="4297" spans="8:12">
      <c r="H4297"/>
      <c r="I4297"/>
      <c r="J4297"/>
      <c r="K4297"/>
      <c r="L4297"/>
    </row>
    <row r="4298" spans="8:12">
      <c r="H4298"/>
      <c r="I4298"/>
      <c r="J4298"/>
      <c r="K4298"/>
      <c r="L4298"/>
    </row>
    <row r="4299" spans="8:12">
      <c r="H4299"/>
      <c r="I4299"/>
      <c r="J4299"/>
      <c r="K4299"/>
      <c r="L4299"/>
    </row>
    <row r="4300" spans="8:12">
      <c r="H4300"/>
      <c r="I4300"/>
      <c r="J4300"/>
      <c r="K4300"/>
      <c r="L4300"/>
    </row>
    <row r="4301" spans="8:12">
      <c r="H4301"/>
      <c r="I4301"/>
      <c r="J4301"/>
      <c r="K4301"/>
      <c r="L4301"/>
    </row>
    <row r="4302" spans="8:12">
      <c r="H4302"/>
      <c r="I4302"/>
      <c r="J4302"/>
      <c r="K4302"/>
      <c r="L4302"/>
    </row>
    <row r="4303" spans="8:12">
      <c r="H4303"/>
      <c r="I4303"/>
      <c r="J4303"/>
      <c r="K4303"/>
      <c r="L4303"/>
    </row>
    <row r="4304" spans="8:12">
      <c r="H4304"/>
      <c r="I4304"/>
      <c r="J4304"/>
      <c r="K4304"/>
      <c r="L4304"/>
    </row>
    <row r="4305" spans="8:12">
      <c r="H4305"/>
      <c r="I4305"/>
      <c r="J4305"/>
      <c r="K4305"/>
      <c r="L4305"/>
    </row>
    <row r="4306" spans="8:12">
      <c r="H4306"/>
      <c r="I4306"/>
      <c r="J4306"/>
      <c r="K4306"/>
      <c r="L4306"/>
    </row>
    <row r="4307" spans="8:12">
      <c r="H4307"/>
      <c r="I4307"/>
      <c r="J4307"/>
      <c r="K4307"/>
      <c r="L4307"/>
    </row>
    <row r="4308" spans="8:12">
      <c r="H4308"/>
      <c r="I4308"/>
      <c r="J4308"/>
      <c r="K4308"/>
      <c r="L4308"/>
    </row>
    <row r="4309" spans="8:12">
      <c r="H4309"/>
      <c r="I4309"/>
      <c r="J4309"/>
      <c r="K4309"/>
      <c r="L4309"/>
    </row>
    <row r="4310" spans="8:12">
      <c r="H4310"/>
      <c r="I4310"/>
      <c r="J4310"/>
      <c r="K4310"/>
      <c r="L4310"/>
    </row>
    <row r="4311" spans="8:12">
      <c r="H4311"/>
      <c r="I4311"/>
      <c r="J4311"/>
      <c r="K4311"/>
      <c r="L4311"/>
    </row>
    <row r="4312" spans="8:12">
      <c r="H4312"/>
      <c r="I4312"/>
      <c r="J4312"/>
      <c r="K4312"/>
      <c r="L4312"/>
    </row>
    <row r="4313" spans="8:12">
      <c r="H4313"/>
      <c r="I4313"/>
      <c r="J4313"/>
      <c r="K4313"/>
      <c r="L4313"/>
    </row>
    <row r="4314" spans="8:12">
      <c r="H4314"/>
      <c r="I4314"/>
      <c r="J4314"/>
      <c r="K4314"/>
      <c r="L4314"/>
    </row>
    <row r="4315" spans="8:12">
      <c r="H4315"/>
      <c r="I4315"/>
      <c r="J4315"/>
      <c r="K4315"/>
      <c r="L4315"/>
    </row>
    <row r="4316" spans="8:12">
      <c r="H4316"/>
      <c r="I4316"/>
      <c r="J4316"/>
      <c r="K4316"/>
      <c r="L4316"/>
    </row>
    <row r="4317" spans="8:12">
      <c r="H4317"/>
      <c r="I4317"/>
      <c r="J4317"/>
      <c r="K4317"/>
      <c r="L4317"/>
    </row>
    <row r="4318" spans="8:12">
      <c r="H4318"/>
      <c r="I4318"/>
      <c r="J4318"/>
      <c r="K4318"/>
      <c r="L4318"/>
    </row>
    <row r="4319" spans="8:12">
      <c r="H4319"/>
      <c r="I4319"/>
      <c r="J4319"/>
      <c r="K4319"/>
      <c r="L4319"/>
    </row>
    <row r="4320" spans="8:12">
      <c r="H4320"/>
      <c r="I4320"/>
      <c r="J4320"/>
      <c r="K4320"/>
      <c r="L4320"/>
    </row>
    <row r="4321" spans="8:12">
      <c r="H4321"/>
      <c r="I4321"/>
      <c r="J4321"/>
      <c r="K4321"/>
      <c r="L4321"/>
    </row>
    <row r="4322" spans="8:12">
      <c r="H4322"/>
      <c r="I4322"/>
      <c r="J4322"/>
      <c r="K4322"/>
      <c r="L4322"/>
    </row>
    <row r="4323" spans="8:12">
      <c r="H4323"/>
      <c r="I4323"/>
      <c r="J4323"/>
      <c r="K4323"/>
      <c r="L4323"/>
    </row>
    <row r="4324" spans="8:12">
      <c r="H4324"/>
      <c r="I4324"/>
      <c r="J4324"/>
      <c r="K4324"/>
      <c r="L4324"/>
    </row>
    <row r="4325" spans="8:12">
      <c r="H4325"/>
      <c r="I4325"/>
      <c r="J4325"/>
      <c r="K4325"/>
      <c r="L4325"/>
    </row>
    <row r="4326" spans="8:12">
      <c r="H4326"/>
      <c r="I4326"/>
      <c r="J4326"/>
      <c r="K4326"/>
      <c r="L4326"/>
    </row>
    <row r="4327" spans="8:12">
      <c r="H4327"/>
      <c r="I4327"/>
      <c r="J4327"/>
      <c r="K4327"/>
      <c r="L4327"/>
    </row>
    <row r="4328" spans="8:12">
      <c r="H4328"/>
      <c r="I4328"/>
      <c r="J4328"/>
      <c r="K4328"/>
      <c r="L4328"/>
    </row>
    <row r="4329" spans="8:12">
      <c r="H4329"/>
      <c r="I4329"/>
      <c r="J4329"/>
      <c r="K4329"/>
      <c r="L4329"/>
    </row>
    <row r="4330" spans="8:12">
      <c r="H4330"/>
      <c r="I4330"/>
      <c r="J4330"/>
      <c r="K4330"/>
      <c r="L4330"/>
    </row>
    <row r="4331" spans="8:12">
      <c r="H4331"/>
      <c r="I4331"/>
      <c r="J4331"/>
      <c r="K4331"/>
      <c r="L4331"/>
    </row>
    <row r="4332" spans="8:12">
      <c r="H4332"/>
      <c r="I4332"/>
      <c r="J4332"/>
      <c r="K4332"/>
      <c r="L4332"/>
    </row>
    <row r="4333" spans="8:12">
      <c r="H4333"/>
      <c r="I4333"/>
      <c r="J4333"/>
      <c r="K4333"/>
      <c r="L4333"/>
    </row>
    <row r="4334" spans="8:12">
      <c r="H4334"/>
      <c r="I4334"/>
      <c r="J4334"/>
      <c r="K4334"/>
      <c r="L4334"/>
    </row>
    <row r="4335" spans="8:12">
      <c r="H4335"/>
      <c r="I4335"/>
      <c r="J4335"/>
      <c r="K4335"/>
      <c r="L4335"/>
    </row>
    <row r="4336" spans="8:12">
      <c r="H4336"/>
      <c r="I4336"/>
      <c r="J4336"/>
      <c r="K4336"/>
      <c r="L4336"/>
    </row>
    <row r="4337" spans="8:12">
      <c r="H4337"/>
      <c r="I4337"/>
      <c r="J4337"/>
      <c r="K4337"/>
      <c r="L4337"/>
    </row>
    <row r="4338" spans="8:12">
      <c r="H4338"/>
      <c r="I4338"/>
      <c r="J4338"/>
      <c r="K4338"/>
      <c r="L4338"/>
    </row>
    <row r="4339" spans="8:12">
      <c r="H4339"/>
      <c r="I4339"/>
      <c r="J4339"/>
      <c r="K4339"/>
      <c r="L4339"/>
    </row>
    <row r="4340" spans="8:12">
      <c r="H4340"/>
      <c r="I4340"/>
      <c r="J4340"/>
      <c r="K4340"/>
      <c r="L4340"/>
    </row>
    <row r="4341" spans="8:12">
      <c r="H4341"/>
      <c r="I4341"/>
      <c r="J4341"/>
      <c r="K4341"/>
      <c r="L4341"/>
    </row>
    <row r="4342" spans="8:12">
      <c r="H4342"/>
      <c r="I4342"/>
      <c r="J4342"/>
      <c r="K4342"/>
      <c r="L4342"/>
    </row>
    <row r="4343" spans="8:12">
      <c r="H4343"/>
      <c r="I4343"/>
      <c r="J4343"/>
      <c r="K4343"/>
      <c r="L4343"/>
    </row>
    <row r="4344" spans="8:12">
      <c r="H4344"/>
      <c r="I4344"/>
      <c r="J4344"/>
      <c r="K4344"/>
      <c r="L4344"/>
    </row>
    <row r="4345" spans="8:12">
      <c r="H4345"/>
      <c r="I4345"/>
      <c r="J4345"/>
      <c r="K4345"/>
      <c r="L4345"/>
    </row>
    <row r="4346" spans="8:12">
      <c r="H4346"/>
      <c r="I4346"/>
      <c r="J4346"/>
      <c r="K4346"/>
      <c r="L4346"/>
    </row>
    <row r="4347" spans="8:12">
      <c r="H4347"/>
      <c r="I4347"/>
      <c r="J4347"/>
      <c r="K4347"/>
      <c r="L4347"/>
    </row>
    <row r="4348" spans="8:12">
      <c r="H4348"/>
      <c r="I4348"/>
      <c r="J4348"/>
      <c r="K4348"/>
      <c r="L4348"/>
    </row>
    <row r="4349" spans="8:12">
      <c r="H4349"/>
      <c r="I4349"/>
      <c r="J4349"/>
      <c r="K4349"/>
      <c r="L4349"/>
    </row>
    <row r="4350" spans="8:12">
      <c r="H4350"/>
      <c r="I4350"/>
      <c r="J4350"/>
      <c r="K4350"/>
      <c r="L4350"/>
    </row>
    <row r="4351" spans="8:12">
      <c r="H4351"/>
      <c r="I4351"/>
      <c r="J4351"/>
      <c r="K4351"/>
      <c r="L4351"/>
    </row>
    <row r="4352" spans="8:12">
      <c r="H4352"/>
      <c r="I4352"/>
      <c r="J4352"/>
      <c r="K4352"/>
      <c r="L4352"/>
    </row>
    <row r="4353" spans="8:12">
      <c r="H4353"/>
      <c r="I4353"/>
      <c r="J4353"/>
      <c r="K4353"/>
      <c r="L4353"/>
    </row>
    <row r="4354" spans="8:12">
      <c r="H4354"/>
      <c r="I4354"/>
      <c r="J4354"/>
      <c r="K4354"/>
      <c r="L4354"/>
    </row>
    <row r="4355" spans="8:12">
      <c r="H4355"/>
      <c r="I4355"/>
      <c r="J4355"/>
      <c r="K4355"/>
      <c r="L4355"/>
    </row>
    <row r="4356" spans="8:12">
      <c r="H4356"/>
      <c r="I4356"/>
      <c r="J4356"/>
      <c r="K4356"/>
      <c r="L4356"/>
    </row>
    <row r="4357" spans="8:12">
      <c r="H4357"/>
      <c r="I4357"/>
      <c r="J4357"/>
      <c r="K4357"/>
      <c r="L4357"/>
    </row>
    <row r="4358" spans="8:12">
      <c r="H4358"/>
      <c r="I4358"/>
      <c r="J4358"/>
      <c r="K4358"/>
      <c r="L4358"/>
    </row>
    <row r="4359" spans="8:12">
      <c r="H4359"/>
      <c r="I4359"/>
      <c r="J4359"/>
      <c r="K4359"/>
      <c r="L4359"/>
    </row>
    <row r="4360" spans="8:12">
      <c r="H4360"/>
      <c r="I4360"/>
      <c r="J4360"/>
      <c r="K4360"/>
      <c r="L4360"/>
    </row>
    <row r="4361" spans="8:12">
      <c r="H4361"/>
      <c r="I4361"/>
      <c r="J4361"/>
      <c r="K4361"/>
      <c r="L4361"/>
    </row>
    <row r="4362" spans="8:12">
      <c r="H4362"/>
      <c r="I4362"/>
      <c r="J4362"/>
      <c r="K4362"/>
      <c r="L4362"/>
    </row>
    <row r="4363" spans="8:12">
      <c r="H4363"/>
      <c r="I4363"/>
      <c r="J4363"/>
      <c r="K4363"/>
      <c r="L4363"/>
    </row>
    <row r="4364" spans="8:12">
      <c r="H4364"/>
      <c r="I4364"/>
      <c r="J4364"/>
      <c r="K4364"/>
      <c r="L4364"/>
    </row>
    <row r="4365" spans="8:12">
      <c r="H4365"/>
      <c r="I4365"/>
      <c r="J4365"/>
      <c r="K4365"/>
      <c r="L4365"/>
    </row>
    <row r="4366" spans="8:12">
      <c r="H4366"/>
      <c r="I4366"/>
      <c r="J4366"/>
      <c r="K4366"/>
      <c r="L4366"/>
    </row>
    <row r="4367" spans="8:12">
      <c r="H4367"/>
      <c r="I4367"/>
      <c r="J4367"/>
      <c r="K4367"/>
      <c r="L4367"/>
    </row>
    <row r="4368" spans="8:12">
      <c r="H4368"/>
      <c r="I4368"/>
      <c r="J4368"/>
      <c r="K4368"/>
      <c r="L4368"/>
    </row>
    <row r="4369" spans="8:12">
      <c r="H4369"/>
      <c r="I4369"/>
      <c r="J4369"/>
      <c r="K4369"/>
      <c r="L4369"/>
    </row>
    <row r="4370" spans="8:12">
      <c r="H4370"/>
      <c r="I4370"/>
      <c r="J4370"/>
      <c r="K4370"/>
      <c r="L4370"/>
    </row>
    <row r="4371" spans="8:12">
      <c r="H4371"/>
      <c r="I4371"/>
      <c r="J4371"/>
      <c r="K4371"/>
      <c r="L4371"/>
    </row>
    <row r="4372" spans="8:12">
      <c r="H4372"/>
      <c r="I4372"/>
      <c r="J4372"/>
      <c r="K4372"/>
      <c r="L4372"/>
    </row>
    <row r="4373" spans="8:12">
      <c r="H4373"/>
      <c r="I4373"/>
      <c r="J4373"/>
      <c r="K4373"/>
      <c r="L4373"/>
    </row>
    <row r="4374" spans="8:12">
      <c r="H4374"/>
      <c r="I4374"/>
      <c r="J4374"/>
      <c r="K4374"/>
      <c r="L4374"/>
    </row>
    <row r="4375" spans="8:12">
      <c r="H4375"/>
      <c r="I4375"/>
      <c r="J4375"/>
      <c r="K4375"/>
      <c r="L4375"/>
    </row>
    <row r="4376" spans="8:12">
      <c r="H4376"/>
      <c r="I4376"/>
      <c r="J4376"/>
      <c r="K4376"/>
      <c r="L4376"/>
    </row>
    <row r="4377" spans="8:12">
      <c r="H4377"/>
      <c r="I4377"/>
      <c r="J4377"/>
      <c r="K4377"/>
      <c r="L4377"/>
    </row>
    <row r="4378" spans="8:12">
      <c r="H4378"/>
      <c r="I4378"/>
      <c r="J4378"/>
      <c r="K4378"/>
      <c r="L4378"/>
    </row>
    <row r="4379" spans="8:12">
      <c r="H4379"/>
      <c r="I4379"/>
      <c r="J4379"/>
      <c r="K4379"/>
      <c r="L4379"/>
    </row>
    <row r="4380" spans="8:12">
      <c r="H4380"/>
      <c r="I4380"/>
      <c r="J4380"/>
      <c r="K4380"/>
      <c r="L4380"/>
    </row>
    <row r="4381" spans="8:12">
      <c r="H4381"/>
      <c r="I4381"/>
      <c r="J4381"/>
      <c r="K4381"/>
      <c r="L4381"/>
    </row>
    <row r="4382" spans="8:12">
      <c r="H4382"/>
      <c r="I4382"/>
      <c r="J4382"/>
      <c r="K4382"/>
      <c r="L4382"/>
    </row>
    <row r="4383" spans="8:12">
      <c r="H4383"/>
      <c r="I4383"/>
      <c r="J4383"/>
      <c r="K4383"/>
      <c r="L4383"/>
    </row>
    <row r="4384" spans="8:12">
      <c r="H4384"/>
      <c r="I4384"/>
      <c r="J4384"/>
      <c r="K4384"/>
      <c r="L4384"/>
    </row>
    <row r="4385" spans="8:12">
      <c r="H4385"/>
      <c r="I4385"/>
      <c r="J4385"/>
      <c r="K4385"/>
      <c r="L4385"/>
    </row>
    <row r="4386" spans="8:12">
      <c r="H4386"/>
      <c r="I4386"/>
      <c r="J4386"/>
      <c r="K4386"/>
      <c r="L4386"/>
    </row>
    <row r="4387" spans="8:12">
      <c r="H4387"/>
      <c r="I4387"/>
      <c r="J4387"/>
      <c r="K4387"/>
      <c r="L4387"/>
    </row>
    <row r="4388" spans="8:12">
      <c r="H4388"/>
      <c r="I4388"/>
      <c r="J4388"/>
      <c r="K4388"/>
      <c r="L4388"/>
    </row>
    <row r="4389" spans="8:12">
      <c r="H4389"/>
      <c r="I4389"/>
      <c r="J4389"/>
      <c r="K4389"/>
      <c r="L4389"/>
    </row>
    <row r="4390" spans="8:12">
      <c r="H4390"/>
      <c r="I4390"/>
      <c r="J4390"/>
      <c r="K4390"/>
      <c r="L4390"/>
    </row>
    <row r="4391" spans="8:12">
      <c r="H4391"/>
      <c r="I4391"/>
      <c r="J4391"/>
      <c r="K4391"/>
      <c r="L4391"/>
    </row>
    <row r="4392" spans="8:12">
      <c r="H4392"/>
      <c r="I4392"/>
      <c r="J4392"/>
      <c r="K4392"/>
      <c r="L4392"/>
    </row>
    <row r="4393" spans="8:12">
      <c r="H4393"/>
      <c r="I4393"/>
      <c r="J4393"/>
      <c r="K4393"/>
      <c r="L4393"/>
    </row>
    <row r="4394" spans="8:12">
      <c r="H4394"/>
      <c r="I4394"/>
      <c r="J4394"/>
      <c r="K4394"/>
      <c r="L4394"/>
    </row>
    <row r="4395" spans="8:12">
      <c r="H4395"/>
      <c r="I4395"/>
      <c r="J4395"/>
      <c r="K4395"/>
      <c r="L4395"/>
    </row>
    <row r="4396" spans="8:12">
      <c r="H4396"/>
      <c r="I4396"/>
      <c r="J4396"/>
      <c r="K4396"/>
      <c r="L4396"/>
    </row>
    <row r="4397" spans="8:12">
      <c r="H4397"/>
      <c r="I4397"/>
      <c r="J4397"/>
      <c r="K4397"/>
      <c r="L4397"/>
    </row>
    <row r="4398" spans="8:12">
      <c r="H4398"/>
      <c r="I4398"/>
      <c r="J4398"/>
      <c r="K4398"/>
      <c r="L4398"/>
    </row>
    <row r="4399" spans="8:12">
      <c r="H4399"/>
      <c r="I4399"/>
      <c r="J4399"/>
      <c r="K4399"/>
      <c r="L4399"/>
    </row>
    <row r="4400" spans="8:12">
      <c r="H4400"/>
      <c r="I4400"/>
      <c r="J4400"/>
      <c r="K4400"/>
      <c r="L4400"/>
    </row>
    <row r="4401" spans="8:12">
      <c r="H4401"/>
      <c r="I4401"/>
      <c r="J4401"/>
      <c r="K4401"/>
      <c r="L4401"/>
    </row>
    <row r="4402" spans="8:12">
      <c r="H4402"/>
      <c r="I4402"/>
      <c r="J4402"/>
      <c r="K4402"/>
      <c r="L4402"/>
    </row>
    <row r="4403" spans="8:12">
      <c r="H4403"/>
      <c r="I4403"/>
      <c r="J4403"/>
      <c r="K4403"/>
      <c r="L4403"/>
    </row>
    <row r="4404" spans="8:12">
      <c r="H4404"/>
      <c r="I4404"/>
      <c r="J4404"/>
      <c r="K4404"/>
      <c r="L4404"/>
    </row>
    <row r="4405" spans="8:12">
      <c r="H4405"/>
      <c r="I4405"/>
      <c r="J4405"/>
      <c r="K4405"/>
      <c r="L4405"/>
    </row>
    <row r="4406" spans="8:12">
      <c r="H4406"/>
      <c r="I4406"/>
      <c r="J4406"/>
      <c r="K4406"/>
      <c r="L4406"/>
    </row>
    <row r="4407" spans="8:12">
      <c r="H4407"/>
      <c r="I4407"/>
      <c r="J4407"/>
      <c r="K4407"/>
      <c r="L4407"/>
    </row>
    <row r="4408" spans="8:12">
      <c r="H4408"/>
      <c r="I4408"/>
      <c r="J4408"/>
      <c r="K4408"/>
      <c r="L4408"/>
    </row>
    <row r="4409" spans="8:12">
      <c r="H4409"/>
      <c r="I4409"/>
      <c r="J4409"/>
      <c r="K4409"/>
      <c r="L4409"/>
    </row>
    <row r="4410" spans="8:12">
      <c r="H4410"/>
      <c r="I4410"/>
      <c r="J4410"/>
      <c r="K4410"/>
      <c r="L4410"/>
    </row>
    <row r="4411" spans="8:12">
      <c r="H4411"/>
      <c r="I4411"/>
      <c r="J4411"/>
      <c r="K4411"/>
      <c r="L4411"/>
    </row>
    <row r="4412" spans="8:12">
      <c r="H4412"/>
      <c r="I4412"/>
      <c r="J4412"/>
      <c r="K4412"/>
      <c r="L4412"/>
    </row>
    <row r="4413" spans="8:12">
      <c r="H4413"/>
      <c r="I4413"/>
      <c r="J4413"/>
      <c r="K4413"/>
      <c r="L4413"/>
    </row>
    <row r="4414" spans="8:12">
      <c r="H4414"/>
      <c r="I4414"/>
      <c r="J4414"/>
      <c r="K4414"/>
      <c r="L4414"/>
    </row>
    <row r="4415" spans="8:12">
      <c r="H4415"/>
      <c r="I4415"/>
      <c r="J4415"/>
      <c r="K4415"/>
      <c r="L4415"/>
    </row>
    <row r="4416" spans="8:12">
      <c r="H4416"/>
      <c r="I4416"/>
      <c r="J4416"/>
      <c r="K4416"/>
      <c r="L4416"/>
    </row>
    <row r="4417" spans="8:12">
      <c r="H4417"/>
      <c r="I4417"/>
      <c r="J4417"/>
      <c r="K4417"/>
      <c r="L4417"/>
    </row>
    <row r="4418" spans="8:12">
      <c r="H4418"/>
      <c r="I4418"/>
      <c r="J4418"/>
      <c r="K4418"/>
      <c r="L4418"/>
    </row>
    <row r="4419" spans="8:12">
      <c r="H4419"/>
      <c r="I4419"/>
      <c r="J4419"/>
      <c r="K4419"/>
      <c r="L4419"/>
    </row>
    <row r="4420" spans="8:12">
      <c r="H4420"/>
      <c r="I4420"/>
      <c r="J4420"/>
      <c r="K4420"/>
      <c r="L4420"/>
    </row>
    <row r="4421" spans="8:12">
      <c r="H4421"/>
      <c r="I4421"/>
      <c r="J4421"/>
      <c r="K4421"/>
      <c r="L4421"/>
    </row>
    <row r="4422" spans="8:12">
      <c r="H4422"/>
      <c r="I4422"/>
      <c r="J4422"/>
      <c r="K4422"/>
      <c r="L4422"/>
    </row>
    <row r="4423" spans="8:12">
      <c r="H4423"/>
      <c r="I4423"/>
      <c r="J4423"/>
      <c r="K4423"/>
      <c r="L4423"/>
    </row>
    <row r="4424" spans="8:12">
      <c r="H4424"/>
      <c r="I4424"/>
      <c r="J4424"/>
      <c r="K4424"/>
      <c r="L4424"/>
    </row>
    <row r="4425" spans="8:12">
      <c r="H4425"/>
      <c r="I4425"/>
      <c r="J4425"/>
      <c r="K4425"/>
      <c r="L4425"/>
    </row>
    <row r="4426" spans="8:12">
      <c r="H4426"/>
      <c r="I4426"/>
      <c r="J4426"/>
      <c r="K4426"/>
      <c r="L4426"/>
    </row>
    <row r="4427" spans="8:12">
      <c r="H4427"/>
      <c r="I4427"/>
      <c r="J4427"/>
      <c r="K4427"/>
      <c r="L4427"/>
    </row>
    <row r="4428" spans="8:12">
      <c r="H4428"/>
      <c r="I4428"/>
      <c r="J4428"/>
      <c r="K4428"/>
      <c r="L4428"/>
    </row>
    <row r="4429" spans="8:12">
      <c r="H4429"/>
      <c r="I4429"/>
      <c r="J4429"/>
      <c r="K4429"/>
      <c r="L4429"/>
    </row>
    <row r="4430" spans="8:12">
      <c r="H4430"/>
      <c r="I4430"/>
      <c r="J4430"/>
      <c r="K4430"/>
      <c r="L4430"/>
    </row>
    <row r="4431" spans="8:12">
      <c r="H4431"/>
      <c r="I4431"/>
      <c r="J4431"/>
      <c r="K4431"/>
      <c r="L4431"/>
    </row>
    <row r="4432" spans="8:12">
      <c r="H4432"/>
      <c r="I4432"/>
      <c r="J4432"/>
      <c r="K4432"/>
      <c r="L4432"/>
    </row>
    <row r="4433" spans="8:12">
      <c r="H4433"/>
      <c r="I4433"/>
      <c r="J4433"/>
      <c r="K4433"/>
      <c r="L4433"/>
    </row>
    <row r="4434" spans="8:12">
      <c r="H4434"/>
      <c r="I4434"/>
      <c r="J4434"/>
      <c r="K4434"/>
      <c r="L4434"/>
    </row>
    <row r="4435" spans="8:12">
      <c r="H4435"/>
      <c r="I4435"/>
      <c r="J4435"/>
      <c r="K4435"/>
      <c r="L4435"/>
    </row>
    <row r="4436" spans="8:12">
      <c r="H4436"/>
      <c r="I4436"/>
      <c r="J4436"/>
      <c r="K4436"/>
      <c r="L4436"/>
    </row>
    <row r="4437" spans="8:12">
      <c r="H4437"/>
      <c r="I4437"/>
      <c r="J4437"/>
      <c r="K4437"/>
      <c r="L4437"/>
    </row>
    <row r="4438" spans="8:12">
      <c r="H4438"/>
      <c r="I4438"/>
      <c r="J4438"/>
      <c r="K4438"/>
      <c r="L4438"/>
    </row>
    <row r="4439" spans="8:12">
      <c r="H4439"/>
      <c r="I4439"/>
      <c r="J4439"/>
      <c r="K4439"/>
      <c r="L4439"/>
    </row>
    <row r="4440" spans="8:12">
      <c r="H4440"/>
      <c r="I4440"/>
      <c r="J4440"/>
      <c r="K4440"/>
      <c r="L4440"/>
    </row>
    <row r="4441" spans="8:12">
      <c r="H4441"/>
      <c r="I4441"/>
      <c r="J4441"/>
      <c r="K4441"/>
      <c r="L4441"/>
    </row>
    <row r="4442" spans="8:12">
      <c r="H4442"/>
      <c r="I4442"/>
      <c r="J4442"/>
      <c r="K4442"/>
      <c r="L4442"/>
    </row>
    <row r="4443" spans="8:12">
      <c r="H4443"/>
      <c r="I4443"/>
      <c r="J4443"/>
      <c r="K4443"/>
      <c r="L4443"/>
    </row>
    <row r="4444" spans="8:12">
      <c r="H4444"/>
      <c r="I4444"/>
      <c r="J4444"/>
      <c r="K4444"/>
      <c r="L4444"/>
    </row>
    <row r="4445" spans="8:12">
      <c r="H4445"/>
      <c r="I4445"/>
      <c r="J4445"/>
      <c r="K4445"/>
      <c r="L4445"/>
    </row>
    <row r="4446" spans="8:12">
      <c r="H4446"/>
      <c r="I4446"/>
      <c r="J4446"/>
      <c r="K4446"/>
      <c r="L4446"/>
    </row>
    <row r="4447" spans="8:12">
      <c r="H4447"/>
      <c r="I4447"/>
      <c r="J4447"/>
      <c r="K4447"/>
      <c r="L4447"/>
    </row>
    <row r="4448" spans="8:12">
      <c r="H4448"/>
      <c r="I4448"/>
      <c r="J4448"/>
      <c r="K4448"/>
      <c r="L4448"/>
    </row>
    <row r="4449" spans="8:12">
      <c r="H4449"/>
      <c r="I4449"/>
      <c r="J4449"/>
      <c r="K4449"/>
      <c r="L4449"/>
    </row>
    <row r="4450" spans="8:12">
      <c r="H4450"/>
      <c r="I4450"/>
      <c r="J4450"/>
      <c r="K4450"/>
      <c r="L4450"/>
    </row>
    <row r="4451" spans="8:12">
      <c r="H4451"/>
      <c r="I4451"/>
      <c r="J4451"/>
      <c r="K4451"/>
      <c r="L4451"/>
    </row>
    <row r="4452" spans="8:12">
      <c r="H4452"/>
      <c r="I4452"/>
      <c r="J4452"/>
      <c r="K4452"/>
      <c r="L4452"/>
    </row>
    <row r="4453" spans="8:12">
      <c r="H4453"/>
      <c r="I4453"/>
      <c r="J4453"/>
      <c r="K4453"/>
      <c r="L4453"/>
    </row>
    <row r="4454" spans="8:12">
      <c r="H4454"/>
      <c r="I4454"/>
      <c r="J4454"/>
      <c r="K4454"/>
      <c r="L4454"/>
    </row>
    <row r="4455" spans="8:12">
      <c r="H4455"/>
      <c r="I4455"/>
      <c r="J4455"/>
      <c r="K4455"/>
      <c r="L4455"/>
    </row>
    <row r="4456" spans="8:12">
      <c r="H4456"/>
      <c r="I4456"/>
      <c r="J4456"/>
      <c r="K4456"/>
      <c r="L4456"/>
    </row>
    <row r="4457" spans="8:12">
      <c r="H4457"/>
      <c r="I4457"/>
      <c r="J4457"/>
      <c r="K4457"/>
      <c r="L4457"/>
    </row>
    <row r="4458" spans="8:12">
      <c r="H4458"/>
      <c r="I4458"/>
      <c r="J4458"/>
      <c r="K4458"/>
      <c r="L4458"/>
    </row>
    <row r="4459" spans="8:12">
      <c r="H4459"/>
      <c r="I4459"/>
      <c r="J4459"/>
      <c r="K4459"/>
      <c r="L4459"/>
    </row>
    <row r="4460" spans="8:12">
      <c r="H4460"/>
      <c r="I4460"/>
      <c r="J4460"/>
      <c r="K4460"/>
      <c r="L4460"/>
    </row>
    <row r="4461" spans="8:12">
      <c r="H4461"/>
      <c r="I4461"/>
      <c r="J4461"/>
      <c r="K4461"/>
      <c r="L4461"/>
    </row>
    <row r="4462" spans="8:12">
      <c r="H4462"/>
      <c r="I4462"/>
      <c r="J4462"/>
      <c r="K4462"/>
      <c r="L4462"/>
    </row>
    <row r="4463" spans="8:12">
      <c r="H4463"/>
      <c r="I4463"/>
      <c r="J4463"/>
      <c r="K4463"/>
      <c r="L4463"/>
    </row>
    <row r="4464" spans="8:12">
      <c r="H4464"/>
      <c r="I4464"/>
      <c r="J4464"/>
      <c r="K4464"/>
      <c r="L4464"/>
    </row>
    <row r="4465" spans="8:12">
      <c r="H4465"/>
      <c r="I4465"/>
      <c r="J4465"/>
      <c r="K4465"/>
      <c r="L4465"/>
    </row>
    <row r="4466" spans="8:12">
      <c r="H4466"/>
      <c r="I4466"/>
      <c r="J4466"/>
      <c r="K4466"/>
      <c r="L4466"/>
    </row>
    <row r="4467" spans="8:12">
      <c r="H4467"/>
      <c r="I4467"/>
      <c r="J4467"/>
      <c r="K4467"/>
      <c r="L4467"/>
    </row>
    <row r="4468" spans="8:12">
      <c r="H4468"/>
      <c r="I4468"/>
      <c r="J4468"/>
      <c r="K4468"/>
      <c r="L4468"/>
    </row>
    <row r="4469" spans="8:12">
      <c r="H4469"/>
      <c r="I4469"/>
      <c r="J4469"/>
      <c r="K4469"/>
      <c r="L4469"/>
    </row>
    <row r="4470" spans="8:12">
      <c r="H4470"/>
      <c r="I4470"/>
      <c r="J4470"/>
      <c r="K4470"/>
      <c r="L4470"/>
    </row>
    <row r="4471" spans="8:12">
      <c r="H4471"/>
      <c r="I4471"/>
      <c r="J4471"/>
      <c r="K4471"/>
      <c r="L4471"/>
    </row>
    <row r="4472" spans="8:12">
      <c r="H4472"/>
      <c r="I4472"/>
      <c r="J4472"/>
      <c r="K4472"/>
      <c r="L4472"/>
    </row>
    <row r="4473" spans="8:12">
      <c r="H4473"/>
      <c r="I4473"/>
      <c r="J4473"/>
      <c r="K4473"/>
      <c r="L4473"/>
    </row>
    <row r="4474" spans="8:12">
      <c r="H4474"/>
      <c r="I4474"/>
      <c r="J4474"/>
      <c r="K4474"/>
      <c r="L4474"/>
    </row>
    <row r="4475" spans="8:12">
      <c r="H4475"/>
      <c r="I4475"/>
      <c r="J4475"/>
      <c r="K4475"/>
      <c r="L4475"/>
    </row>
    <row r="4476" spans="8:12">
      <c r="H4476"/>
      <c r="I4476"/>
      <c r="J4476"/>
      <c r="K4476"/>
      <c r="L4476"/>
    </row>
    <row r="4477" spans="8:12">
      <c r="H4477"/>
      <c r="I4477"/>
      <c r="J4477"/>
      <c r="K4477"/>
      <c r="L4477"/>
    </row>
    <row r="4478" spans="8:12">
      <c r="H4478"/>
      <c r="I4478"/>
      <c r="J4478"/>
      <c r="K4478"/>
      <c r="L4478"/>
    </row>
    <row r="4479" spans="8:12">
      <c r="H4479"/>
      <c r="I4479"/>
      <c r="J4479"/>
      <c r="K4479"/>
      <c r="L4479"/>
    </row>
    <row r="4480" spans="8:12">
      <c r="H4480"/>
      <c r="I4480"/>
      <c r="J4480"/>
      <c r="K4480"/>
      <c r="L4480"/>
    </row>
    <row r="4481" spans="8:12">
      <c r="H4481"/>
      <c r="I4481"/>
      <c r="J4481"/>
      <c r="K4481"/>
      <c r="L4481"/>
    </row>
    <row r="4482" spans="8:12">
      <c r="H4482"/>
      <c r="I4482"/>
      <c r="J4482"/>
      <c r="K4482"/>
      <c r="L4482"/>
    </row>
    <row r="4483" spans="8:12">
      <c r="H4483"/>
      <c r="I4483"/>
      <c r="J4483"/>
      <c r="K4483"/>
      <c r="L4483"/>
    </row>
    <row r="4484" spans="8:12">
      <c r="H4484"/>
      <c r="I4484"/>
      <c r="J4484"/>
      <c r="K4484"/>
      <c r="L4484"/>
    </row>
    <row r="4485" spans="8:12">
      <c r="H4485"/>
      <c r="I4485"/>
      <c r="J4485"/>
      <c r="K4485"/>
      <c r="L4485"/>
    </row>
    <row r="4486" spans="8:12">
      <c r="H4486"/>
      <c r="I4486"/>
      <c r="J4486"/>
      <c r="K4486"/>
      <c r="L4486"/>
    </row>
    <row r="4487" spans="8:12">
      <c r="H4487"/>
      <c r="I4487"/>
      <c r="J4487"/>
      <c r="K4487"/>
      <c r="L4487"/>
    </row>
    <row r="4488" spans="8:12">
      <c r="H4488"/>
      <c r="I4488"/>
      <c r="J4488"/>
      <c r="K4488"/>
      <c r="L4488"/>
    </row>
    <row r="4489" spans="8:12">
      <c r="H4489"/>
      <c r="I4489"/>
      <c r="J4489"/>
      <c r="K4489"/>
      <c r="L4489"/>
    </row>
    <row r="4490" spans="8:12">
      <c r="H4490"/>
      <c r="I4490"/>
      <c r="J4490"/>
      <c r="K4490"/>
      <c r="L4490"/>
    </row>
    <row r="4491" spans="8:12">
      <c r="H4491"/>
      <c r="I4491"/>
      <c r="J4491"/>
      <c r="K4491"/>
      <c r="L4491"/>
    </row>
    <row r="4492" spans="8:12">
      <c r="H4492"/>
      <c r="I4492"/>
      <c r="J4492"/>
      <c r="K4492"/>
      <c r="L4492"/>
    </row>
    <row r="4493" spans="8:12">
      <c r="H4493"/>
      <c r="I4493"/>
      <c r="J4493"/>
      <c r="K4493"/>
      <c r="L4493"/>
    </row>
    <row r="4494" spans="8:12">
      <c r="H4494"/>
      <c r="I4494"/>
      <c r="J4494"/>
      <c r="K4494"/>
      <c r="L4494"/>
    </row>
    <row r="4495" spans="8:12">
      <c r="H4495"/>
      <c r="I4495"/>
      <c r="J4495"/>
      <c r="K4495"/>
      <c r="L4495"/>
    </row>
    <row r="4496" spans="8:12">
      <c r="H4496"/>
      <c r="I4496"/>
      <c r="J4496"/>
      <c r="K4496"/>
      <c r="L4496"/>
    </row>
    <row r="4497" spans="8:12">
      <c r="H4497"/>
      <c r="I4497"/>
      <c r="J4497"/>
      <c r="K4497"/>
      <c r="L4497"/>
    </row>
    <row r="4498" spans="8:12">
      <c r="H4498"/>
      <c r="I4498"/>
      <c r="J4498"/>
      <c r="K4498"/>
      <c r="L4498"/>
    </row>
    <row r="4499" spans="8:12">
      <c r="H4499"/>
      <c r="I4499"/>
      <c r="J4499"/>
      <c r="K4499"/>
      <c r="L4499"/>
    </row>
    <row r="4500" spans="8:12">
      <c r="H4500"/>
      <c r="I4500"/>
      <c r="J4500"/>
      <c r="K4500"/>
      <c r="L4500"/>
    </row>
    <row r="4501" spans="8:12">
      <c r="H4501"/>
      <c r="I4501"/>
      <c r="J4501"/>
      <c r="K4501"/>
      <c r="L4501"/>
    </row>
    <row r="4502" spans="8:12">
      <c r="H4502"/>
      <c r="I4502"/>
      <c r="J4502"/>
      <c r="K4502"/>
      <c r="L4502"/>
    </row>
    <row r="4503" spans="8:12">
      <c r="H4503"/>
      <c r="I4503"/>
      <c r="J4503"/>
      <c r="K4503"/>
      <c r="L4503"/>
    </row>
    <row r="4504" spans="8:12">
      <c r="H4504"/>
      <c r="I4504"/>
      <c r="J4504"/>
      <c r="K4504"/>
      <c r="L4504"/>
    </row>
    <row r="4505" spans="8:12">
      <c r="H4505"/>
      <c r="I4505"/>
      <c r="J4505"/>
      <c r="K4505"/>
      <c r="L4505"/>
    </row>
    <row r="4506" spans="8:12">
      <c r="H4506"/>
      <c r="I4506"/>
      <c r="J4506"/>
      <c r="K4506"/>
      <c r="L4506"/>
    </row>
    <row r="4507" spans="8:12">
      <c r="H4507"/>
      <c r="I4507"/>
      <c r="J4507"/>
      <c r="K4507"/>
      <c r="L4507"/>
    </row>
    <row r="4508" spans="8:12">
      <c r="H4508"/>
      <c r="I4508"/>
      <c r="J4508"/>
      <c r="K4508"/>
      <c r="L4508"/>
    </row>
    <row r="4509" spans="8:12">
      <c r="H4509"/>
      <c r="I4509"/>
      <c r="J4509"/>
      <c r="K4509"/>
      <c r="L4509"/>
    </row>
    <row r="4510" spans="8:12">
      <c r="H4510"/>
      <c r="I4510"/>
      <c r="J4510"/>
      <c r="K4510"/>
      <c r="L4510"/>
    </row>
    <row r="4511" spans="8:12">
      <c r="H4511"/>
      <c r="I4511"/>
      <c r="J4511"/>
      <c r="K4511"/>
      <c r="L4511"/>
    </row>
    <row r="4512" spans="8:12">
      <c r="H4512"/>
      <c r="I4512"/>
      <c r="J4512"/>
      <c r="K4512"/>
      <c r="L4512"/>
    </row>
    <row r="4513" spans="8:12">
      <c r="H4513"/>
      <c r="I4513"/>
      <c r="J4513"/>
      <c r="K4513"/>
      <c r="L4513"/>
    </row>
    <row r="4514" spans="8:12">
      <c r="H4514"/>
      <c r="I4514"/>
      <c r="J4514"/>
      <c r="K4514"/>
      <c r="L4514"/>
    </row>
    <row r="4515" spans="8:12">
      <c r="H4515"/>
      <c r="I4515"/>
      <c r="J4515"/>
      <c r="K4515"/>
      <c r="L4515"/>
    </row>
    <row r="4516" spans="8:12">
      <c r="H4516"/>
      <c r="I4516"/>
      <c r="J4516"/>
      <c r="K4516"/>
      <c r="L4516"/>
    </row>
    <row r="4517" spans="8:12">
      <c r="H4517"/>
      <c r="I4517"/>
      <c r="J4517"/>
      <c r="K4517"/>
      <c r="L4517"/>
    </row>
    <row r="4518" spans="8:12">
      <c r="H4518"/>
      <c r="I4518"/>
      <c r="J4518"/>
      <c r="K4518"/>
      <c r="L4518"/>
    </row>
    <row r="4519" spans="8:12">
      <c r="H4519"/>
      <c r="I4519"/>
      <c r="J4519"/>
      <c r="K4519"/>
      <c r="L4519"/>
    </row>
    <row r="4520" spans="8:12">
      <c r="H4520"/>
      <c r="I4520"/>
      <c r="J4520"/>
      <c r="K4520"/>
      <c r="L4520"/>
    </row>
    <row r="4521" spans="8:12">
      <c r="H4521"/>
      <c r="I4521"/>
      <c r="J4521"/>
      <c r="K4521"/>
      <c r="L4521"/>
    </row>
    <row r="4522" spans="8:12">
      <c r="H4522"/>
      <c r="I4522"/>
      <c r="J4522"/>
      <c r="K4522"/>
      <c r="L4522"/>
    </row>
    <row r="4523" spans="8:12">
      <c r="H4523"/>
      <c r="I4523"/>
      <c r="J4523"/>
      <c r="K4523"/>
      <c r="L4523"/>
    </row>
    <row r="4524" spans="8:12">
      <c r="H4524"/>
      <c r="I4524"/>
      <c r="J4524"/>
      <c r="K4524"/>
      <c r="L4524"/>
    </row>
    <row r="4525" spans="8:12">
      <c r="H4525"/>
      <c r="I4525"/>
      <c r="J4525"/>
      <c r="K4525"/>
      <c r="L4525"/>
    </row>
    <row r="4526" spans="8:12">
      <c r="H4526"/>
      <c r="I4526"/>
      <c r="J4526"/>
      <c r="K4526"/>
      <c r="L4526"/>
    </row>
    <row r="4527" spans="8:12">
      <c r="H4527"/>
      <c r="I4527"/>
      <c r="J4527"/>
      <c r="K4527"/>
      <c r="L4527"/>
    </row>
    <row r="4528" spans="8:12">
      <c r="H4528"/>
      <c r="I4528"/>
      <c r="J4528"/>
      <c r="K4528"/>
      <c r="L4528"/>
    </row>
    <row r="4529" spans="8:12">
      <c r="H4529"/>
      <c r="I4529"/>
      <c r="J4529"/>
      <c r="K4529"/>
      <c r="L4529"/>
    </row>
    <row r="4530" spans="8:12">
      <c r="H4530"/>
      <c r="I4530"/>
      <c r="J4530"/>
      <c r="K4530"/>
      <c r="L4530"/>
    </row>
    <row r="4531" spans="8:12">
      <c r="H4531"/>
      <c r="I4531"/>
      <c r="J4531"/>
      <c r="K4531"/>
      <c r="L4531"/>
    </row>
    <row r="4532" spans="8:12">
      <c r="H4532"/>
      <c r="I4532"/>
      <c r="J4532"/>
      <c r="K4532"/>
      <c r="L4532"/>
    </row>
    <row r="4533" spans="8:12">
      <c r="H4533"/>
      <c r="I4533"/>
      <c r="J4533"/>
      <c r="K4533"/>
      <c r="L4533"/>
    </row>
    <row r="4534" spans="8:12">
      <c r="H4534"/>
      <c r="I4534"/>
      <c r="J4534"/>
      <c r="K4534"/>
      <c r="L4534"/>
    </row>
    <row r="4535" spans="8:12">
      <c r="H4535"/>
      <c r="I4535"/>
      <c r="J4535"/>
      <c r="K4535"/>
      <c r="L4535"/>
    </row>
    <row r="4536" spans="8:12">
      <c r="H4536"/>
      <c r="I4536"/>
      <c r="J4536"/>
      <c r="K4536"/>
      <c r="L4536"/>
    </row>
    <row r="4537" spans="8:12">
      <c r="H4537"/>
      <c r="I4537"/>
      <c r="J4537"/>
      <c r="K4537"/>
      <c r="L4537"/>
    </row>
    <row r="4538" spans="8:12">
      <c r="H4538"/>
      <c r="I4538"/>
      <c r="J4538"/>
      <c r="K4538"/>
      <c r="L4538"/>
    </row>
    <row r="4539" spans="8:12">
      <c r="H4539"/>
      <c r="I4539"/>
      <c r="J4539"/>
      <c r="K4539"/>
      <c r="L4539"/>
    </row>
    <row r="4540" spans="8:12">
      <c r="H4540"/>
      <c r="I4540"/>
      <c r="J4540"/>
      <c r="K4540"/>
      <c r="L4540"/>
    </row>
    <row r="4541" spans="8:12">
      <c r="H4541"/>
      <c r="I4541"/>
      <c r="J4541"/>
      <c r="K4541"/>
      <c r="L4541"/>
    </row>
    <row r="4542" spans="8:12">
      <c r="H4542"/>
      <c r="I4542"/>
      <c r="J4542"/>
      <c r="K4542"/>
      <c r="L4542"/>
    </row>
    <row r="4543" spans="8:12">
      <c r="H4543"/>
      <c r="I4543"/>
      <c r="J4543"/>
      <c r="K4543"/>
      <c r="L4543"/>
    </row>
    <row r="4544" spans="8:12">
      <c r="H4544"/>
      <c r="I4544"/>
      <c r="J4544"/>
      <c r="K4544"/>
      <c r="L4544"/>
    </row>
    <row r="4545" spans="8:12">
      <c r="H4545"/>
      <c r="I4545"/>
      <c r="J4545"/>
      <c r="K4545"/>
      <c r="L4545"/>
    </row>
    <row r="4546" spans="8:12">
      <c r="H4546"/>
      <c r="I4546"/>
      <c r="J4546"/>
      <c r="K4546"/>
      <c r="L4546"/>
    </row>
    <row r="4547" spans="8:12">
      <c r="H4547"/>
      <c r="I4547"/>
      <c r="J4547"/>
      <c r="K4547"/>
      <c r="L4547"/>
    </row>
    <row r="4548" spans="8:12">
      <c r="H4548"/>
      <c r="I4548"/>
      <c r="J4548"/>
      <c r="K4548"/>
      <c r="L4548"/>
    </row>
    <row r="4549" spans="8:12">
      <c r="H4549"/>
      <c r="I4549"/>
      <c r="J4549"/>
      <c r="K4549"/>
      <c r="L4549"/>
    </row>
    <row r="4550" spans="8:12">
      <c r="H4550"/>
      <c r="I4550"/>
      <c r="J4550"/>
      <c r="K4550"/>
      <c r="L4550"/>
    </row>
    <row r="4551" spans="8:12">
      <c r="H4551"/>
      <c r="I4551"/>
      <c r="J4551"/>
      <c r="K4551"/>
      <c r="L4551"/>
    </row>
    <row r="4552" spans="8:12">
      <c r="H4552"/>
      <c r="I4552"/>
      <c r="J4552"/>
      <c r="K4552"/>
      <c r="L4552"/>
    </row>
    <row r="4553" spans="8:12">
      <c r="H4553"/>
      <c r="I4553"/>
      <c r="J4553"/>
      <c r="K4553"/>
      <c r="L4553"/>
    </row>
    <row r="4554" spans="8:12">
      <c r="H4554"/>
      <c r="I4554"/>
      <c r="J4554"/>
      <c r="K4554"/>
      <c r="L4554"/>
    </row>
    <row r="4555" spans="8:12">
      <c r="H4555"/>
      <c r="I4555"/>
      <c r="J4555"/>
      <c r="K4555"/>
      <c r="L4555"/>
    </row>
    <row r="4556" spans="8:12">
      <c r="H4556"/>
      <c r="I4556"/>
      <c r="J4556"/>
      <c r="K4556"/>
      <c r="L4556"/>
    </row>
    <row r="4557" spans="8:12">
      <c r="H4557"/>
      <c r="I4557"/>
      <c r="J4557"/>
      <c r="K4557"/>
      <c r="L4557"/>
    </row>
    <row r="4558" spans="8:12">
      <c r="H4558"/>
      <c r="I4558"/>
      <c r="J4558"/>
      <c r="K4558"/>
      <c r="L4558"/>
    </row>
    <row r="4559" spans="8:12">
      <c r="H4559"/>
      <c r="I4559"/>
      <c r="J4559"/>
      <c r="K4559"/>
      <c r="L4559"/>
    </row>
    <row r="4560" spans="8:12">
      <c r="H4560"/>
      <c r="I4560"/>
      <c r="J4560"/>
      <c r="K4560"/>
      <c r="L4560"/>
    </row>
    <row r="4561" spans="8:12">
      <c r="H4561"/>
      <c r="I4561"/>
      <c r="J4561"/>
      <c r="K4561"/>
      <c r="L4561"/>
    </row>
    <row r="4562" spans="8:12">
      <c r="H4562"/>
      <c r="I4562"/>
      <c r="J4562"/>
      <c r="K4562"/>
      <c r="L4562"/>
    </row>
    <row r="4563" spans="8:12">
      <c r="H4563"/>
      <c r="I4563"/>
      <c r="J4563"/>
      <c r="K4563"/>
      <c r="L4563"/>
    </row>
    <row r="4564" spans="8:12">
      <c r="H4564"/>
      <c r="I4564"/>
      <c r="J4564"/>
      <c r="K4564"/>
      <c r="L4564"/>
    </row>
    <row r="4565" spans="8:12">
      <c r="H4565"/>
      <c r="I4565"/>
      <c r="J4565"/>
      <c r="K4565"/>
      <c r="L4565"/>
    </row>
    <row r="4566" spans="8:12">
      <c r="H4566"/>
      <c r="I4566"/>
      <c r="J4566"/>
      <c r="K4566"/>
      <c r="L4566"/>
    </row>
    <row r="4567" spans="8:12">
      <c r="H4567"/>
      <c r="I4567"/>
      <c r="J4567"/>
      <c r="K4567"/>
      <c r="L4567"/>
    </row>
    <row r="4568" spans="8:12">
      <c r="H4568"/>
      <c r="I4568"/>
      <c r="J4568"/>
      <c r="K4568"/>
      <c r="L4568"/>
    </row>
    <row r="4569" spans="8:12">
      <c r="H4569"/>
      <c r="I4569"/>
      <c r="J4569"/>
      <c r="K4569"/>
      <c r="L4569"/>
    </row>
    <row r="4570" spans="8:12">
      <c r="H4570"/>
      <c r="I4570"/>
      <c r="J4570"/>
      <c r="K4570"/>
      <c r="L4570"/>
    </row>
    <row r="4571" spans="8:12">
      <c r="H4571"/>
      <c r="I4571"/>
      <c r="J4571"/>
      <c r="K4571"/>
      <c r="L4571"/>
    </row>
    <row r="4572" spans="8:12">
      <c r="H4572"/>
      <c r="I4572"/>
      <c r="J4572"/>
      <c r="K4572"/>
      <c r="L4572"/>
    </row>
    <row r="4573" spans="8:12">
      <c r="H4573"/>
      <c r="I4573"/>
      <c r="J4573"/>
      <c r="K4573"/>
      <c r="L4573"/>
    </row>
    <row r="4574" spans="8:12">
      <c r="H4574"/>
      <c r="I4574"/>
      <c r="J4574"/>
      <c r="K4574"/>
      <c r="L4574"/>
    </row>
    <row r="4575" spans="8:12">
      <c r="H4575"/>
      <c r="I4575"/>
      <c r="J4575"/>
      <c r="K4575"/>
      <c r="L4575"/>
    </row>
    <row r="4576" spans="8:12">
      <c r="H4576"/>
      <c r="I4576"/>
      <c r="J4576"/>
      <c r="K4576"/>
      <c r="L4576"/>
    </row>
    <row r="4577" spans="8:12">
      <c r="H4577"/>
      <c r="I4577"/>
      <c r="J4577"/>
      <c r="K4577"/>
      <c r="L4577"/>
    </row>
    <row r="4578" spans="8:12">
      <c r="H4578"/>
      <c r="I4578"/>
      <c r="J4578"/>
      <c r="K4578"/>
      <c r="L4578"/>
    </row>
    <row r="4579" spans="8:12">
      <c r="H4579"/>
      <c r="I4579"/>
      <c r="J4579"/>
      <c r="K4579"/>
      <c r="L4579"/>
    </row>
    <row r="4580" spans="8:12">
      <c r="H4580"/>
      <c r="I4580"/>
      <c r="J4580"/>
      <c r="K4580"/>
      <c r="L4580"/>
    </row>
    <row r="4581" spans="8:12">
      <c r="H4581"/>
      <c r="I4581"/>
      <c r="J4581"/>
      <c r="K4581"/>
      <c r="L4581"/>
    </row>
    <row r="4582" spans="8:12">
      <c r="H4582"/>
      <c r="I4582"/>
      <c r="J4582"/>
      <c r="K4582"/>
      <c r="L4582"/>
    </row>
    <row r="4583" spans="8:12">
      <c r="H4583"/>
      <c r="I4583"/>
      <c r="J4583"/>
      <c r="K4583"/>
      <c r="L4583"/>
    </row>
    <row r="4584" spans="8:12">
      <c r="H4584"/>
      <c r="I4584"/>
      <c r="J4584"/>
      <c r="K4584"/>
      <c r="L4584"/>
    </row>
    <row r="4585" spans="8:12">
      <c r="H4585"/>
      <c r="I4585"/>
      <c r="J4585"/>
      <c r="K4585"/>
      <c r="L4585"/>
    </row>
    <row r="4586" spans="8:12">
      <c r="H4586"/>
      <c r="I4586"/>
      <c r="J4586"/>
      <c r="K4586"/>
      <c r="L4586"/>
    </row>
    <row r="4587" spans="8:12">
      <c r="H4587"/>
      <c r="I4587"/>
      <c r="J4587"/>
      <c r="K4587"/>
      <c r="L4587"/>
    </row>
    <row r="4588" spans="8:12">
      <c r="H4588"/>
      <c r="I4588"/>
      <c r="J4588"/>
      <c r="K4588"/>
      <c r="L4588"/>
    </row>
    <row r="4589" spans="8:12">
      <c r="H4589"/>
      <c r="I4589"/>
      <c r="J4589"/>
      <c r="K4589"/>
      <c r="L4589"/>
    </row>
    <row r="4590" spans="8:12">
      <c r="H4590"/>
      <c r="I4590"/>
      <c r="J4590"/>
      <c r="K4590"/>
      <c r="L4590"/>
    </row>
    <row r="4591" spans="8:12">
      <c r="H4591"/>
      <c r="I4591"/>
      <c r="J4591"/>
      <c r="K4591"/>
      <c r="L4591"/>
    </row>
    <row r="4592" spans="8:12">
      <c r="H4592"/>
      <c r="I4592"/>
      <c r="J4592"/>
      <c r="K4592"/>
      <c r="L4592"/>
    </row>
    <row r="4593" spans="8:12">
      <c r="H4593"/>
      <c r="I4593"/>
      <c r="J4593"/>
      <c r="K4593"/>
      <c r="L4593"/>
    </row>
    <row r="4594" spans="8:12">
      <c r="H4594"/>
      <c r="I4594"/>
      <c r="J4594"/>
      <c r="K4594"/>
      <c r="L4594"/>
    </row>
    <row r="4595" spans="8:12">
      <c r="H4595"/>
      <c r="I4595"/>
      <c r="J4595"/>
      <c r="K4595"/>
      <c r="L4595"/>
    </row>
    <row r="4596" spans="8:12">
      <c r="H4596"/>
      <c r="I4596"/>
      <c r="J4596"/>
      <c r="K4596"/>
      <c r="L4596"/>
    </row>
    <row r="4597" spans="8:12">
      <c r="H4597"/>
      <c r="I4597"/>
      <c r="J4597"/>
      <c r="K4597"/>
      <c r="L4597"/>
    </row>
    <row r="4598" spans="8:12">
      <c r="H4598"/>
      <c r="I4598"/>
      <c r="J4598"/>
      <c r="K4598"/>
      <c r="L4598"/>
    </row>
    <row r="4599" spans="8:12">
      <c r="H4599"/>
      <c r="I4599"/>
      <c r="J4599"/>
      <c r="K4599"/>
      <c r="L4599"/>
    </row>
    <row r="4600" spans="8:12">
      <c r="H4600"/>
      <c r="I4600"/>
      <c r="J4600"/>
      <c r="K4600"/>
      <c r="L4600"/>
    </row>
    <row r="4601" spans="8:12">
      <c r="H4601"/>
      <c r="I4601"/>
      <c r="J4601"/>
      <c r="K4601"/>
      <c r="L4601"/>
    </row>
    <row r="4602" spans="8:12">
      <c r="H4602"/>
      <c r="I4602"/>
      <c r="J4602"/>
      <c r="K4602"/>
      <c r="L4602"/>
    </row>
    <row r="4603" spans="8:12">
      <c r="H4603"/>
      <c r="I4603"/>
      <c r="J4603"/>
      <c r="K4603"/>
      <c r="L4603"/>
    </row>
    <row r="4604" spans="8:12">
      <c r="H4604"/>
      <c r="I4604"/>
      <c r="J4604"/>
      <c r="K4604"/>
      <c r="L4604"/>
    </row>
    <row r="4605" spans="8:12">
      <c r="H4605"/>
      <c r="I4605"/>
      <c r="J4605"/>
      <c r="K4605"/>
      <c r="L4605"/>
    </row>
    <row r="4606" spans="8:12">
      <c r="H4606"/>
      <c r="I4606"/>
      <c r="J4606"/>
      <c r="K4606"/>
      <c r="L4606"/>
    </row>
    <row r="4607" spans="8:12">
      <c r="H4607"/>
      <c r="I4607"/>
      <c r="J4607"/>
      <c r="K4607"/>
      <c r="L4607"/>
    </row>
    <row r="4608" spans="8:12">
      <c r="H4608"/>
      <c r="I4608"/>
      <c r="J4608"/>
      <c r="K4608"/>
      <c r="L4608"/>
    </row>
    <row r="4609" spans="8:12">
      <c r="H4609"/>
      <c r="I4609"/>
      <c r="J4609"/>
      <c r="K4609"/>
      <c r="L4609"/>
    </row>
    <row r="4610" spans="8:12">
      <c r="H4610"/>
      <c r="I4610"/>
      <c r="J4610"/>
      <c r="K4610"/>
      <c r="L4610"/>
    </row>
    <row r="4611" spans="8:12">
      <c r="H4611"/>
      <c r="I4611"/>
      <c r="J4611"/>
      <c r="K4611"/>
      <c r="L4611"/>
    </row>
    <row r="4612" spans="8:12">
      <c r="H4612"/>
      <c r="I4612"/>
      <c r="J4612"/>
      <c r="K4612"/>
      <c r="L4612"/>
    </row>
    <row r="4613" spans="8:12">
      <c r="H4613"/>
      <c r="I4613"/>
      <c r="J4613"/>
      <c r="K4613"/>
      <c r="L4613"/>
    </row>
    <row r="4614" spans="8:12">
      <c r="H4614"/>
      <c r="I4614"/>
      <c r="J4614"/>
      <c r="K4614"/>
      <c r="L4614"/>
    </row>
    <row r="4615" spans="8:12">
      <c r="H4615"/>
      <c r="I4615"/>
      <c r="J4615"/>
      <c r="K4615"/>
      <c r="L4615"/>
    </row>
    <row r="4616" spans="8:12">
      <c r="H4616"/>
      <c r="I4616"/>
      <c r="J4616"/>
      <c r="K4616"/>
      <c r="L4616"/>
    </row>
    <row r="4617" spans="8:12">
      <c r="H4617"/>
      <c r="I4617"/>
      <c r="J4617"/>
      <c r="K4617"/>
      <c r="L4617"/>
    </row>
    <row r="4618" spans="8:12">
      <c r="H4618"/>
      <c r="I4618"/>
      <c r="J4618"/>
      <c r="K4618"/>
      <c r="L4618"/>
    </row>
    <row r="4619" spans="8:12">
      <c r="H4619"/>
      <c r="I4619"/>
      <c r="J4619"/>
      <c r="K4619"/>
      <c r="L4619"/>
    </row>
    <row r="4620" spans="8:12">
      <c r="H4620"/>
      <c r="I4620"/>
      <c r="J4620"/>
      <c r="K4620"/>
      <c r="L4620"/>
    </row>
    <row r="4621" spans="8:12">
      <c r="H4621"/>
      <c r="I4621"/>
      <c r="J4621"/>
      <c r="K4621"/>
      <c r="L4621"/>
    </row>
    <row r="4622" spans="8:12">
      <c r="H4622"/>
      <c r="I4622"/>
      <c r="J4622"/>
      <c r="K4622"/>
      <c r="L4622"/>
    </row>
    <row r="4623" spans="8:12">
      <c r="H4623"/>
      <c r="I4623"/>
      <c r="J4623"/>
      <c r="K4623"/>
      <c r="L4623"/>
    </row>
    <row r="4624" spans="8:12">
      <c r="H4624"/>
      <c r="I4624"/>
      <c r="J4624"/>
      <c r="K4624"/>
      <c r="L4624"/>
    </row>
    <row r="4625" spans="8:12">
      <c r="H4625"/>
      <c r="I4625"/>
      <c r="J4625"/>
      <c r="K4625"/>
      <c r="L4625"/>
    </row>
    <row r="4626" spans="8:12">
      <c r="H4626"/>
      <c r="I4626"/>
      <c r="J4626"/>
      <c r="K4626"/>
      <c r="L4626"/>
    </row>
    <row r="4627" spans="8:12">
      <c r="H4627"/>
      <c r="I4627"/>
      <c r="J4627"/>
      <c r="K4627"/>
      <c r="L4627"/>
    </row>
    <row r="4628" spans="8:12">
      <c r="H4628"/>
      <c r="I4628"/>
      <c r="J4628"/>
      <c r="K4628"/>
      <c r="L4628"/>
    </row>
    <row r="4629" spans="8:12">
      <c r="H4629"/>
      <c r="I4629"/>
      <c r="J4629"/>
      <c r="K4629"/>
      <c r="L4629"/>
    </row>
    <row r="4630" spans="8:12">
      <c r="H4630"/>
      <c r="I4630"/>
      <c r="J4630"/>
      <c r="K4630"/>
      <c r="L4630"/>
    </row>
    <row r="4631" spans="8:12">
      <c r="H4631"/>
      <c r="I4631"/>
      <c r="J4631"/>
      <c r="K4631"/>
      <c r="L4631"/>
    </row>
    <row r="4632" spans="8:12">
      <c r="H4632"/>
      <c r="I4632"/>
      <c r="J4632"/>
      <c r="K4632"/>
      <c r="L4632"/>
    </row>
    <row r="4633" spans="8:12">
      <c r="H4633"/>
      <c r="I4633"/>
      <c r="J4633"/>
      <c r="K4633"/>
      <c r="L4633"/>
    </row>
    <row r="4634" spans="8:12">
      <c r="H4634"/>
      <c r="I4634"/>
      <c r="J4634"/>
      <c r="K4634"/>
      <c r="L4634"/>
    </row>
    <row r="4635" spans="8:12">
      <c r="H4635"/>
      <c r="I4635"/>
      <c r="J4635"/>
      <c r="K4635"/>
      <c r="L4635"/>
    </row>
    <row r="4636" spans="8:12">
      <c r="H4636"/>
      <c r="I4636"/>
      <c r="J4636"/>
      <c r="K4636"/>
      <c r="L4636"/>
    </row>
    <row r="4637" spans="8:12">
      <c r="H4637"/>
      <c r="I4637"/>
      <c r="J4637"/>
      <c r="K4637"/>
      <c r="L4637"/>
    </row>
    <row r="4638" spans="8:12">
      <c r="H4638"/>
      <c r="I4638"/>
      <c r="J4638"/>
      <c r="K4638"/>
      <c r="L4638"/>
    </row>
    <row r="4639" spans="8:12">
      <c r="H4639"/>
      <c r="I4639"/>
      <c r="J4639"/>
      <c r="K4639"/>
      <c r="L4639"/>
    </row>
    <row r="4640" spans="8:12">
      <c r="H4640"/>
      <c r="I4640"/>
      <c r="J4640"/>
      <c r="K4640"/>
      <c r="L4640"/>
    </row>
    <row r="4641" spans="8:12">
      <c r="H4641"/>
      <c r="I4641"/>
      <c r="J4641"/>
      <c r="K4641"/>
      <c r="L4641"/>
    </row>
    <row r="4642" spans="8:12">
      <c r="H4642"/>
      <c r="I4642"/>
      <c r="J4642"/>
      <c r="K4642"/>
      <c r="L4642"/>
    </row>
    <row r="4643" spans="8:12">
      <c r="H4643"/>
      <c r="I4643"/>
      <c r="J4643"/>
      <c r="K4643"/>
      <c r="L4643"/>
    </row>
    <row r="4644" spans="8:12">
      <c r="H4644"/>
      <c r="I4644"/>
      <c r="J4644"/>
      <c r="K4644"/>
      <c r="L4644"/>
    </row>
    <row r="4645" spans="8:12">
      <c r="H4645"/>
      <c r="I4645"/>
      <c r="J4645"/>
      <c r="K4645"/>
      <c r="L4645"/>
    </row>
    <row r="4646" spans="8:12">
      <c r="H4646"/>
      <c r="I4646"/>
      <c r="J4646"/>
      <c r="K4646"/>
      <c r="L4646"/>
    </row>
    <row r="4647" spans="8:12">
      <c r="H4647"/>
      <c r="I4647"/>
      <c r="J4647"/>
      <c r="K4647"/>
      <c r="L4647"/>
    </row>
    <row r="4648" spans="8:12">
      <c r="H4648"/>
      <c r="I4648"/>
      <c r="J4648"/>
      <c r="K4648"/>
      <c r="L4648"/>
    </row>
    <row r="4649" spans="8:12">
      <c r="H4649"/>
      <c r="I4649"/>
      <c r="J4649"/>
      <c r="K4649"/>
      <c r="L4649"/>
    </row>
    <row r="4650" spans="8:12">
      <c r="H4650"/>
      <c r="I4650"/>
      <c r="J4650"/>
      <c r="K4650"/>
      <c r="L4650"/>
    </row>
    <row r="4651" spans="8:12">
      <c r="H4651"/>
      <c r="I4651"/>
      <c r="J4651"/>
      <c r="K4651"/>
      <c r="L4651"/>
    </row>
    <row r="4652" spans="8:12">
      <c r="H4652"/>
      <c r="I4652"/>
      <c r="J4652"/>
      <c r="K4652"/>
      <c r="L4652"/>
    </row>
    <row r="4653" spans="8:12">
      <c r="H4653"/>
      <c r="I4653"/>
      <c r="J4653"/>
      <c r="K4653"/>
      <c r="L4653"/>
    </row>
    <row r="4654" spans="8:12">
      <c r="H4654"/>
      <c r="I4654"/>
      <c r="J4654"/>
      <c r="K4654"/>
      <c r="L4654"/>
    </row>
    <row r="4655" spans="8:12">
      <c r="H4655"/>
      <c r="I4655"/>
      <c r="J4655"/>
      <c r="K4655"/>
      <c r="L4655"/>
    </row>
    <row r="4656" spans="8:12">
      <c r="H4656"/>
      <c r="I4656"/>
      <c r="J4656"/>
      <c r="K4656"/>
      <c r="L4656"/>
    </row>
    <row r="4657" spans="8:12">
      <c r="H4657"/>
      <c r="I4657"/>
      <c r="J4657"/>
      <c r="K4657"/>
      <c r="L4657"/>
    </row>
    <row r="4658" spans="8:12">
      <c r="H4658"/>
      <c r="I4658"/>
      <c r="J4658"/>
      <c r="K4658"/>
      <c r="L4658"/>
    </row>
    <row r="4659" spans="8:12">
      <c r="H4659"/>
      <c r="I4659"/>
      <c r="J4659"/>
      <c r="K4659"/>
      <c r="L4659"/>
    </row>
    <row r="4660" spans="8:12">
      <c r="H4660"/>
      <c r="I4660"/>
      <c r="J4660"/>
      <c r="K4660"/>
      <c r="L4660"/>
    </row>
    <row r="4661" spans="8:12">
      <c r="H4661"/>
      <c r="I4661"/>
      <c r="J4661"/>
      <c r="K4661"/>
      <c r="L4661"/>
    </row>
    <row r="4662" spans="8:12">
      <c r="H4662"/>
      <c r="I4662"/>
      <c r="J4662"/>
      <c r="K4662"/>
      <c r="L4662"/>
    </row>
    <row r="4663" spans="8:12">
      <c r="H4663"/>
      <c r="I4663"/>
      <c r="J4663"/>
      <c r="K4663"/>
      <c r="L4663"/>
    </row>
    <row r="4664" spans="8:12">
      <c r="H4664"/>
      <c r="I4664"/>
      <c r="J4664"/>
      <c r="K4664"/>
      <c r="L4664"/>
    </row>
    <row r="4665" spans="8:12">
      <c r="H4665"/>
      <c r="I4665"/>
      <c r="J4665"/>
      <c r="K4665"/>
      <c r="L4665"/>
    </row>
    <row r="4666" spans="8:12">
      <c r="H4666"/>
      <c r="I4666"/>
      <c r="J4666"/>
      <c r="K4666"/>
      <c r="L4666"/>
    </row>
    <row r="4667" spans="8:12">
      <c r="H4667"/>
      <c r="I4667"/>
      <c r="J4667"/>
      <c r="K4667"/>
      <c r="L4667"/>
    </row>
    <row r="4668" spans="8:12">
      <c r="H4668"/>
      <c r="I4668"/>
      <c r="J4668"/>
      <c r="K4668"/>
      <c r="L4668"/>
    </row>
    <row r="4669" spans="8:12">
      <c r="H4669"/>
      <c r="I4669"/>
      <c r="J4669"/>
      <c r="K4669"/>
      <c r="L4669"/>
    </row>
    <row r="4670" spans="8:12">
      <c r="H4670"/>
      <c r="I4670"/>
      <c r="J4670"/>
      <c r="K4670"/>
      <c r="L4670"/>
    </row>
    <row r="4671" spans="8:12">
      <c r="H4671"/>
      <c r="I4671"/>
      <c r="J4671"/>
      <c r="K4671"/>
      <c r="L4671"/>
    </row>
    <row r="4672" spans="8:12">
      <c r="H4672"/>
      <c r="I4672"/>
      <c r="J4672"/>
      <c r="K4672"/>
      <c r="L4672"/>
    </row>
    <row r="4673" spans="8:12">
      <c r="H4673"/>
      <c r="I4673"/>
      <c r="J4673"/>
      <c r="K4673"/>
      <c r="L4673"/>
    </row>
    <row r="4674" spans="8:12">
      <c r="H4674"/>
      <c r="I4674"/>
      <c r="J4674"/>
      <c r="K4674"/>
      <c r="L4674"/>
    </row>
    <row r="4675" spans="8:12">
      <c r="H4675"/>
      <c r="I4675"/>
      <c r="J4675"/>
      <c r="K4675"/>
      <c r="L4675"/>
    </row>
    <row r="4676" spans="8:12">
      <c r="H4676"/>
      <c r="I4676"/>
      <c r="J4676"/>
      <c r="K4676"/>
      <c r="L4676"/>
    </row>
    <row r="4677" spans="8:12">
      <c r="H4677"/>
      <c r="I4677"/>
      <c r="J4677"/>
      <c r="K4677"/>
      <c r="L4677"/>
    </row>
    <row r="4678" spans="8:12">
      <c r="H4678"/>
      <c r="I4678"/>
      <c r="J4678"/>
      <c r="K4678"/>
      <c r="L4678"/>
    </row>
    <row r="4679" spans="8:12">
      <c r="H4679"/>
      <c r="I4679"/>
      <c r="J4679"/>
      <c r="K4679"/>
      <c r="L4679"/>
    </row>
    <row r="4680" spans="8:12">
      <c r="H4680"/>
      <c r="I4680"/>
      <c r="J4680"/>
      <c r="K4680"/>
      <c r="L4680"/>
    </row>
    <row r="4681" spans="8:12">
      <c r="H4681"/>
      <c r="I4681"/>
      <c r="J4681"/>
      <c r="K4681"/>
      <c r="L4681"/>
    </row>
    <row r="4682" spans="8:12">
      <c r="H4682"/>
      <c r="I4682"/>
      <c r="J4682"/>
      <c r="K4682"/>
      <c r="L4682"/>
    </row>
    <row r="4683" spans="8:12">
      <c r="H4683"/>
      <c r="I4683"/>
      <c r="J4683"/>
      <c r="K4683"/>
      <c r="L4683"/>
    </row>
    <row r="4684" spans="8:12">
      <c r="H4684"/>
      <c r="I4684"/>
      <c r="J4684"/>
      <c r="K4684"/>
      <c r="L4684"/>
    </row>
    <row r="4685" spans="8:12">
      <c r="H4685"/>
      <c r="I4685"/>
      <c r="J4685"/>
      <c r="K4685"/>
      <c r="L4685"/>
    </row>
    <row r="4686" spans="8:12">
      <c r="H4686"/>
      <c r="I4686"/>
      <c r="J4686"/>
      <c r="K4686"/>
      <c r="L4686"/>
    </row>
    <row r="4687" spans="8:12">
      <c r="H4687"/>
      <c r="I4687"/>
      <c r="J4687"/>
      <c r="K4687"/>
      <c r="L4687"/>
    </row>
    <row r="4688" spans="8:12">
      <c r="H4688"/>
      <c r="I4688"/>
      <c r="J4688"/>
      <c r="K4688"/>
      <c r="L4688"/>
    </row>
    <row r="4689" spans="8:12">
      <c r="H4689"/>
      <c r="I4689"/>
      <c r="J4689"/>
      <c r="K4689"/>
      <c r="L4689"/>
    </row>
    <row r="4690" spans="8:12">
      <c r="H4690"/>
      <c r="I4690"/>
      <c r="J4690"/>
      <c r="K4690"/>
      <c r="L4690"/>
    </row>
    <row r="4691" spans="8:12">
      <c r="H4691"/>
      <c r="I4691"/>
      <c r="J4691"/>
      <c r="K4691"/>
      <c r="L4691"/>
    </row>
    <row r="4692" spans="8:12">
      <c r="H4692"/>
      <c r="I4692"/>
      <c r="J4692"/>
      <c r="K4692"/>
      <c r="L4692"/>
    </row>
    <row r="4693" spans="8:12">
      <c r="H4693"/>
      <c r="I4693"/>
      <c r="J4693"/>
      <c r="K4693"/>
      <c r="L4693"/>
    </row>
    <row r="4694" spans="8:12">
      <c r="H4694"/>
      <c r="I4694"/>
      <c r="J4694"/>
      <c r="K4694"/>
      <c r="L4694"/>
    </row>
    <row r="4695" spans="8:12">
      <c r="H4695"/>
      <c r="I4695"/>
      <c r="J4695"/>
      <c r="K4695"/>
      <c r="L4695"/>
    </row>
    <row r="4696" spans="8:12">
      <c r="H4696"/>
      <c r="I4696"/>
      <c r="J4696"/>
      <c r="K4696"/>
      <c r="L4696"/>
    </row>
    <row r="4697" spans="8:12">
      <c r="H4697"/>
      <c r="I4697"/>
      <c r="J4697"/>
      <c r="K4697"/>
      <c r="L4697"/>
    </row>
    <row r="4698" spans="8:12">
      <c r="H4698"/>
      <c r="I4698"/>
      <c r="J4698"/>
      <c r="K4698"/>
      <c r="L4698"/>
    </row>
    <row r="4699" spans="8:12">
      <c r="H4699"/>
      <c r="I4699"/>
      <c r="J4699"/>
      <c r="K4699"/>
      <c r="L4699"/>
    </row>
    <row r="4700" spans="8:12">
      <c r="H4700"/>
      <c r="I4700"/>
      <c r="J4700"/>
      <c r="K4700"/>
      <c r="L4700"/>
    </row>
    <row r="4701" spans="8:12">
      <c r="H4701"/>
      <c r="I4701"/>
      <c r="J4701"/>
      <c r="K4701"/>
      <c r="L4701"/>
    </row>
    <row r="4702" spans="8:12">
      <c r="H4702"/>
      <c r="I4702"/>
      <c r="J4702"/>
      <c r="K4702"/>
      <c r="L4702"/>
    </row>
    <row r="4703" spans="8:12">
      <c r="H4703"/>
      <c r="I4703"/>
      <c r="J4703"/>
      <c r="K4703"/>
      <c r="L4703"/>
    </row>
    <row r="4704" spans="8:12">
      <c r="H4704"/>
      <c r="I4704"/>
      <c r="J4704"/>
      <c r="K4704"/>
      <c r="L4704"/>
    </row>
    <row r="4705" spans="8:12">
      <c r="H4705"/>
      <c r="I4705"/>
      <c r="J4705"/>
      <c r="K4705"/>
      <c r="L4705"/>
    </row>
    <row r="4706" spans="8:12">
      <c r="H4706"/>
      <c r="I4706"/>
      <c r="J4706"/>
      <c r="K4706"/>
      <c r="L4706"/>
    </row>
    <row r="4707" spans="8:12">
      <c r="H4707"/>
      <c r="I4707"/>
      <c r="J4707"/>
      <c r="K4707"/>
      <c r="L4707"/>
    </row>
    <row r="4708" spans="8:12">
      <c r="H4708"/>
      <c r="I4708"/>
      <c r="J4708"/>
      <c r="K4708"/>
      <c r="L4708"/>
    </row>
    <row r="4709" spans="8:12">
      <c r="H4709"/>
      <c r="I4709"/>
      <c r="J4709"/>
      <c r="K4709"/>
      <c r="L4709"/>
    </row>
    <row r="4710" spans="8:12">
      <c r="H4710"/>
      <c r="I4710"/>
      <c r="J4710"/>
      <c r="K4710"/>
      <c r="L4710"/>
    </row>
    <row r="4711" spans="8:12">
      <c r="H4711"/>
      <c r="I4711"/>
      <c r="J4711"/>
      <c r="K4711"/>
      <c r="L4711"/>
    </row>
    <row r="4712" spans="8:12">
      <c r="H4712"/>
      <c r="I4712"/>
      <c r="J4712"/>
      <c r="K4712"/>
      <c r="L4712"/>
    </row>
    <row r="4713" spans="8:12">
      <c r="H4713"/>
      <c r="I4713"/>
      <c r="J4713"/>
      <c r="K4713"/>
      <c r="L4713"/>
    </row>
    <row r="4714" spans="8:12">
      <c r="H4714"/>
      <c r="I4714"/>
      <c r="J4714"/>
      <c r="K4714"/>
      <c r="L4714"/>
    </row>
    <row r="4715" spans="8:12">
      <c r="H4715"/>
      <c r="I4715"/>
      <c r="J4715"/>
      <c r="K4715"/>
      <c r="L4715"/>
    </row>
    <row r="4716" spans="8:12">
      <c r="H4716"/>
      <c r="I4716"/>
      <c r="J4716"/>
      <c r="K4716"/>
      <c r="L4716"/>
    </row>
    <row r="4717" spans="8:12">
      <c r="H4717"/>
      <c r="I4717"/>
      <c r="J4717"/>
      <c r="K4717"/>
      <c r="L4717"/>
    </row>
    <row r="4718" spans="8:12">
      <c r="H4718"/>
      <c r="I4718"/>
      <c r="J4718"/>
      <c r="K4718"/>
      <c r="L4718"/>
    </row>
    <row r="4719" spans="8:12">
      <c r="H4719"/>
      <c r="I4719"/>
      <c r="J4719"/>
      <c r="K4719"/>
      <c r="L4719"/>
    </row>
    <row r="4720" spans="8:12">
      <c r="H4720"/>
      <c r="I4720"/>
      <c r="J4720"/>
      <c r="K4720"/>
      <c r="L4720"/>
    </row>
    <row r="4721" spans="8:12">
      <c r="H4721"/>
      <c r="I4721"/>
      <c r="J4721"/>
      <c r="K4721"/>
      <c r="L4721"/>
    </row>
    <row r="4722" spans="8:12">
      <c r="H4722"/>
      <c r="I4722"/>
      <c r="J4722"/>
      <c r="K4722"/>
      <c r="L4722"/>
    </row>
    <row r="4723" spans="8:12">
      <c r="H4723"/>
      <c r="I4723"/>
      <c r="J4723"/>
      <c r="K4723"/>
      <c r="L4723"/>
    </row>
    <row r="4724" spans="8:12">
      <c r="H4724"/>
      <c r="I4724"/>
      <c r="J4724"/>
      <c r="K4724"/>
      <c r="L4724"/>
    </row>
    <row r="4725" spans="8:12">
      <c r="H4725"/>
      <c r="I4725"/>
      <c r="J4725"/>
      <c r="K4725"/>
      <c r="L4725"/>
    </row>
    <row r="4726" spans="8:12">
      <c r="H4726"/>
      <c r="I4726"/>
      <c r="J4726"/>
      <c r="K4726"/>
      <c r="L4726"/>
    </row>
    <row r="4727" spans="8:12">
      <c r="H4727"/>
      <c r="I4727"/>
      <c r="J4727"/>
      <c r="K4727"/>
      <c r="L4727"/>
    </row>
    <row r="4728" spans="8:12">
      <c r="H4728"/>
      <c r="I4728"/>
      <c r="J4728"/>
      <c r="K4728"/>
      <c r="L4728"/>
    </row>
    <row r="4729" spans="8:12">
      <c r="H4729"/>
      <c r="I4729"/>
      <c r="J4729"/>
      <c r="K4729"/>
      <c r="L4729"/>
    </row>
    <row r="4730" spans="8:12">
      <c r="H4730"/>
      <c r="I4730"/>
      <c r="J4730"/>
      <c r="K4730"/>
      <c r="L4730"/>
    </row>
    <row r="4731" spans="8:12">
      <c r="H4731"/>
      <c r="I4731"/>
      <c r="J4731"/>
      <c r="K4731"/>
      <c r="L4731"/>
    </row>
    <row r="4732" spans="8:12">
      <c r="H4732"/>
      <c r="I4732"/>
      <c r="J4732"/>
      <c r="K4732"/>
      <c r="L4732"/>
    </row>
    <row r="4733" spans="8:12">
      <c r="H4733"/>
      <c r="I4733"/>
      <c r="J4733"/>
      <c r="K4733"/>
      <c r="L4733"/>
    </row>
    <row r="4734" spans="8:12">
      <c r="H4734"/>
      <c r="I4734"/>
      <c r="J4734"/>
      <c r="K4734"/>
      <c r="L4734"/>
    </row>
    <row r="4735" spans="8:12">
      <c r="H4735"/>
      <c r="I4735"/>
      <c r="J4735"/>
      <c r="K4735"/>
      <c r="L4735"/>
    </row>
    <row r="4736" spans="8:12">
      <c r="H4736"/>
      <c r="I4736"/>
      <c r="J4736"/>
      <c r="K4736"/>
      <c r="L4736"/>
    </row>
    <row r="4737" spans="8:12">
      <c r="H4737"/>
      <c r="I4737"/>
      <c r="J4737"/>
      <c r="K4737"/>
      <c r="L4737"/>
    </row>
    <row r="4738" spans="8:12">
      <c r="H4738"/>
      <c r="I4738"/>
      <c r="J4738"/>
      <c r="K4738"/>
      <c r="L4738"/>
    </row>
    <row r="4739" spans="8:12">
      <c r="H4739"/>
      <c r="I4739"/>
      <c r="J4739"/>
      <c r="K4739"/>
      <c r="L4739"/>
    </row>
    <row r="4740" spans="8:12">
      <c r="H4740"/>
      <c r="I4740"/>
      <c r="J4740"/>
      <c r="K4740"/>
      <c r="L4740"/>
    </row>
    <row r="4741" spans="8:12">
      <c r="H4741"/>
      <c r="I4741"/>
      <c r="J4741"/>
      <c r="K4741"/>
      <c r="L4741"/>
    </row>
    <row r="4742" spans="8:12">
      <c r="H4742"/>
      <c r="I4742"/>
      <c r="J4742"/>
      <c r="K4742"/>
      <c r="L4742"/>
    </row>
    <row r="4743" spans="8:12">
      <c r="H4743"/>
      <c r="I4743"/>
      <c r="J4743"/>
      <c r="K4743"/>
      <c r="L4743"/>
    </row>
    <row r="4744" spans="8:12">
      <c r="H4744"/>
      <c r="I4744"/>
      <c r="J4744"/>
      <c r="K4744"/>
      <c r="L4744"/>
    </row>
    <row r="4745" spans="8:12">
      <c r="H4745"/>
      <c r="I4745"/>
      <c r="J4745"/>
      <c r="K4745"/>
      <c r="L4745"/>
    </row>
    <row r="4746" spans="8:12">
      <c r="H4746"/>
      <c r="I4746"/>
      <c r="J4746"/>
      <c r="K4746"/>
      <c r="L4746"/>
    </row>
    <row r="4747" spans="8:12">
      <c r="H4747"/>
      <c r="I4747"/>
      <c r="J4747"/>
      <c r="K4747"/>
      <c r="L4747"/>
    </row>
    <row r="4748" spans="8:12">
      <c r="H4748"/>
      <c r="I4748"/>
      <c r="J4748"/>
      <c r="K4748"/>
      <c r="L4748"/>
    </row>
    <row r="4749" spans="8:12">
      <c r="H4749"/>
      <c r="I4749"/>
      <c r="J4749"/>
      <c r="K4749"/>
      <c r="L4749"/>
    </row>
    <row r="4750" spans="8:12">
      <c r="H4750"/>
      <c r="I4750"/>
      <c r="J4750"/>
      <c r="K4750"/>
      <c r="L4750"/>
    </row>
    <row r="4751" spans="8:12">
      <c r="H4751"/>
      <c r="I4751"/>
      <c r="J4751"/>
      <c r="K4751"/>
      <c r="L4751"/>
    </row>
    <row r="4752" spans="8:12">
      <c r="H4752"/>
      <c r="I4752"/>
      <c r="J4752"/>
      <c r="K4752"/>
      <c r="L4752"/>
    </row>
    <row r="4753" spans="8:12">
      <c r="H4753"/>
      <c r="I4753"/>
      <c r="J4753"/>
      <c r="K4753"/>
      <c r="L4753"/>
    </row>
    <row r="4754" spans="8:12">
      <c r="H4754"/>
      <c r="I4754"/>
      <c r="J4754"/>
      <c r="K4754"/>
      <c r="L4754"/>
    </row>
    <row r="4755" spans="8:12">
      <c r="H4755"/>
      <c r="I4755"/>
      <c r="J4755"/>
      <c r="K4755"/>
      <c r="L4755"/>
    </row>
    <row r="4756" spans="8:12">
      <c r="H4756"/>
      <c r="I4756"/>
      <c r="J4756"/>
      <c r="K4756"/>
      <c r="L4756"/>
    </row>
    <row r="4757" spans="8:12">
      <c r="H4757"/>
      <c r="I4757"/>
      <c r="J4757"/>
      <c r="K4757"/>
      <c r="L4757"/>
    </row>
    <row r="4758" spans="8:12">
      <c r="H4758"/>
      <c r="I4758"/>
      <c r="J4758"/>
      <c r="K4758"/>
      <c r="L4758"/>
    </row>
    <row r="4759" spans="8:12">
      <c r="H4759"/>
      <c r="I4759"/>
      <c r="J4759"/>
      <c r="K4759"/>
      <c r="L4759"/>
    </row>
    <row r="4760" spans="8:12">
      <c r="H4760"/>
      <c r="I4760"/>
      <c r="J4760"/>
      <c r="K4760"/>
      <c r="L4760"/>
    </row>
    <row r="4761" spans="8:12">
      <c r="H4761"/>
      <c r="I4761"/>
      <c r="J4761"/>
      <c r="K4761"/>
      <c r="L4761"/>
    </row>
    <row r="4762" spans="8:12">
      <c r="H4762"/>
      <c r="I4762"/>
      <c r="J4762"/>
      <c r="K4762"/>
      <c r="L4762"/>
    </row>
    <row r="4763" spans="8:12">
      <c r="H4763"/>
      <c r="I4763"/>
      <c r="J4763"/>
      <c r="K4763"/>
      <c r="L4763"/>
    </row>
    <row r="4764" spans="8:12">
      <c r="H4764"/>
      <c r="I4764"/>
      <c r="J4764"/>
      <c r="K4764"/>
      <c r="L4764"/>
    </row>
    <row r="4765" spans="8:12">
      <c r="H4765"/>
      <c r="I4765"/>
      <c r="J4765"/>
      <c r="K4765"/>
      <c r="L4765"/>
    </row>
    <row r="4766" spans="8:12">
      <c r="H4766"/>
      <c r="I4766"/>
      <c r="J4766"/>
      <c r="K4766"/>
      <c r="L4766"/>
    </row>
    <row r="4767" spans="8:12">
      <c r="H4767"/>
      <c r="I4767"/>
      <c r="J4767"/>
      <c r="K4767"/>
      <c r="L4767"/>
    </row>
    <row r="4768" spans="8:12">
      <c r="H4768"/>
      <c r="I4768"/>
      <c r="J4768"/>
      <c r="K4768"/>
      <c r="L4768"/>
    </row>
    <row r="4769" spans="8:12">
      <c r="H4769"/>
      <c r="I4769"/>
      <c r="J4769"/>
      <c r="K4769"/>
      <c r="L4769"/>
    </row>
    <row r="4770" spans="8:12">
      <c r="H4770"/>
      <c r="I4770"/>
      <c r="J4770"/>
      <c r="K4770"/>
      <c r="L4770"/>
    </row>
    <row r="4771" spans="8:12">
      <c r="H4771"/>
      <c r="I4771"/>
      <c r="J4771"/>
      <c r="K4771"/>
      <c r="L4771"/>
    </row>
    <row r="4772" spans="8:12">
      <c r="H4772"/>
      <c r="I4772"/>
      <c r="J4772"/>
      <c r="K4772"/>
      <c r="L4772"/>
    </row>
    <row r="4773" spans="8:12">
      <c r="H4773"/>
      <c r="I4773"/>
      <c r="J4773"/>
      <c r="K4773"/>
      <c r="L4773"/>
    </row>
    <row r="4774" spans="8:12">
      <c r="H4774"/>
      <c r="I4774"/>
      <c r="J4774"/>
      <c r="K4774"/>
      <c r="L4774"/>
    </row>
    <row r="4775" spans="8:12">
      <c r="H4775"/>
      <c r="I4775"/>
      <c r="J4775"/>
      <c r="K4775"/>
      <c r="L4775"/>
    </row>
    <row r="4776" spans="8:12">
      <c r="H4776"/>
      <c r="I4776"/>
      <c r="J4776"/>
      <c r="K4776"/>
      <c r="L4776"/>
    </row>
    <row r="4777" spans="8:12">
      <c r="H4777"/>
      <c r="I4777"/>
      <c r="J4777"/>
      <c r="K4777"/>
      <c r="L4777"/>
    </row>
    <row r="4778" spans="8:12">
      <c r="H4778"/>
      <c r="I4778"/>
      <c r="J4778"/>
      <c r="K4778"/>
      <c r="L4778"/>
    </row>
    <row r="4779" spans="8:12">
      <c r="H4779"/>
      <c r="I4779"/>
      <c r="J4779"/>
      <c r="K4779"/>
      <c r="L4779"/>
    </row>
    <row r="4780" spans="8:12">
      <c r="H4780"/>
      <c r="I4780"/>
      <c r="J4780"/>
      <c r="K4780"/>
      <c r="L4780"/>
    </row>
    <row r="4781" spans="8:12">
      <c r="H4781"/>
      <c r="I4781"/>
      <c r="J4781"/>
      <c r="K4781"/>
      <c r="L4781"/>
    </row>
    <row r="4782" spans="8:12">
      <c r="H4782"/>
      <c r="I4782"/>
      <c r="J4782"/>
      <c r="K4782"/>
      <c r="L4782"/>
    </row>
    <row r="4783" spans="8:12">
      <c r="H4783"/>
      <c r="I4783"/>
      <c r="J4783"/>
      <c r="K4783"/>
      <c r="L4783"/>
    </row>
    <row r="4784" spans="8:12">
      <c r="H4784"/>
      <c r="I4784"/>
      <c r="J4784"/>
      <c r="K4784"/>
      <c r="L4784"/>
    </row>
    <row r="4785" spans="8:12">
      <c r="H4785"/>
      <c r="I4785"/>
      <c r="J4785"/>
      <c r="K4785"/>
      <c r="L4785"/>
    </row>
    <row r="4786" spans="8:12">
      <c r="H4786"/>
      <c r="I4786"/>
      <c r="J4786"/>
      <c r="K4786"/>
      <c r="L4786"/>
    </row>
    <row r="4787" spans="8:12">
      <c r="H4787"/>
      <c r="I4787"/>
      <c r="J4787"/>
      <c r="K4787"/>
      <c r="L4787"/>
    </row>
    <row r="4788" spans="8:12">
      <c r="H4788"/>
      <c r="I4788"/>
      <c r="J4788"/>
      <c r="K4788"/>
      <c r="L4788"/>
    </row>
    <row r="4789" spans="8:12">
      <c r="H4789"/>
      <c r="I4789"/>
      <c r="J4789"/>
      <c r="K4789"/>
      <c r="L4789"/>
    </row>
    <row r="4790" spans="8:12">
      <c r="H4790"/>
      <c r="I4790"/>
      <c r="J4790"/>
      <c r="K4790"/>
      <c r="L4790"/>
    </row>
    <row r="4791" spans="8:12">
      <c r="H4791"/>
      <c r="I4791"/>
      <c r="J4791"/>
      <c r="K4791"/>
      <c r="L4791"/>
    </row>
    <row r="4792" spans="8:12">
      <c r="H4792"/>
      <c r="I4792"/>
      <c r="J4792"/>
      <c r="K4792"/>
      <c r="L4792"/>
    </row>
    <row r="4793" spans="8:12">
      <c r="H4793"/>
      <c r="I4793"/>
      <c r="J4793"/>
      <c r="K4793"/>
      <c r="L4793"/>
    </row>
    <row r="4794" spans="8:12">
      <c r="H4794"/>
      <c r="I4794"/>
      <c r="J4794"/>
      <c r="K4794"/>
      <c r="L4794"/>
    </row>
    <row r="4795" spans="8:12">
      <c r="H4795"/>
      <c r="I4795"/>
      <c r="J4795"/>
      <c r="K4795"/>
      <c r="L4795"/>
    </row>
    <row r="4796" spans="8:12">
      <c r="H4796"/>
      <c r="I4796"/>
      <c r="J4796"/>
      <c r="K4796"/>
      <c r="L4796"/>
    </row>
    <row r="4797" spans="8:12">
      <c r="H4797"/>
      <c r="I4797"/>
      <c r="J4797"/>
      <c r="K4797"/>
      <c r="L4797"/>
    </row>
    <row r="4798" spans="8:12">
      <c r="H4798"/>
      <c r="I4798"/>
      <c r="J4798"/>
      <c r="K4798"/>
      <c r="L4798"/>
    </row>
    <row r="4799" spans="8:12">
      <c r="H4799"/>
      <c r="I4799"/>
      <c r="J4799"/>
      <c r="K4799"/>
      <c r="L4799"/>
    </row>
    <row r="4800" spans="8:12">
      <c r="H4800"/>
      <c r="I4800"/>
      <c r="J4800"/>
      <c r="K4800"/>
      <c r="L4800"/>
    </row>
    <row r="4801" spans="8:12">
      <c r="H4801"/>
      <c r="I4801"/>
      <c r="J4801"/>
      <c r="K4801"/>
      <c r="L4801"/>
    </row>
    <row r="4802" spans="8:12">
      <c r="H4802"/>
      <c r="I4802"/>
      <c r="J4802"/>
      <c r="K4802"/>
      <c r="L4802"/>
    </row>
    <row r="4803" spans="8:12">
      <c r="H4803"/>
      <c r="I4803"/>
      <c r="J4803"/>
      <c r="K4803"/>
      <c r="L4803"/>
    </row>
    <row r="4804" spans="8:12">
      <c r="H4804"/>
      <c r="I4804"/>
      <c r="J4804"/>
      <c r="K4804"/>
      <c r="L4804"/>
    </row>
    <row r="4805" spans="8:12">
      <c r="H4805"/>
      <c r="I4805"/>
      <c r="J4805"/>
      <c r="K4805"/>
      <c r="L4805"/>
    </row>
    <row r="4806" spans="8:12">
      <c r="H4806"/>
      <c r="I4806"/>
      <c r="J4806"/>
      <c r="K4806"/>
      <c r="L4806"/>
    </row>
    <row r="4807" spans="8:12">
      <c r="H4807"/>
      <c r="I4807"/>
      <c r="J4807"/>
      <c r="K4807"/>
      <c r="L4807"/>
    </row>
    <row r="4808" spans="8:12">
      <c r="H4808"/>
      <c r="I4808"/>
      <c r="J4808"/>
      <c r="K4808"/>
      <c r="L4808"/>
    </row>
    <row r="4809" spans="8:12">
      <c r="H4809"/>
      <c r="I4809"/>
      <c r="J4809"/>
      <c r="K4809"/>
      <c r="L4809"/>
    </row>
    <row r="4810" spans="8:12">
      <c r="H4810"/>
      <c r="I4810"/>
      <c r="J4810"/>
      <c r="K4810"/>
      <c r="L4810"/>
    </row>
    <row r="4811" spans="8:12">
      <c r="H4811"/>
      <c r="I4811"/>
      <c r="J4811"/>
      <c r="K4811"/>
      <c r="L4811"/>
    </row>
    <row r="4812" spans="8:12">
      <c r="H4812"/>
      <c r="I4812"/>
      <c r="J4812"/>
      <c r="K4812"/>
      <c r="L4812"/>
    </row>
    <row r="4813" spans="8:12">
      <c r="H4813"/>
      <c r="I4813"/>
      <c r="J4813"/>
      <c r="K4813"/>
      <c r="L4813"/>
    </row>
    <row r="4814" spans="8:12">
      <c r="H4814"/>
      <c r="I4814"/>
      <c r="J4814"/>
      <c r="K4814"/>
      <c r="L4814"/>
    </row>
    <row r="4815" spans="8:12">
      <c r="H4815"/>
      <c r="I4815"/>
      <c r="J4815"/>
      <c r="K4815"/>
      <c r="L4815"/>
    </row>
    <row r="4816" spans="8:12">
      <c r="H4816"/>
      <c r="I4816"/>
      <c r="J4816"/>
      <c r="K4816"/>
      <c r="L4816"/>
    </row>
    <row r="4817" spans="8:12">
      <c r="H4817"/>
      <c r="I4817"/>
      <c r="J4817"/>
      <c r="K4817"/>
      <c r="L4817"/>
    </row>
    <row r="4818" spans="8:12">
      <c r="H4818"/>
      <c r="I4818"/>
      <c r="J4818"/>
      <c r="K4818"/>
      <c r="L4818"/>
    </row>
    <row r="4819" spans="8:12">
      <c r="H4819"/>
      <c r="I4819"/>
      <c r="J4819"/>
      <c r="K4819"/>
      <c r="L4819"/>
    </row>
    <row r="4820" spans="8:12">
      <c r="H4820"/>
      <c r="I4820"/>
      <c r="J4820"/>
      <c r="K4820"/>
      <c r="L4820"/>
    </row>
    <row r="4821" spans="8:12">
      <c r="H4821"/>
      <c r="I4821"/>
      <c r="J4821"/>
      <c r="K4821"/>
      <c r="L4821"/>
    </row>
    <row r="4822" spans="8:12">
      <c r="H4822"/>
      <c r="I4822"/>
      <c r="J4822"/>
      <c r="K4822"/>
      <c r="L4822"/>
    </row>
    <row r="4823" spans="8:12">
      <c r="H4823"/>
      <c r="I4823"/>
      <c r="J4823"/>
      <c r="K4823"/>
      <c r="L4823"/>
    </row>
    <row r="4824" spans="8:12">
      <c r="H4824"/>
      <c r="I4824"/>
      <c r="J4824"/>
      <c r="K4824"/>
      <c r="L4824"/>
    </row>
    <row r="4825" spans="8:12">
      <c r="H4825"/>
      <c r="I4825"/>
      <c r="J4825"/>
      <c r="K4825"/>
      <c r="L4825"/>
    </row>
    <row r="4826" spans="8:12">
      <c r="H4826"/>
      <c r="I4826"/>
      <c r="J4826"/>
      <c r="K4826"/>
      <c r="L4826"/>
    </row>
    <row r="4827" spans="8:12">
      <c r="H4827"/>
      <c r="I4827"/>
      <c r="J4827"/>
      <c r="K4827"/>
      <c r="L4827"/>
    </row>
    <row r="4828" spans="8:12">
      <c r="H4828"/>
      <c r="I4828"/>
      <c r="J4828"/>
      <c r="K4828"/>
      <c r="L4828"/>
    </row>
    <row r="4829" spans="8:12">
      <c r="H4829"/>
      <c r="I4829"/>
      <c r="J4829"/>
      <c r="K4829"/>
      <c r="L4829"/>
    </row>
    <row r="4830" spans="8:12">
      <c r="H4830"/>
      <c r="I4830"/>
      <c r="J4830"/>
      <c r="K4830"/>
      <c r="L4830"/>
    </row>
    <row r="4831" spans="8:12">
      <c r="H4831"/>
      <c r="I4831"/>
      <c r="J4831"/>
      <c r="K4831"/>
      <c r="L4831"/>
    </row>
    <row r="4832" spans="8:12">
      <c r="H4832"/>
      <c r="I4832"/>
      <c r="J4832"/>
      <c r="K4832"/>
      <c r="L4832"/>
    </row>
    <row r="4833" spans="8:12">
      <c r="H4833"/>
      <c r="I4833"/>
      <c r="J4833"/>
      <c r="K4833"/>
      <c r="L4833"/>
    </row>
    <row r="4834" spans="8:12">
      <c r="H4834"/>
      <c r="I4834"/>
      <c r="J4834"/>
      <c r="K4834"/>
      <c r="L4834"/>
    </row>
    <row r="4835" spans="8:12">
      <c r="H4835"/>
      <c r="I4835"/>
      <c r="J4835"/>
      <c r="K4835"/>
      <c r="L4835"/>
    </row>
    <row r="4836" spans="8:12">
      <c r="H4836"/>
      <c r="I4836"/>
      <c r="J4836"/>
      <c r="K4836"/>
      <c r="L4836"/>
    </row>
    <row r="4837" spans="8:12">
      <c r="H4837"/>
      <c r="I4837"/>
      <c r="J4837"/>
      <c r="K4837"/>
      <c r="L4837"/>
    </row>
    <row r="4838" spans="8:12">
      <c r="H4838"/>
      <c r="I4838"/>
      <c r="J4838"/>
      <c r="K4838"/>
      <c r="L4838"/>
    </row>
    <row r="4839" spans="8:12">
      <c r="H4839"/>
      <c r="I4839"/>
      <c r="J4839"/>
      <c r="K4839"/>
      <c r="L4839"/>
    </row>
    <row r="4840" spans="8:12">
      <c r="H4840"/>
      <c r="I4840"/>
      <c r="J4840"/>
      <c r="K4840"/>
      <c r="L4840"/>
    </row>
    <row r="4841" spans="8:12">
      <c r="H4841"/>
      <c r="I4841"/>
      <c r="J4841"/>
      <c r="K4841"/>
      <c r="L4841"/>
    </row>
    <row r="4842" spans="8:12">
      <c r="H4842"/>
      <c r="I4842"/>
      <c r="J4842"/>
      <c r="K4842"/>
      <c r="L4842"/>
    </row>
    <row r="4843" spans="8:12">
      <c r="H4843"/>
      <c r="I4843"/>
      <c r="J4843"/>
      <c r="K4843"/>
      <c r="L4843"/>
    </row>
    <row r="4844" spans="8:12">
      <c r="H4844"/>
      <c r="I4844"/>
      <c r="J4844"/>
      <c r="K4844"/>
      <c r="L4844"/>
    </row>
    <row r="4845" spans="8:12">
      <c r="H4845"/>
      <c r="I4845"/>
      <c r="J4845"/>
      <c r="K4845"/>
      <c r="L4845"/>
    </row>
    <row r="4846" spans="8:12">
      <c r="H4846"/>
      <c r="I4846"/>
      <c r="J4846"/>
      <c r="K4846"/>
      <c r="L4846"/>
    </row>
    <row r="4847" spans="8:12">
      <c r="H4847"/>
      <c r="I4847"/>
      <c r="J4847"/>
      <c r="K4847"/>
      <c r="L4847"/>
    </row>
    <row r="4848" spans="8:12">
      <c r="H4848"/>
      <c r="I4848"/>
      <c r="J4848"/>
      <c r="K4848"/>
      <c r="L4848"/>
    </row>
    <row r="4849" spans="8:12">
      <c r="H4849"/>
      <c r="I4849"/>
      <c r="J4849"/>
      <c r="K4849"/>
      <c r="L4849"/>
    </row>
    <row r="4850" spans="8:12">
      <c r="H4850"/>
      <c r="I4850"/>
      <c r="J4850"/>
      <c r="K4850"/>
      <c r="L4850"/>
    </row>
    <row r="4851" spans="8:12">
      <c r="H4851"/>
      <c r="I4851"/>
      <c r="J4851"/>
      <c r="K4851"/>
      <c r="L4851"/>
    </row>
    <row r="4852" spans="8:12">
      <c r="H4852"/>
      <c r="I4852"/>
      <c r="J4852"/>
      <c r="K4852"/>
      <c r="L4852"/>
    </row>
    <row r="4853" spans="8:12">
      <c r="H4853"/>
      <c r="I4853"/>
      <c r="J4853"/>
      <c r="K4853"/>
      <c r="L4853"/>
    </row>
    <row r="4854" spans="8:12">
      <c r="H4854"/>
      <c r="I4854"/>
      <c r="J4854"/>
      <c r="K4854"/>
      <c r="L4854"/>
    </row>
    <row r="4855" spans="8:12">
      <c r="H4855"/>
      <c r="I4855"/>
      <c r="J4855"/>
      <c r="K4855"/>
      <c r="L4855"/>
    </row>
    <row r="4856" spans="8:12">
      <c r="H4856"/>
      <c r="I4856"/>
      <c r="J4856"/>
      <c r="K4856"/>
      <c r="L4856"/>
    </row>
    <row r="4857" spans="8:12">
      <c r="H4857"/>
      <c r="I4857"/>
      <c r="J4857"/>
      <c r="K4857"/>
      <c r="L4857"/>
    </row>
    <row r="4858" spans="8:12">
      <c r="H4858"/>
      <c r="I4858"/>
      <c r="J4858"/>
      <c r="K4858"/>
      <c r="L4858"/>
    </row>
    <row r="4859" spans="8:12">
      <c r="H4859"/>
      <c r="I4859"/>
      <c r="J4859"/>
      <c r="K4859"/>
      <c r="L4859"/>
    </row>
    <row r="4860" spans="8:12">
      <c r="H4860"/>
      <c r="I4860"/>
      <c r="J4860"/>
      <c r="K4860"/>
      <c r="L4860"/>
    </row>
    <row r="4861" spans="8:12">
      <c r="H4861"/>
      <c r="I4861"/>
      <c r="J4861"/>
      <c r="K4861"/>
      <c r="L4861"/>
    </row>
    <row r="4862" spans="8:12">
      <c r="H4862"/>
      <c r="I4862"/>
      <c r="J4862"/>
      <c r="K4862"/>
      <c r="L4862"/>
    </row>
    <row r="4863" spans="8:12">
      <c r="H4863"/>
      <c r="I4863"/>
      <c r="J4863"/>
      <c r="K4863"/>
      <c r="L4863"/>
    </row>
    <row r="4864" spans="8:12">
      <c r="H4864"/>
      <c r="I4864"/>
      <c r="J4864"/>
      <c r="K4864"/>
      <c r="L4864"/>
    </row>
    <row r="4865" spans="8:12">
      <c r="H4865"/>
      <c r="I4865"/>
      <c r="J4865"/>
      <c r="K4865"/>
      <c r="L4865"/>
    </row>
    <row r="4866" spans="8:12">
      <c r="H4866"/>
      <c r="I4866"/>
      <c r="J4866"/>
      <c r="K4866"/>
      <c r="L4866"/>
    </row>
    <row r="4867" spans="8:12">
      <c r="H4867"/>
      <c r="I4867"/>
      <c r="J4867"/>
      <c r="K4867"/>
      <c r="L4867"/>
    </row>
    <row r="4868" spans="8:12">
      <c r="H4868"/>
      <c r="I4868"/>
      <c r="J4868"/>
      <c r="K4868"/>
      <c r="L4868"/>
    </row>
    <row r="4869" spans="8:12">
      <c r="H4869"/>
      <c r="I4869"/>
      <c r="J4869"/>
      <c r="K4869"/>
      <c r="L4869"/>
    </row>
    <row r="4870" spans="8:12">
      <c r="H4870"/>
      <c r="I4870"/>
      <c r="J4870"/>
      <c r="K4870"/>
      <c r="L4870"/>
    </row>
    <row r="4871" spans="8:12">
      <c r="H4871"/>
      <c r="I4871"/>
      <c r="J4871"/>
      <c r="K4871"/>
      <c r="L4871"/>
    </row>
    <row r="4872" spans="8:12">
      <c r="H4872"/>
      <c r="I4872"/>
      <c r="J4872"/>
      <c r="K4872"/>
      <c r="L4872"/>
    </row>
    <row r="4873" spans="8:12">
      <c r="H4873"/>
      <c r="I4873"/>
      <c r="J4873"/>
      <c r="K4873"/>
      <c r="L4873"/>
    </row>
    <row r="4874" spans="8:12">
      <c r="H4874"/>
      <c r="I4874"/>
      <c r="J4874"/>
      <c r="K4874"/>
      <c r="L4874"/>
    </row>
    <row r="4875" spans="8:12">
      <c r="H4875"/>
      <c r="I4875"/>
      <c r="J4875"/>
      <c r="K4875"/>
      <c r="L4875"/>
    </row>
    <row r="4876" spans="8:12">
      <c r="H4876"/>
      <c r="I4876"/>
      <c r="J4876"/>
      <c r="K4876"/>
      <c r="L4876"/>
    </row>
    <row r="4877" spans="8:12">
      <c r="H4877"/>
      <c r="I4877"/>
      <c r="J4877"/>
      <c r="K4877"/>
      <c r="L4877"/>
    </row>
    <row r="4878" spans="8:12">
      <c r="H4878"/>
      <c r="I4878"/>
      <c r="J4878"/>
      <c r="K4878"/>
      <c r="L4878"/>
    </row>
    <row r="4879" spans="8:12">
      <c r="H4879"/>
      <c r="I4879"/>
      <c r="J4879"/>
      <c r="K4879"/>
      <c r="L4879"/>
    </row>
    <row r="4880" spans="8:12">
      <c r="H4880"/>
      <c r="I4880"/>
      <c r="J4880"/>
      <c r="K4880"/>
      <c r="L4880"/>
    </row>
    <row r="4881" spans="8:12">
      <c r="H4881"/>
      <c r="I4881"/>
      <c r="J4881"/>
      <c r="K4881"/>
      <c r="L4881"/>
    </row>
    <row r="4882" spans="8:12">
      <c r="H4882"/>
      <c r="I4882"/>
      <c r="J4882"/>
      <c r="K4882"/>
      <c r="L4882"/>
    </row>
    <row r="4883" spans="8:12">
      <c r="H4883"/>
      <c r="I4883"/>
      <c r="J4883"/>
      <c r="K4883"/>
      <c r="L4883"/>
    </row>
    <row r="4884" spans="8:12">
      <c r="H4884"/>
      <c r="I4884"/>
      <c r="J4884"/>
      <c r="K4884"/>
      <c r="L4884"/>
    </row>
    <row r="4885" spans="8:12">
      <c r="H4885"/>
      <c r="I4885"/>
      <c r="J4885"/>
      <c r="K4885"/>
      <c r="L4885"/>
    </row>
    <row r="4886" spans="8:12">
      <c r="H4886"/>
      <c r="I4886"/>
      <c r="J4886"/>
      <c r="K4886"/>
      <c r="L4886"/>
    </row>
    <row r="4887" spans="8:12">
      <c r="H4887"/>
      <c r="I4887"/>
      <c r="J4887"/>
      <c r="K4887"/>
      <c r="L4887"/>
    </row>
    <row r="4888" spans="8:12">
      <c r="H4888"/>
      <c r="I4888"/>
      <c r="J4888"/>
      <c r="K4888"/>
      <c r="L4888"/>
    </row>
    <row r="4889" spans="8:12">
      <c r="H4889"/>
      <c r="I4889"/>
      <c r="J4889"/>
      <c r="K4889"/>
      <c r="L4889"/>
    </row>
    <row r="4890" spans="8:12">
      <c r="H4890"/>
      <c r="I4890"/>
      <c r="J4890"/>
      <c r="K4890"/>
      <c r="L4890"/>
    </row>
    <row r="4891" spans="8:12">
      <c r="H4891"/>
      <c r="I4891"/>
      <c r="J4891"/>
      <c r="K4891"/>
      <c r="L4891"/>
    </row>
    <row r="4892" spans="8:12">
      <c r="H4892"/>
      <c r="I4892"/>
      <c r="J4892"/>
      <c r="K4892"/>
      <c r="L4892"/>
    </row>
    <row r="4893" spans="8:12">
      <c r="H4893"/>
      <c r="I4893"/>
      <c r="J4893"/>
      <c r="K4893"/>
      <c r="L4893"/>
    </row>
    <row r="4894" spans="8:12">
      <c r="H4894"/>
      <c r="I4894"/>
      <c r="J4894"/>
      <c r="K4894"/>
      <c r="L4894"/>
    </row>
    <row r="4895" spans="8:12">
      <c r="H4895"/>
      <c r="I4895"/>
      <c r="J4895"/>
      <c r="K4895"/>
      <c r="L4895"/>
    </row>
    <row r="4896" spans="8:12">
      <c r="H4896"/>
      <c r="I4896"/>
      <c r="J4896"/>
      <c r="K4896"/>
      <c r="L4896"/>
    </row>
    <row r="4897" spans="8:12">
      <c r="H4897"/>
      <c r="I4897"/>
      <c r="J4897"/>
      <c r="K4897"/>
      <c r="L4897"/>
    </row>
    <row r="4898" spans="8:12">
      <c r="H4898"/>
      <c r="I4898"/>
      <c r="J4898"/>
      <c r="K4898"/>
      <c r="L4898"/>
    </row>
    <row r="4899" spans="8:12">
      <c r="H4899"/>
      <c r="I4899"/>
      <c r="J4899"/>
      <c r="K4899"/>
      <c r="L4899"/>
    </row>
    <row r="4900" spans="8:12">
      <c r="H4900"/>
      <c r="I4900"/>
      <c r="J4900"/>
      <c r="K4900"/>
      <c r="L4900"/>
    </row>
    <row r="4901" spans="8:12">
      <c r="H4901"/>
      <c r="I4901"/>
      <c r="J4901"/>
      <c r="K4901"/>
      <c r="L4901"/>
    </row>
    <row r="4902" spans="8:12">
      <c r="H4902"/>
      <c r="I4902"/>
      <c r="J4902"/>
      <c r="K4902"/>
      <c r="L4902"/>
    </row>
    <row r="4903" spans="8:12">
      <c r="H4903"/>
      <c r="I4903"/>
      <c r="J4903"/>
      <c r="K4903"/>
      <c r="L4903"/>
    </row>
    <row r="4904" spans="8:12">
      <c r="H4904"/>
      <c r="I4904"/>
      <c r="J4904"/>
      <c r="K4904"/>
      <c r="L4904"/>
    </row>
    <row r="4905" spans="8:12">
      <c r="H4905"/>
      <c r="I4905"/>
      <c r="J4905"/>
      <c r="K4905"/>
      <c r="L4905"/>
    </row>
    <row r="4906" spans="8:12">
      <c r="H4906"/>
      <c r="I4906"/>
      <c r="J4906"/>
      <c r="K4906"/>
      <c r="L4906"/>
    </row>
    <row r="4907" spans="8:12">
      <c r="H4907"/>
      <c r="I4907"/>
      <c r="J4907"/>
      <c r="K4907"/>
      <c r="L4907"/>
    </row>
    <row r="4908" spans="8:12">
      <c r="H4908"/>
      <c r="I4908"/>
      <c r="J4908"/>
      <c r="K4908"/>
      <c r="L4908"/>
    </row>
    <row r="4909" spans="8:12">
      <c r="H4909"/>
      <c r="I4909"/>
      <c r="J4909"/>
      <c r="K4909"/>
      <c r="L4909"/>
    </row>
    <row r="4910" spans="8:12">
      <c r="H4910"/>
      <c r="I4910"/>
      <c r="J4910"/>
      <c r="K4910"/>
      <c r="L4910"/>
    </row>
    <row r="4911" spans="8:12">
      <c r="H4911"/>
      <c r="I4911"/>
      <c r="J4911"/>
      <c r="K4911"/>
      <c r="L4911"/>
    </row>
    <row r="4912" spans="8:12">
      <c r="H4912"/>
      <c r="I4912"/>
      <c r="J4912"/>
      <c r="K4912"/>
      <c r="L4912"/>
    </row>
    <row r="4913" spans="8:12">
      <c r="H4913"/>
      <c r="I4913"/>
      <c r="J4913"/>
      <c r="K4913"/>
      <c r="L4913"/>
    </row>
    <row r="4914" spans="8:12">
      <c r="H4914"/>
      <c r="I4914"/>
      <c r="J4914"/>
      <c r="K4914"/>
      <c r="L4914"/>
    </row>
    <row r="4915" spans="8:12">
      <c r="H4915"/>
      <c r="I4915"/>
      <c r="J4915"/>
      <c r="K4915"/>
      <c r="L4915"/>
    </row>
    <row r="4916" spans="8:12">
      <c r="H4916"/>
      <c r="I4916"/>
      <c r="J4916"/>
      <c r="K4916"/>
      <c r="L4916"/>
    </row>
    <row r="4917" spans="8:12">
      <c r="H4917"/>
      <c r="I4917"/>
      <c r="J4917"/>
      <c r="K4917"/>
      <c r="L4917"/>
    </row>
    <row r="4918" spans="8:12">
      <c r="H4918"/>
      <c r="I4918"/>
      <c r="J4918"/>
      <c r="K4918"/>
      <c r="L4918"/>
    </row>
    <row r="4919" spans="8:12">
      <c r="H4919"/>
      <c r="I4919"/>
      <c r="J4919"/>
      <c r="K4919"/>
      <c r="L4919"/>
    </row>
    <row r="4920" spans="8:12">
      <c r="H4920"/>
      <c r="I4920"/>
      <c r="J4920"/>
      <c r="K4920"/>
      <c r="L4920"/>
    </row>
    <row r="4921" spans="8:12">
      <c r="H4921"/>
      <c r="I4921"/>
      <c r="J4921"/>
      <c r="K4921"/>
      <c r="L4921"/>
    </row>
    <row r="4922" spans="8:12">
      <c r="H4922"/>
      <c r="I4922"/>
      <c r="J4922"/>
      <c r="K4922"/>
      <c r="L4922"/>
    </row>
    <row r="4923" spans="8:12">
      <c r="H4923"/>
      <c r="I4923"/>
      <c r="J4923"/>
      <c r="K4923"/>
      <c r="L4923"/>
    </row>
    <row r="4924" spans="8:12">
      <c r="H4924"/>
      <c r="I4924"/>
      <c r="J4924"/>
      <c r="K4924"/>
      <c r="L4924"/>
    </row>
    <row r="4925" spans="8:12">
      <c r="H4925"/>
      <c r="I4925"/>
      <c r="J4925"/>
      <c r="K4925"/>
      <c r="L4925"/>
    </row>
    <row r="4926" spans="8:12">
      <c r="H4926"/>
      <c r="I4926"/>
      <c r="J4926"/>
      <c r="K4926"/>
      <c r="L4926"/>
    </row>
    <row r="4927" spans="8:12">
      <c r="H4927"/>
      <c r="I4927"/>
      <c r="J4927"/>
      <c r="K4927"/>
      <c r="L4927"/>
    </row>
    <row r="4928" spans="8:12">
      <c r="H4928"/>
      <c r="I4928"/>
      <c r="J4928"/>
      <c r="K4928"/>
      <c r="L4928"/>
    </row>
    <row r="4929" spans="8:12">
      <c r="H4929"/>
      <c r="I4929"/>
      <c r="J4929"/>
      <c r="K4929"/>
      <c r="L4929"/>
    </row>
    <row r="4930" spans="8:12">
      <c r="H4930"/>
      <c r="I4930"/>
      <c r="J4930"/>
      <c r="K4930"/>
      <c r="L4930"/>
    </row>
    <row r="4931" spans="8:12">
      <c r="H4931"/>
      <c r="I4931"/>
      <c r="J4931"/>
      <c r="K4931"/>
      <c r="L4931"/>
    </row>
    <row r="4932" spans="8:12">
      <c r="H4932"/>
      <c r="I4932"/>
      <c r="J4932"/>
      <c r="K4932"/>
      <c r="L4932"/>
    </row>
    <row r="4933" spans="8:12">
      <c r="H4933"/>
      <c r="I4933"/>
      <c r="J4933"/>
      <c r="K4933"/>
      <c r="L4933"/>
    </row>
    <row r="4934" spans="8:12">
      <c r="H4934"/>
      <c r="I4934"/>
      <c r="J4934"/>
      <c r="K4934"/>
      <c r="L4934"/>
    </row>
    <row r="4935" spans="8:12">
      <c r="H4935"/>
      <c r="I4935"/>
      <c r="J4935"/>
      <c r="K4935"/>
      <c r="L4935"/>
    </row>
    <row r="4936" spans="8:12">
      <c r="H4936"/>
      <c r="I4936"/>
      <c r="J4936"/>
      <c r="K4936"/>
      <c r="L4936"/>
    </row>
    <row r="4937" spans="8:12">
      <c r="H4937"/>
      <c r="I4937"/>
      <c r="J4937"/>
      <c r="K4937"/>
      <c r="L4937"/>
    </row>
    <row r="4938" spans="8:12">
      <c r="H4938"/>
      <c r="I4938"/>
      <c r="J4938"/>
      <c r="K4938"/>
      <c r="L4938"/>
    </row>
    <row r="4939" spans="8:12">
      <c r="H4939"/>
      <c r="I4939"/>
      <c r="J4939"/>
      <c r="K4939"/>
      <c r="L4939"/>
    </row>
    <row r="4940" spans="8:12">
      <c r="H4940"/>
      <c r="I4940"/>
      <c r="J4940"/>
      <c r="K4940"/>
      <c r="L4940"/>
    </row>
    <row r="4941" spans="8:12">
      <c r="H4941"/>
      <c r="I4941"/>
      <c r="J4941"/>
      <c r="K4941"/>
      <c r="L4941"/>
    </row>
    <row r="4942" spans="8:12">
      <c r="H4942"/>
      <c r="I4942"/>
      <c r="J4942"/>
      <c r="K4942"/>
      <c r="L4942"/>
    </row>
    <row r="4943" spans="8:12">
      <c r="H4943"/>
      <c r="I4943"/>
      <c r="J4943"/>
      <c r="K4943"/>
      <c r="L4943"/>
    </row>
    <row r="4944" spans="8:12">
      <c r="H4944"/>
      <c r="I4944"/>
      <c r="J4944"/>
      <c r="K4944"/>
      <c r="L4944"/>
    </row>
    <row r="4945" spans="8:12">
      <c r="H4945"/>
      <c r="I4945"/>
      <c r="J4945"/>
      <c r="K4945"/>
      <c r="L4945"/>
    </row>
    <row r="4946" spans="8:12">
      <c r="H4946"/>
      <c r="I4946"/>
      <c r="J4946"/>
      <c r="K4946"/>
      <c r="L4946"/>
    </row>
    <row r="4947" spans="8:12">
      <c r="H4947"/>
      <c r="I4947"/>
      <c r="J4947"/>
      <c r="K4947"/>
      <c r="L4947"/>
    </row>
    <row r="4948" spans="8:12">
      <c r="H4948"/>
      <c r="I4948"/>
      <c r="J4948"/>
      <c r="K4948"/>
      <c r="L4948"/>
    </row>
    <row r="4949" spans="8:12">
      <c r="H4949"/>
      <c r="I4949"/>
      <c r="J4949"/>
      <c r="K4949"/>
      <c r="L4949"/>
    </row>
    <row r="4950" spans="8:12">
      <c r="H4950"/>
      <c r="I4950"/>
      <c r="J4950"/>
      <c r="K4950"/>
      <c r="L4950"/>
    </row>
    <row r="4951" spans="8:12">
      <c r="H4951"/>
      <c r="I4951"/>
      <c r="J4951"/>
      <c r="K4951"/>
      <c r="L4951"/>
    </row>
    <row r="4952" spans="8:12">
      <c r="H4952"/>
      <c r="I4952"/>
      <c r="J4952"/>
      <c r="K4952"/>
      <c r="L4952"/>
    </row>
    <row r="4953" spans="8:12">
      <c r="H4953"/>
      <c r="I4953"/>
      <c r="J4953"/>
      <c r="K4953"/>
      <c r="L4953"/>
    </row>
    <row r="4954" spans="8:12">
      <c r="H4954"/>
      <c r="I4954"/>
      <c r="J4954"/>
      <c r="K4954"/>
      <c r="L4954"/>
    </row>
    <row r="4955" spans="8:12">
      <c r="H4955"/>
      <c r="I4955"/>
      <c r="J4955"/>
      <c r="K4955"/>
      <c r="L4955"/>
    </row>
    <row r="4956" spans="8:12">
      <c r="H4956"/>
      <c r="I4956"/>
      <c r="J4956"/>
      <c r="K4956"/>
      <c r="L4956"/>
    </row>
    <row r="4957" spans="8:12">
      <c r="H4957"/>
      <c r="I4957"/>
      <c r="J4957"/>
      <c r="K4957"/>
      <c r="L4957"/>
    </row>
    <row r="4958" spans="8:12">
      <c r="H4958"/>
      <c r="I4958"/>
      <c r="J4958"/>
      <c r="K4958"/>
      <c r="L4958"/>
    </row>
    <row r="4959" spans="8:12">
      <c r="H4959"/>
      <c r="I4959"/>
      <c r="J4959"/>
      <c r="K4959"/>
      <c r="L4959"/>
    </row>
    <row r="4960" spans="8:12">
      <c r="H4960"/>
      <c r="I4960"/>
      <c r="J4960"/>
      <c r="K4960"/>
      <c r="L4960"/>
    </row>
    <row r="4961" spans="8:12">
      <c r="H4961"/>
      <c r="I4961"/>
      <c r="J4961"/>
      <c r="K4961"/>
      <c r="L4961"/>
    </row>
    <row r="4962" spans="8:12">
      <c r="H4962"/>
      <c r="I4962"/>
      <c r="J4962"/>
      <c r="K4962"/>
      <c r="L4962"/>
    </row>
    <row r="4963" spans="8:12">
      <c r="H4963"/>
      <c r="I4963"/>
      <c r="J4963"/>
      <c r="K4963"/>
      <c r="L4963"/>
    </row>
    <row r="4964" spans="8:12">
      <c r="H4964"/>
      <c r="I4964"/>
      <c r="J4964"/>
      <c r="K4964"/>
      <c r="L4964"/>
    </row>
    <row r="4965" spans="8:12">
      <c r="H4965"/>
      <c r="I4965"/>
      <c r="J4965"/>
      <c r="K4965"/>
      <c r="L4965"/>
    </row>
    <row r="4966" spans="8:12">
      <c r="H4966"/>
      <c r="I4966"/>
      <c r="J4966"/>
      <c r="K4966"/>
      <c r="L4966"/>
    </row>
    <row r="4967" spans="8:12">
      <c r="H4967"/>
      <c r="I4967"/>
      <c r="J4967"/>
      <c r="K4967"/>
      <c r="L4967"/>
    </row>
    <row r="4968" spans="8:12">
      <c r="H4968"/>
      <c r="I4968"/>
      <c r="J4968"/>
      <c r="K4968"/>
      <c r="L4968"/>
    </row>
    <row r="4969" spans="8:12">
      <c r="H4969"/>
      <c r="I4969"/>
      <c r="J4969"/>
      <c r="K4969"/>
      <c r="L4969"/>
    </row>
    <row r="4970" spans="8:12">
      <c r="H4970"/>
      <c r="I4970"/>
      <c r="J4970"/>
      <c r="K4970"/>
      <c r="L4970"/>
    </row>
    <row r="4971" spans="8:12">
      <c r="H4971"/>
      <c r="I4971"/>
      <c r="J4971"/>
      <c r="K4971"/>
      <c r="L4971"/>
    </row>
    <row r="4972" spans="8:12">
      <c r="H4972"/>
      <c r="I4972"/>
      <c r="J4972"/>
      <c r="K4972"/>
      <c r="L4972"/>
    </row>
    <row r="4973" spans="8:12">
      <c r="H4973"/>
      <c r="I4973"/>
      <c r="J4973"/>
      <c r="K4973"/>
      <c r="L4973"/>
    </row>
    <row r="4974" spans="8:12">
      <c r="H4974"/>
      <c r="I4974"/>
      <c r="J4974"/>
      <c r="K4974"/>
      <c r="L4974"/>
    </row>
    <row r="4975" spans="8:12">
      <c r="H4975"/>
      <c r="I4975"/>
      <c r="J4975"/>
      <c r="K4975"/>
      <c r="L4975"/>
    </row>
    <row r="4976" spans="8:12">
      <c r="H4976"/>
      <c r="I4976"/>
      <c r="J4976"/>
      <c r="K4976"/>
      <c r="L4976"/>
    </row>
    <row r="4977" spans="8:12">
      <c r="H4977"/>
      <c r="I4977"/>
      <c r="J4977"/>
      <c r="K4977"/>
      <c r="L4977"/>
    </row>
    <row r="4978" spans="8:12">
      <c r="H4978"/>
      <c r="I4978"/>
      <c r="J4978"/>
      <c r="K4978"/>
      <c r="L4978"/>
    </row>
    <row r="4979" spans="8:12">
      <c r="H4979"/>
      <c r="I4979"/>
      <c r="J4979"/>
      <c r="K4979"/>
      <c r="L4979"/>
    </row>
    <row r="4980" spans="8:12">
      <c r="H4980"/>
      <c r="I4980"/>
      <c r="J4980"/>
      <c r="K4980"/>
      <c r="L4980"/>
    </row>
    <row r="4981" spans="8:12">
      <c r="H4981"/>
      <c r="I4981"/>
      <c r="J4981"/>
      <c r="K4981"/>
      <c r="L4981"/>
    </row>
    <row r="4982" spans="8:12">
      <c r="H4982"/>
      <c r="I4982"/>
      <c r="J4982"/>
      <c r="K4982"/>
      <c r="L4982"/>
    </row>
    <row r="4983" spans="8:12">
      <c r="H4983"/>
      <c r="I4983"/>
      <c r="J4983"/>
      <c r="K4983"/>
      <c r="L4983"/>
    </row>
    <row r="4984" spans="8:12">
      <c r="H4984"/>
      <c r="I4984"/>
      <c r="J4984"/>
      <c r="K4984"/>
      <c r="L4984"/>
    </row>
    <row r="4985" spans="8:12">
      <c r="H4985"/>
      <c r="I4985"/>
      <c r="J4985"/>
      <c r="K4985"/>
      <c r="L4985"/>
    </row>
    <row r="4986" spans="8:12">
      <c r="H4986"/>
      <c r="I4986"/>
      <c r="J4986"/>
      <c r="K4986"/>
      <c r="L4986"/>
    </row>
    <row r="4987" spans="8:12">
      <c r="H4987"/>
      <c r="I4987"/>
      <c r="J4987"/>
      <c r="K4987"/>
      <c r="L4987"/>
    </row>
    <row r="4988" spans="8:12">
      <c r="H4988"/>
      <c r="I4988"/>
      <c r="J4988"/>
      <c r="K4988"/>
      <c r="L4988"/>
    </row>
    <row r="4989" spans="8:12">
      <c r="H4989"/>
      <c r="I4989"/>
      <c r="J4989"/>
      <c r="K4989"/>
      <c r="L4989"/>
    </row>
    <row r="4990" spans="8:12">
      <c r="H4990"/>
      <c r="I4990"/>
      <c r="J4990"/>
      <c r="K4990"/>
      <c r="L4990"/>
    </row>
    <row r="4991" spans="8:12">
      <c r="H4991"/>
      <c r="I4991"/>
      <c r="J4991"/>
      <c r="K4991"/>
      <c r="L4991"/>
    </row>
    <row r="4992" spans="8:12">
      <c r="H4992"/>
      <c r="I4992"/>
      <c r="J4992"/>
      <c r="K4992"/>
      <c r="L4992"/>
    </row>
    <row r="4993" spans="8:12">
      <c r="H4993"/>
      <c r="I4993"/>
      <c r="J4993"/>
      <c r="K4993"/>
      <c r="L4993"/>
    </row>
    <row r="4994" spans="8:12">
      <c r="H4994"/>
      <c r="I4994"/>
      <c r="J4994"/>
      <c r="K4994"/>
      <c r="L4994"/>
    </row>
    <row r="4995" spans="8:12">
      <c r="H4995"/>
      <c r="I4995"/>
      <c r="J4995"/>
      <c r="K4995"/>
      <c r="L4995"/>
    </row>
    <row r="4996" spans="8:12">
      <c r="H4996"/>
      <c r="I4996"/>
      <c r="J4996"/>
      <c r="K4996"/>
      <c r="L4996"/>
    </row>
    <row r="4997" spans="8:12">
      <c r="H4997"/>
      <c r="I4997"/>
      <c r="J4997"/>
      <c r="K4997"/>
      <c r="L4997"/>
    </row>
    <row r="4998" spans="8:12">
      <c r="H4998"/>
      <c r="I4998"/>
      <c r="J4998"/>
      <c r="K4998"/>
      <c r="L4998"/>
    </row>
    <row r="4999" spans="8:12">
      <c r="H4999"/>
      <c r="I4999"/>
      <c r="J4999"/>
      <c r="K4999"/>
      <c r="L4999"/>
    </row>
    <row r="5000" spans="8:12">
      <c r="H5000"/>
      <c r="I5000"/>
      <c r="J5000"/>
      <c r="K5000"/>
      <c r="L5000"/>
    </row>
    <row r="5001" spans="8:12">
      <c r="H5001"/>
      <c r="I5001"/>
      <c r="J5001"/>
      <c r="K5001"/>
      <c r="L5001"/>
    </row>
    <row r="5002" spans="8:12">
      <c r="H5002"/>
      <c r="I5002"/>
      <c r="J5002"/>
      <c r="K5002"/>
      <c r="L5002"/>
    </row>
    <row r="5003" spans="8:12">
      <c r="H5003"/>
      <c r="I5003"/>
      <c r="J5003"/>
      <c r="K5003"/>
      <c r="L5003"/>
    </row>
    <row r="5004" spans="8:12">
      <c r="H5004"/>
      <c r="I5004"/>
      <c r="J5004"/>
      <c r="K5004"/>
      <c r="L5004"/>
    </row>
    <row r="5005" spans="8:12">
      <c r="H5005"/>
      <c r="I5005"/>
      <c r="J5005"/>
      <c r="K5005"/>
      <c r="L5005"/>
    </row>
    <row r="5006" spans="8:12">
      <c r="H5006"/>
      <c r="I5006"/>
      <c r="J5006"/>
      <c r="K5006"/>
      <c r="L5006"/>
    </row>
    <row r="5007" spans="8:12">
      <c r="H5007"/>
      <c r="I5007"/>
      <c r="J5007"/>
      <c r="K5007"/>
      <c r="L5007"/>
    </row>
    <row r="5008" spans="8:12">
      <c r="H5008"/>
      <c r="I5008"/>
      <c r="J5008"/>
      <c r="K5008"/>
      <c r="L5008"/>
    </row>
    <row r="5009" spans="8:12">
      <c r="H5009"/>
      <c r="I5009"/>
      <c r="J5009"/>
      <c r="K5009"/>
      <c r="L5009"/>
    </row>
    <row r="5010" spans="8:12">
      <c r="H5010"/>
      <c r="I5010"/>
      <c r="J5010"/>
      <c r="K5010"/>
      <c r="L5010"/>
    </row>
    <row r="5011" spans="8:12">
      <c r="H5011"/>
      <c r="I5011"/>
      <c r="J5011"/>
      <c r="K5011"/>
      <c r="L5011"/>
    </row>
    <row r="5012" spans="8:12">
      <c r="H5012"/>
      <c r="I5012"/>
      <c r="J5012"/>
      <c r="K5012"/>
      <c r="L5012"/>
    </row>
    <row r="5013" spans="8:12">
      <c r="H5013"/>
      <c r="I5013"/>
      <c r="J5013"/>
      <c r="K5013"/>
      <c r="L5013"/>
    </row>
    <row r="5014" spans="8:12">
      <c r="H5014"/>
      <c r="I5014"/>
      <c r="J5014"/>
      <c r="K5014"/>
      <c r="L5014"/>
    </row>
    <row r="5015" spans="8:12">
      <c r="H5015"/>
      <c r="I5015"/>
      <c r="J5015"/>
      <c r="K5015"/>
      <c r="L5015"/>
    </row>
    <row r="5016" spans="8:12">
      <c r="H5016"/>
      <c r="I5016"/>
      <c r="J5016"/>
      <c r="K5016"/>
      <c r="L5016"/>
    </row>
    <row r="5017" spans="8:12">
      <c r="H5017"/>
      <c r="I5017"/>
      <c r="J5017"/>
      <c r="K5017"/>
      <c r="L5017"/>
    </row>
    <row r="5018" spans="8:12">
      <c r="H5018"/>
      <c r="I5018"/>
      <c r="J5018"/>
      <c r="K5018"/>
      <c r="L5018"/>
    </row>
    <row r="5019" spans="8:12">
      <c r="H5019"/>
      <c r="I5019"/>
      <c r="J5019"/>
      <c r="K5019"/>
      <c r="L5019"/>
    </row>
    <row r="5020" spans="8:12">
      <c r="H5020"/>
      <c r="I5020"/>
      <c r="J5020"/>
      <c r="K5020"/>
      <c r="L5020"/>
    </row>
    <row r="5021" spans="8:12">
      <c r="H5021"/>
      <c r="I5021"/>
      <c r="J5021"/>
      <c r="K5021"/>
      <c r="L5021"/>
    </row>
    <row r="5022" spans="8:12">
      <c r="H5022"/>
      <c r="I5022"/>
      <c r="J5022"/>
      <c r="K5022"/>
      <c r="L5022"/>
    </row>
    <row r="5023" spans="8:12">
      <c r="H5023"/>
      <c r="I5023"/>
      <c r="J5023"/>
      <c r="K5023"/>
      <c r="L5023"/>
    </row>
    <row r="5024" spans="8:12">
      <c r="H5024"/>
      <c r="I5024"/>
      <c r="J5024"/>
      <c r="K5024"/>
      <c r="L5024"/>
    </row>
    <row r="5025" spans="8:12">
      <c r="H5025"/>
      <c r="I5025"/>
      <c r="J5025"/>
      <c r="K5025"/>
      <c r="L5025"/>
    </row>
    <row r="5026" spans="8:12">
      <c r="H5026"/>
      <c r="I5026"/>
      <c r="J5026"/>
      <c r="K5026"/>
      <c r="L5026"/>
    </row>
    <row r="5027" spans="8:12">
      <c r="H5027"/>
      <c r="I5027"/>
      <c r="J5027"/>
      <c r="K5027"/>
      <c r="L5027"/>
    </row>
    <row r="5028" spans="8:12">
      <c r="H5028"/>
      <c r="I5028"/>
      <c r="J5028"/>
      <c r="K5028"/>
      <c r="L5028"/>
    </row>
    <row r="5029" spans="8:12">
      <c r="H5029"/>
      <c r="I5029"/>
      <c r="J5029"/>
      <c r="K5029"/>
      <c r="L5029"/>
    </row>
    <row r="5030" spans="8:12">
      <c r="H5030"/>
      <c r="I5030"/>
      <c r="J5030"/>
      <c r="K5030"/>
      <c r="L5030"/>
    </row>
    <row r="5031" spans="8:12">
      <c r="H5031"/>
      <c r="I5031"/>
      <c r="J5031"/>
      <c r="K5031"/>
      <c r="L5031"/>
    </row>
    <row r="5032" spans="8:12">
      <c r="H5032"/>
      <c r="I5032"/>
      <c r="J5032"/>
      <c r="K5032"/>
      <c r="L5032"/>
    </row>
    <row r="5033" spans="8:12">
      <c r="H5033"/>
      <c r="I5033"/>
      <c r="J5033"/>
      <c r="K5033"/>
      <c r="L5033"/>
    </row>
    <row r="5034" spans="8:12">
      <c r="H5034"/>
      <c r="I5034"/>
      <c r="J5034"/>
      <c r="K5034"/>
      <c r="L5034"/>
    </row>
    <row r="5035" spans="8:12">
      <c r="H5035"/>
      <c r="I5035"/>
      <c r="J5035"/>
      <c r="K5035"/>
      <c r="L5035"/>
    </row>
    <row r="5036" spans="8:12">
      <c r="H5036"/>
      <c r="I5036"/>
      <c r="J5036"/>
      <c r="K5036"/>
      <c r="L5036"/>
    </row>
    <row r="5037" spans="8:12">
      <c r="H5037"/>
      <c r="I5037"/>
      <c r="J5037"/>
      <c r="K5037"/>
      <c r="L5037"/>
    </row>
    <row r="5038" spans="8:12">
      <c r="H5038"/>
      <c r="I5038"/>
      <c r="J5038"/>
      <c r="K5038"/>
      <c r="L5038"/>
    </row>
    <row r="5039" spans="8:12">
      <c r="H5039"/>
      <c r="I5039"/>
      <c r="J5039"/>
      <c r="K5039"/>
      <c r="L5039"/>
    </row>
    <row r="5040" spans="8:12">
      <c r="H5040"/>
      <c r="I5040"/>
      <c r="J5040"/>
      <c r="K5040"/>
      <c r="L5040"/>
    </row>
    <row r="5041" spans="8:12">
      <c r="H5041"/>
      <c r="I5041"/>
      <c r="J5041"/>
      <c r="K5041"/>
      <c r="L5041"/>
    </row>
    <row r="5042" spans="8:12">
      <c r="H5042"/>
      <c r="I5042"/>
      <c r="J5042"/>
      <c r="K5042"/>
      <c r="L5042"/>
    </row>
    <row r="5043" spans="8:12">
      <c r="H5043"/>
      <c r="I5043"/>
      <c r="J5043"/>
      <c r="K5043"/>
      <c r="L5043"/>
    </row>
    <row r="5044" spans="8:12">
      <c r="H5044"/>
      <c r="I5044"/>
      <c r="J5044"/>
      <c r="K5044"/>
      <c r="L5044"/>
    </row>
    <row r="5045" spans="8:12">
      <c r="H5045"/>
      <c r="I5045"/>
      <c r="J5045"/>
      <c r="K5045"/>
      <c r="L5045"/>
    </row>
    <row r="5046" spans="8:12">
      <c r="H5046"/>
      <c r="I5046"/>
      <c r="J5046"/>
      <c r="K5046"/>
      <c r="L5046"/>
    </row>
    <row r="5047" spans="8:12">
      <c r="H5047"/>
      <c r="I5047"/>
      <c r="J5047"/>
      <c r="K5047"/>
      <c r="L5047"/>
    </row>
    <row r="5048" spans="8:12">
      <c r="H5048"/>
      <c r="I5048"/>
      <c r="J5048"/>
      <c r="K5048"/>
      <c r="L5048"/>
    </row>
    <row r="5049" spans="8:12">
      <c r="H5049"/>
      <c r="I5049"/>
      <c r="J5049"/>
      <c r="K5049"/>
      <c r="L5049"/>
    </row>
    <row r="5050" spans="8:12">
      <c r="H5050"/>
      <c r="I5050"/>
      <c r="J5050"/>
      <c r="K5050"/>
      <c r="L5050"/>
    </row>
    <row r="5051" spans="8:12">
      <c r="H5051"/>
      <c r="I5051"/>
      <c r="J5051"/>
      <c r="K5051"/>
      <c r="L5051"/>
    </row>
    <row r="5052" spans="8:12">
      <c r="H5052"/>
      <c r="I5052"/>
      <c r="J5052"/>
      <c r="K5052"/>
      <c r="L5052"/>
    </row>
    <row r="5053" spans="8:12">
      <c r="H5053"/>
      <c r="I5053"/>
      <c r="J5053"/>
      <c r="K5053"/>
      <c r="L5053"/>
    </row>
    <row r="5054" spans="8:12">
      <c r="H5054"/>
      <c r="I5054"/>
      <c r="J5054"/>
      <c r="K5054"/>
      <c r="L5054"/>
    </row>
    <row r="5055" spans="8:12">
      <c r="H5055"/>
      <c r="I5055"/>
      <c r="J5055"/>
      <c r="K5055"/>
      <c r="L5055"/>
    </row>
    <row r="5056" spans="8:12">
      <c r="H5056"/>
      <c r="I5056"/>
      <c r="J5056"/>
      <c r="K5056"/>
      <c r="L5056"/>
    </row>
    <row r="5057" spans="8:12">
      <c r="H5057"/>
      <c r="I5057"/>
      <c r="J5057"/>
      <c r="K5057"/>
      <c r="L5057"/>
    </row>
    <row r="5058" spans="8:12">
      <c r="H5058"/>
      <c r="I5058"/>
      <c r="J5058"/>
      <c r="K5058"/>
      <c r="L5058"/>
    </row>
    <row r="5059" spans="8:12">
      <c r="H5059"/>
      <c r="I5059"/>
      <c r="J5059"/>
      <c r="K5059"/>
      <c r="L5059"/>
    </row>
    <row r="5060" spans="8:12">
      <c r="H5060"/>
      <c r="I5060"/>
      <c r="J5060"/>
      <c r="K5060"/>
      <c r="L5060"/>
    </row>
    <row r="5061" spans="8:12">
      <c r="H5061"/>
      <c r="I5061"/>
      <c r="J5061"/>
      <c r="K5061"/>
      <c r="L5061"/>
    </row>
    <row r="5062" spans="8:12">
      <c r="H5062"/>
      <c r="I5062"/>
      <c r="J5062"/>
      <c r="K5062"/>
      <c r="L5062"/>
    </row>
    <row r="5063" spans="8:12">
      <c r="H5063"/>
      <c r="I5063"/>
      <c r="J5063"/>
      <c r="K5063"/>
      <c r="L5063"/>
    </row>
    <row r="5064" spans="8:12">
      <c r="H5064"/>
      <c r="I5064"/>
      <c r="J5064"/>
      <c r="K5064"/>
      <c r="L5064"/>
    </row>
    <row r="5065" spans="8:12">
      <c r="H5065"/>
      <c r="I5065"/>
      <c r="J5065"/>
      <c r="K5065"/>
      <c r="L5065"/>
    </row>
    <row r="5066" spans="8:12">
      <c r="H5066"/>
      <c r="I5066"/>
      <c r="J5066"/>
      <c r="K5066"/>
      <c r="L5066"/>
    </row>
    <row r="5067" spans="8:12">
      <c r="H5067"/>
      <c r="I5067"/>
      <c r="J5067"/>
      <c r="K5067"/>
      <c r="L5067"/>
    </row>
    <row r="5068" spans="8:12">
      <c r="H5068"/>
      <c r="I5068"/>
      <c r="J5068"/>
      <c r="K5068"/>
      <c r="L5068"/>
    </row>
    <row r="5069" spans="8:12">
      <c r="H5069"/>
      <c r="I5069"/>
      <c r="J5069"/>
      <c r="K5069"/>
      <c r="L5069"/>
    </row>
    <row r="5070" spans="8:12">
      <c r="H5070"/>
      <c r="I5070"/>
      <c r="J5070"/>
      <c r="K5070"/>
      <c r="L5070"/>
    </row>
    <row r="5071" spans="8:12">
      <c r="H5071"/>
      <c r="I5071"/>
      <c r="J5071"/>
      <c r="K5071"/>
      <c r="L5071"/>
    </row>
    <row r="5072" spans="8:12">
      <c r="H5072"/>
      <c r="I5072"/>
      <c r="J5072"/>
      <c r="K5072"/>
      <c r="L5072"/>
    </row>
    <row r="5073" spans="8:12">
      <c r="H5073"/>
      <c r="I5073"/>
      <c r="J5073"/>
      <c r="K5073"/>
      <c r="L5073"/>
    </row>
    <row r="5074" spans="8:12">
      <c r="H5074"/>
      <c r="I5074"/>
      <c r="J5074"/>
      <c r="K5074"/>
      <c r="L5074"/>
    </row>
    <row r="5075" spans="8:12">
      <c r="H5075"/>
      <c r="I5075"/>
      <c r="J5075"/>
      <c r="K5075"/>
      <c r="L5075"/>
    </row>
    <row r="5076" spans="8:12">
      <c r="H5076"/>
      <c r="I5076"/>
      <c r="J5076"/>
      <c r="K5076"/>
      <c r="L5076"/>
    </row>
    <row r="5077" spans="8:12">
      <c r="H5077"/>
      <c r="I5077"/>
      <c r="J5077"/>
      <c r="K5077"/>
      <c r="L5077"/>
    </row>
    <row r="5078" spans="8:12">
      <c r="H5078"/>
      <c r="I5078"/>
      <c r="J5078"/>
      <c r="K5078"/>
      <c r="L5078"/>
    </row>
    <row r="5079" spans="8:12">
      <c r="H5079"/>
      <c r="I5079"/>
      <c r="J5079"/>
      <c r="K5079"/>
      <c r="L5079"/>
    </row>
    <row r="5080" spans="8:12">
      <c r="H5080"/>
      <c r="I5080"/>
      <c r="J5080"/>
      <c r="K5080"/>
      <c r="L5080"/>
    </row>
    <row r="5081" spans="8:12">
      <c r="H5081"/>
      <c r="I5081"/>
      <c r="J5081"/>
      <c r="K5081"/>
      <c r="L5081"/>
    </row>
    <row r="5082" spans="8:12">
      <c r="H5082"/>
      <c r="I5082"/>
      <c r="J5082"/>
      <c r="K5082"/>
      <c r="L5082"/>
    </row>
    <row r="5083" spans="8:12">
      <c r="H5083"/>
      <c r="I5083"/>
      <c r="J5083"/>
      <c r="K5083"/>
      <c r="L5083"/>
    </row>
    <row r="5084" spans="8:12">
      <c r="H5084"/>
      <c r="I5084"/>
      <c r="J5084"/>
      <c r="K5084"/>
      <c r="L5084"/>
    </row>
    <row r="5085" spans="8:12">
      <c r="H5085"/>
      <c r="I5085"/>
      <c r="J5085"/>
      <c r="K5085"/>
      <c r="L5085"/>
    </row>
    <row r="5086" spans="8:12">
      <c r="H5086"/>
      <c r="I5086"/>
      <c r="J5086"/>
      <c r="K5086"/>
      <c r="L5086"/>
    </row>
    <row r="5087" spans="8:12">
      <c r="H5087"/>
      <c r="I5087"/>
      <c r="J5087"/>
      <c r="K5087"/>
      <c r="L5087"/>
    </row>
    <row r="5088" spans="8:12">
      <c r="H5088"/>
      <c r="I5088"/>
      <c r="J5088"/>
      <c r="K5088"/>
      <c r="L5088"/>
    </row>
    <row r="5089" spans="8:12">
      <c r="H5089"/>
      <c r="I5089"/>
      <c r="J5089"/>
      <c r="K5089"/>
      <c r="L5089"/>
    </row>
    <row r="5090" spans="8:12">
      <c r="H5090"/>
      <c r="I5090"/>
      <c r="J5090"/>
      <c r="K5090"/>
      <c r="L5090"/>
    </row>
    <row r="5091" spans="8:12">
      <c r="H5091"/>
      <c r="I5091"/>
      <c r="J5091"/>
      <c r="K5091"/>
      <c r="L5091"/>
    </row>
    <row r="5092" spans="8:12">
      <c r="H5092"/>
      <c r="I5092"/>
      <c r="J5092"/>
      <c r="K5092"/>
      <c r="L5092"/>
    </row>
    <row r="5093" spans="8:12">
      <c r="H5093"/>
      <c r="I5093"/>
      <c r="J5093"/>
      <c r="K5093"/>
      <c r="L5093"/>
    </row>
    <row r="5094" spans="8:12">
      <c r="H5094"/>
      <c r="I5094"/>
      <c r="J5094"/>
      <c r="K5094"/>
      <c r="L5094"/>
    </row>
    <row r="5095" spans="8:12">
      <c r="H5095"/>
      <c r="I5095"/>
      <c r="J5095"/>
      <c r="K5095"/>
      <c r="L5095"/>
    </row>
    <row r="5096" spans="8:12">
      <c r="H5096"/>
      <c r="I5096"/>
      <c r="J5096"/>
      <c r="K5096"/>
      <c r="L5096"/>
    </row>
    <row r="5097" spans="8:12">
      <c r="H5097"/>
      <c r="I5097"/>
      <c r="J5097"/>
      <c r="K5097"/>
      <c r="L5097"/>
    </row>
    <row r="5098" spans="8:12">
      <c r="H5098"/>
      <c r="I5098"/>
      <c r="J5098"/>
      <c r="K5098"/>
      <c r="L5098"/>
    </row>
    <row r="5099" spans="8:12">
      <c r="H5099"/>
      <c r="I5099"/>
      <c r="J5099"/>
      <c r="K5099"/>
      <c r="L5099"/>
    </row>
    <row r="5100" spans="8:12">
      <c r="H5100"/>
      <c r="I5100"/>
      <c r="J5100"/>
      <c r="K5100"/>
      <c r="L5100"/>
    </row>
    <row r="5101" spans="8:12">
      <c r="H5101"/>
      <c r="I5101"/>
      <c r="J5101"/>
      <c r="K5101"/>
      <c r="L5101"/>
    </row>
    <row r="5102" spans="8:12">
      <c r="H5102"/>
      <c r="I5102"/>
      <c r="J5102"/>
      <c r="K5102"/>
      <c r="L5102"/>
    </row>
    <row r="5103" spans="8:12">
      <c r="H5103"/>
      <c r="I5103"/>
      <c r="J5103"/>
      <c r="K5103"/>
      <c r="L5103"/>
    </row>
    <row r="5104" spans="8:12">
      <c r="H5104"/>
      <c r="I5104"/>
      <c r="J5104"/>
      <c r="K5104"/>
      <c r="L5104"/>
    </row>
    <row r="5105" spans="8:12">
      <c r="H5105"/>
      <c r="I5105"/>
      <c r="J5105"/>
      <c r="K5105"/>
      <c r="L5105"/>
    </row>
    <row r="5106" spans="8:12">
      <c r="H5106"/>
      <c r="I5106"/>
      <c r="J5106"/>
      <c r="K5106"/>
      <c r="L5106"/>
    </row>
    <row r="5107" spans="8:12">
      <c r="H5107"/>
      <c r="I5107"/>
      <c r="J5107"/>
      <c r="K5107"/>
      <c r="L5107"/>
    </row>
    <row r="5108" spans="8:12">
      <c r="H5108"/>
      <c r="I5108"/>
      <c r="J5108"/>
      <c r="K5108"/>
      <c r="L5108"/>
    </row>
    <row r="5109" spans="8:12">
      <c r="H5109"/>
      <c r="I5109"/>
      <c r="J5109"/>
      <c r="K5109"/>
      <c r="L5109"/>
    </row>
    <row r="5110" spans="8:12">
      <c r="H5110"/>
      <c r="I5110"/>
      <c r="J5110"/>
      <c r="K5110"/>
      <c r="L5110"/>
    </row>
    <row r="5111" spans="8:12">
      <c r="H5111"/>
      <c r="I5111"/>
      <c r="J5111"/>
      <c r="K5111"/>
      <c r="L5111"/>
    </row>
    <row r="5112" spans="8:12">
      <c r="H5112"/>
      <c r="I5112"/>
      <c r="J5112"/>
      <c r="K5112"/>
      <c r="L5112"/>
    </row>
    <row r="5113" spans="8:12">
      <c r="H5113"/>
      <c r="I5113"/>
      <c r="J5113"/>
      <c r="K5113"/>
      <c r="L5113"/>
    </row>
    <row r="5114" spans="8:12">
      <c r="H5114"/>
      <c r="I5114"/>
      <c r="J5114"/>
      <c r="K5114"/>
      <c r="L5114"/>
    </row>
    <row r="5115" spans="8:12">
      <c r="H5115"/>
      <c r="I5115"/>
      <c r="J5115"/>
      <c r="K5115"/>
      <c r="L5115"/>
    </row>
    <row r="5116" spans="8:12">
      <c r="H5116"/>
      <c r="I5116"/>
      <c r="J5116"/>
      <c r="K5116"/>
      <c r="L5116"/>
    </row>
    <row r="5117" spans="8:12">
      <c r="H5117"/>
      <c r="I5117"/>
      <c r="J5117"/>
      <c r="K5117"/>
      <c r="L5117"/>
    </row>
    <row r="5118" spans="8:12">
      <c r="H5118"/>
      <c r="I5118"/>
      <c r="J5118"/>
      <c r="K5118"/>
      <c r="L5118"/>
    </row>
    <row r="5119" spans="8:12">
      <c r="H5119"/>
      <c r="I5119"/>
      <c r="J5119"/>
      <c r="K5119"/>
      <c r="L5119"/>
    </row>
    <row r="5120" spans="8:12">
      <c r="H5120"/>
      <c r="I5120"/>
      <c r="J5120"/>
      <c r="K5120"/>
      <c r="L5120"/>
    </row>
    <row r="5121" spans="8:12">
      <c r="H5121"/>
      <c r="I5121"/>
      <c r="J5121"/>
      <c r="K5121"/>
      <c r="L5121"/>
    </row>
    <row r="5122" spans="8:12">
      <c r="H5122"/>
      <c r="I5122"/>
      <c r="J5122"/>
      <c r="K5122"/>
      <c r="L5122"/>
    </row>
    <row r="5123" spans="8:12">
      <c r="H5123"/>
      <c r="I5123"/>
      <c r="J5123"/>
      <c r="K5123"/>
      <c r="L5123"/>
    </row>
    <row r="5124" spans="8:12">
      <c r="H5124"/>
      <c r="I5124"/>
      <c r="J5124"/>
      <c r="K5124"/>
      <c r="L5124"/>
    </row>
    <row r="5125" spans="8:12">
      <c r="H5125"/>
      <c r="I5125"/>
      <c r="J5125"/>
      <c r="K5125"/>
      <c r="L5125"/>
    </row>
    <row r="5126" spans="8:12">
      <c r="H5126"/>
      <c r="I5126"/>
      <c r="J5126"/>
      <c r="K5126"/>
      <c r="L5126"/>
    </row>
    <row r="5127" spans="8:12">
      <c r="H5127"/>
      <c r="I5127"/>
      <c r="J5127"/>
      <c r="K5127"/>
      <c r="L5127"/>
    </row>
    <row r="5128" spans="8:12">
      <c r="H5128"/>
      <c r="I5128"/>
      <c r="J5128"/>
      <c r="K5128"/>
      <c r="L5128"/>
    </row>
    <row r="5129" spans="8:12">
      <c r="H5129"/>
      <c r="I5129"/>
      <c r="J5129"/>
      <c r="K5129"/>
      <c r="L5129"/>
    </row>
    <row r="5130" spans="8:12">
      <c r="H5130"/>
      <c r="I5130"/>
      <c r="J5130"/>
      <c r="K5130"/>
      <c r="L5130"/>
    </row>
    <row r="5131" spans="8:12">
      <c r="H5131"/>
      <c r="I5131"/>
      <c r="J5131"/>
      <c r="K5131"/>
      <c r="L5131"/>
    </row>
    <row r="5132" spans="8:12">
      <c r="H5132"/>
      <c r="I5132"/>
      <c r="J5132"/>
      <c r="K5132"/>
      <c r="L5132"/>
    </row>
    <row r="5133" spans="8:12">
      <c r="H5133"/>
      <c r="I5133"/>
      <c r="J5133"/>
      <c r="K5133"/>
      <c r="L5133"/>
    </row>
    <row r="5134" spans="8:12">
      <c r="H5134"/>
      <c r="I5134"/>
      <c r="J5134"/>
      <c r="K5134"/>
      <c r="L5134"/>
    </row>
    <row r="5135" spans="8:12">
      <c r="H5135"/>
      <c r="I5135"/>
      <c r="J5135"/>
      <c r="K5135"/>
      <c r="L5135"/>
    </row>
    <row r="5136" spans="8:12">
      <c r="H5136"/>
      <c r="I5136"/>
      <c r="J5136"/>
      <c r="K5136"/>
      <c r="L5136"/>
    </row>
    <row r="5137" spans="8:12">
      <c r="H5137"/>
      <c r="I5137"/>
      <c r="J5137"/>
      <c r="K5137"/>
      <c r="L5137"/>
    </row>
    <row r="5138" spans="8:12">
      <c r="H5138"/>
      <c r="I5138"/>
      <c r="J5138"/>
      <c r="K5138"/>
      <c r="L5138"/>
    </row>
    <row r="5139" spans="8:12">
      <c r="H5139"/>
      <c r="I5139"/>
      <c r="J5139"/>
      <c r="K5139"/>
      <c r="L5139"/>
    </row>
    <row r="5140" spans="8:12">
      <c r="H5140"/>
      <c r="I5140"/>
      <c r="J5140"/>
      <c r="K5140"/>
      <c r="L5140"/>
    </row>
    <row r="5141" spans="8:12">
      <c r="H5141"/>
      <c r="I5141"/>
      <c r="J5141"/>
      <c r="K5141"/>
      <c r="L5141"/>
    </row>
    <row r="5142" spans="8:12">
      <c r="H5142"/>
      <c r="I5142"/>
      <c r="J5142"/>
      <c r="K5142"/>
      <c r="L5142"/>
    </row>
    <row r="5143" spans="8:12">
      <c r="H5143"/>
      <c r="I5143"/>
      <c r="J5143"/>
      <c r="K5143"/>
      <c r="L5143"/>
    </row>
    <row r="5144" spans="8:12">
      <c r="H5144"/>
      <c r="I5144"/>
      <c r="J5144"/>
      <c r="K5144"/>
      <c r="L5144"/>
    </row>
    <row r="5145" spans="8:12">
      <c r="H5145"/>
      <c r="I5145"/>
      <c r="J5145"/>
      <c r="K5145"/>
      <c r="L5145"/>
    </row>
    <row r="5146" spans="8:12">
      <c r="H5146"/>
      <c r="I5146"/>
      <c r="J5146"/>
      <c r="K5146"/>
      <c r="L5146"/>
    </row>
    <row r="5147" spans="8:12">
      <c r="H5147"/>
      <c r="I5147"/>
      <c r="J5147"/>
      <c r="K5147"/>
      <c r="L5147"/>
    </row>
    <row r="5148" spans="8:12">
      <c r="H5148"/>
      <c r="I5148"/>
      <c r="J5148"/>
      <c r="K5148"/>
      <c r="L5148"/>
    </row>
    <row r="5149" spans="8:12">
      <c r="H5149"/>
      <c r="I5149"/>
      <c r="J5149"/>
      <c r="K5149"/>
      <c r="L5149"/>
    </row>
    <row r="5150" spans="8:12">
      <c r="H5150"/>
      <c r="I5150"/>
      <c r="J5150"/>
      <c r="K5150"/>
      <c r="L5150"/>
    </row>
    <row r="5151" spans="8:12">
      <c r="H5151"/>
      <c r="I5151"/>
      <c r="J5151"/>
      <c r="K5151"/>
      <c r="L5151"/>
    </row>
    <row r="5152" spans="8:12">
      <c r="H5152"/>
      <c r="I5152"/>
      <c r="J5152"/>
      <c r="K5152"/>
      <c r="L5152"/>
    </row>
    <row r="5153" spans="8:12">
      <c r="H5153"/>
      <c r="I5153"/>
      <c r="J5153"/>
      <c r="K5153"/>
      <c r="L5153"/>
    </row>
    <row r="5154" spans="8:12">
      <c r="H5154"/>
      <c r="I5154"/>
      <c r="J5154"/>
      <c r="K5154"/>
      <c r="L5154"/>
    </row>
    <row r="5155" spans="8:12">
      <c r="H5155"/>
      <c r="I5155"/>
      <c r="J5155"/>
      <c r="K5155"/>
      <c r="L5155"/>
    </row>
    <row r="5156" spans="8:12">
      <c r="H5156"/>
      <c r="I5156"/>
      <c r="J5156"/>
      <c r="K5156"/>
      <c r="L5156"/>
    </row>
    <row r="5157" spans="8:12">
      <c r="H5157"/>
      <c r="I5157"/>
      <c r="J5157"/>
      <c r="K5157"/>
      <c r="L5157"/>
    </row>
    <row r="5158" spans="8:12">
      <c r="H5158"/>
      <c r="I5158"/>
      <c r="J5158"/>
      <c r="K5158"/>
      <c r="L5158"/>
    </row>
    <row r="5159" spans="8:12">
      <c r="H5159"/>
      <c r="I5159"/>
      <c r="J5159"/>
      <c r="K5159"/>
      <c r="L5159"/>
    </row>
    <row r="5160" spans="8:12">
      <c r="H5160"/>
      <c r="I5160"/>
      <c r="J5160"/>
      <c r="K5160"/>
      <c r="L5160"/>
    </row>
    <row r="5161" spans="8:12">
      <c r="H5161"/>
      <c r="I5161"/>
      <c r="J5161"/>
      <c r="K5161"/>
      <c r="L5161"/>
    </row>
    <row r="5162" spans="8:12">
      <c r="H5162"/>
      <c r="I5162"/>
      <c r="J5162"/>
      <c r="K5162"/>
      <c r="L5162"/>
    </row>
    <row r="5163" spans="8:12">
      <c r="H5163"/>
      <c r="I5163"/>
      <c r="J5163"/>
      <c r="K5163"/>
      <c r="L5163"/>
    </row>
    <row r="5164" spans="8:12">
      <c r="H5164"/>
      <c r="I5164"/>
      <c r="J5164"/>
      <c r="K5164"/>
      <c r="L5164"/>
    </row>
    <row r="5165" spans="8:12">
      <c r="H5165"/>
      <c r="I5165"/>
      <c r="J5165"/>
      <c r="K5165"/>
      <c r="L5165"/>
    </row>
    <row r="5166" spans="8:12">
      <c r="H5166"/>
      <c r="I5166"/>
      <c r="J5166"/>
      <c r="K5166"/>
      <c r="L5166"/>
    </row>
    <row r="5167" spans="8:12">
      <c r="H5167"/>
      <c r="I5167"/>
      <c r="J5167"/>
      <c r="K5167"/>
      <c r="L5167"/>
    </row>
    <row r="5168" spans="8:12">
      <c r="H5168"/>
      <c r="I5168"/>
      <c r="J5168"/>
      <c r="K5168"/>
      <c r="L5168"/>
    </row>
    <row r="5169" spans="8:12">
      <c r="H5169"/>
      <c r="I5169"/>
      <c r="J5169"/>
      <c r="K5169"/>
      <c r="L5169"/>
    </row>
    <row r="5170" spans="8:12">
      <c r="H5170"/>
      <c r="I5170"/>
      <c r="J5170"/>
      <c r="K5170"/>
      <c r="L5170"/>
    </row>
    <row r="5171" spans="8:12">
      <c r="H5171"/>
      <c r="I5171"/>
      <c r="J5171"/>
      <c r="K5171"/>
      <c r="L5171"/>
    </row>
    <row r="5172" spans="8:12">
      <c r="H5172"/>
      <c r="I5172"/>
      <c r="J5172"/>
      <c r="K5172"/>
      <c r="L5172"/>
    </row>
    <row r="5173" spans="8:12">
      <c r="H5173"/>
      <c r="I5173"/>
      <c r="J5173"/>
      <c r="K5173"/>
      <c r="L5173"/>
    </row>
    <row r="5174" spans="8:12">
      <c r="H5174"/>
      <c r="I5174"/>
      <c r="J5174"/>
      <c r="K5174"/>
      <c r="L5174"/>
    </row>
    <row r="5175" spans="8:12">
      <c r="H5175"/>
      <c r="I5175"/>
      <c r="J5175"/>
      <c r="K5175"/>
      <c r="L5175"/>
    </row>
    <row r="5176" spans="8:12">
      <c r="H5176"/>
      <c r="I5176"/>
      <c r="J5176"/>
      <c r="K5176"/>
      <c r="L5176"/>
    </row>
    <row r="5177" spans="8:12">
      <c r="H5177"/>
      <c r="I5177"/>
      <c r="J5177"/>
      <c r="K5177"/>
      <c r="L5177"/>
    </row>
    <row r="5178" spans="8:12">
      <c r="H5178"/>
      <c r="I5178"/>
      <c r="J5178"/>
      <c r="K5178"/>
      <c r="L5178"/>
    </row>
    <row r="5179" spans="8:12">
      <c r="H5179"/>
      <c r="I5179"/>
      <c r="J5179"/>
      <c r="K5179"/>
      <c r="L5179"/>
    </row>
    <row r="5180" spans="8:12">
      <c r="H5180"/>
      <c r="I5180"/>
      <c r="J5180"/>
      <c r="K5180"/>
      <c r="L5180"/>
    </row>
    <row r="5181" spans="8:12">
      <c r="H5181"/>
      <c r="I5181"/>
      <c r="J5181"/>
      <c r="K5181"/>
      <c r="L5181"/>
    </row>
    <row r="5182" spans="8:12">
      <c r="H5182"/>
      <c r="I5182"/>
      <c r="J5182"/>
      <c r="K5182"/>
      <c r="L5182"/>
    </row>
    <row r="5183" spans="8:12">
      <c r="H5183"/>
      <c r="I5183"/>
      <c r="J5183"/>
      <c r="K5183"/>
      <c r="L5183"/>
    </row>
    <row r="5184" spans="8:12">
      <c r="H5184"/>
      <c r="I5184"/>
      <c r="J5184"/>
      <c r="K5184"/>
      <c r="L5184"/>
    </row>
    <row r="5185" spans="8:12">
      <c r="H5185"/>
      <c r="I5185"/>
      <c r="J5185"/>
      <c r="K5185"/>
      <c r="L5185"/>
    </row>
    <row r="5186" spans="8:12">
      <c r="H5186"/>
      <c r="I5186"/>
      <c r="J5186"/>
      <c r="K5186"/>
      <c r="L5186"/>
    </row>
    <row r="5187" spans="8:12">
      <c r="H5187"/>
      <c r="I5187"/>
      <c r="J5187"/>
      <c r="K5187"/>
      <c r="L5187"/>
    </row>
    <row r="5188" spans="8:12">
      <c r="H5188"/>
      <c r="I5188"/>
      <c r="J5188"/>
      <c r="K5188"/>
      <c r="L5188"/>
    </row>
    <row r="5189" spans="8:12">
      <c r="H5189"/>
      <c r="I5189"/>
      <c r="J5189"/>
      <c r="K5189"/>
      <c r="L5189"/>
    </row>
    <row r="5190" spans="8:12">
      <c r="H5190"/>
      <c r="I5190"/>
      <c r="J5190"/>
      <c r="K5190"/>
      <c r="L5190"/>
    </row>
    <row r="5191" spans="8:12">
      <c r="H5191"/>
      <c r="I5191"/>
      <c r="J5191"/>
      <c r="K5191"/>
      <c r="L5191"/>
    </row>
    <row r="5192" spans="8:12">
      <c r="H5192"/>
      <c r="I5192"/>
      <c r="J5192"/>
      <c r="K5192"/>
      <c r="L5192"/>
    </row>
    <row r="5193" spans="8:12">
      <c r="H5193"/>
      <c r="I5193"/>
      <c r="J5193"/>
      <c r="K5193"/>
      <c r="L5193"/>
    </row>
    <row r="5194" spans="8:12">
      <c r="H5194"/>
      <c r="I5194"/>
      <c r="J5194"/>
      <c r="K5194"/>
      <c r="L5194"/>
    </row>
    <row r="5195" spans="8:12">
      <c r="H5195"/>
      <c r="I5195"/>
      <c r="J5195"/>
      <c r="K5195"/>
      <c r="L5195"/>
    </row>
    <row r="5196" spans="8:12">
      <c r="H5196"/>
      <c r="I5196"/>
      <c r="J5196"/>
      <c r="K5196"/>
      <c r="L5196"/>
    </row>
    <row r="5197" spans="8:12">
      <c r="H5197"/>
      <c r="I5197"/>
      <c r="J5197"/>
      <c r="K5197"/>
      <c r="L5197"/>
    </row>
    <row r="5198" spans="8:12">
      <c r="H5198"/>
      <c r="I5198"/>
      <c r="J5198"/>
      <c r="K5198"/>
      <c r="L5198"/>
    </row>
    <row r="5199" spans="8:12">
      <c r="H5199"/>
      <c r="I5199"/>
      <c r="J5199"/>
      <c r="K5199"/>
      <c r="L5199"/>
    </row>
    <row r="5200" spans="8:12">
      <c r="H5200"/>
      <c r="I5200"/>
      <c r="J5200"/>
      <c r="K5200"/>
      <c r="L5200"/>
    </row>
    <row r="5201" spans="8:12">
      <c r="H5201"/>
      <c r="I5201"/>
      <c r="J5201"/>
      <c r="K5201"/>
      <c r="L5201"/>
    </row>
    <row r="5202" spans="8:12">
      <c r="H5202"/>
      <c r="I5202"/>
      <c r="J5202"/>
      <c r="K5202"/>
      <c r="L5202"/>
    </row>
    <row r="5203" spans="8:12">
      <c r="H5203"/>
      <c r="I5203"/>
      <c r="J5203"/>
      <c r="K5203"/>
      <c r="L5203"/>
    </row>
    <row r="5204" spans="8:12">
      <c r="H5204"/>
      <c r="I5204"/>
      <c r="J5204"/>
      <c r="K5204"/>
      <c r="L5204"/>
    </row>
    <row r="5205" spans="8:12">
      <c r="H5205"/>
      <c r="I5205"/>
      <c r="J5205"/>
      <c r="K5205"/>
      <c r="L5205"/>
    </row>
    <row r="5206" spans="8:12">
      <c r="H5206"/>
      <c r="I5206"/>
      <c r="J5206"/>
      <c r="K5206"/>
      <c r="L5206"/>
    </row>
    <row r="5207" spans="8:12">
      <c r="H5207"/>
      <c r="I5207"/>
      <c r="J5207"/>
      <c r="K5207"/>
      <c r="L5207"/>
    </row>
    <row r="5208" spans="8:12">
      <c r="H5208"/>
      <c r="I5208"/>
      <c r="J5208"/>
      <c r="K5208"/>
      <c r="L5208"/>
    </row>
    <row r="5209" spans="8:12">
      <c r="H5209"/>
      <c r="I5209"/>
      <c r="J5209"/>
      <c r="K5209"/>
      <c r="L5209"/>
    </row>
    <row r="5210" spans="8:12">
      <c r="H5210"/>
      <c r="I5210"/>
      <c r="J5210"/>
      <c r="K5210"/>
      <c r="L5210"/>
    </row>
    <row r="5211" spans="8:12">
      <c r="H5211"/>
      <c r="I5211"/>
      <c r="J5211"/>
      <c r="K5211"/>
      <c r="L5211"/>
    </row>
    <row r="5212" spans="8:12">
      <c r="H5212"/>
      <c r="I5212"/>
      <c r="J5212"/>
      <c r="K5212"/>
      <c r="L5212"/>
    </row>
    <row r="5213" spans="8:12">
      <c r="H5213"/>
      <c r="I5213"/>
      <c r="J5213"/>
      <c r="K5213"/>
      <c r="L5213"/>
    </row>
    <row r="5214" spans="8:12">
      <c r="H5214"/>
      <c r="I5214"/>
      <c r="J5214"/>
      <c r="K5214"/>
      <c r="L5214"/>
    </row>
    <row r="5215" spans="8:12">
      <c r="H5215"/>
      <c r="I5215"/>
      <c r="J5215"/>
      <c r="K5215"/>
      <c r="L5215"/>
    </row>
    <row r="5216" spans="8:12">
      <c r="H5216"/>
      <c r="I5216"/>
      <c r="J5216"/>
      <c r="K5216"/>
      <c r="L5216"/>
    </row>
    <row r="5217" spans="8:12">
      <c r="H5217"/>
      <c r="I5217"/>
      <c r="J5217"/>
      <c r="K5217"/>
      <c r="L5217"/>
    </row>
    <row r="5218" spans="8:12">
      <c r="H5218"/>
      <c r="I5218"/>
      <c r="J5218"/>
      <c r="K5218"/>
      <c r="L5218"/>
    </row>
    <row r="5219" spans="8:12">
      <c r="H5219"/>
      <c r="I5219"/>
      <c r="J5219"/>
      <c r="K5219"/>
      <c r="L5219"/>
    </row>
    <row r="5220" spans="8:12">
      <c r="H5220"/>
      <c r="I5220"/>
      <c r="J5220"/>
      <c r="K5220"/>
      <c r="L5220"/>
    </row>
    <row r="5221" spans="8:12">
      <c r="H5221"/>
      <c r="I5221"/>
      <c r="J5221"/>
      <c r="K5221"/>
      <c r="L5221"/>
    </row>
    <row r="5222" spans="8:12">
      <c r="H5222"/>
      <c r="I5222"/>
      <c r="J5222"/>
      <c r="K5222"/>
      <c r="L5222"/>
    </row>
    <row r="5223" spans="8:12">
      <c r="H5223"/>
      <c r="I5223"/>
      <c r="J5223"/>
      <c r="K5223"/>
      <c r="L5223"/>
    </row>
    <row r="5224" spans="8:12">
      <c r="H5224"/>
      <c r="I5224"/>
      <c r="J5224"/>
      <c r="K5224"/>
      <c r="L5224"/>
    </row>
    <row r="5225" spans="8:12">
      <c r="H5225"/>
      <c r="I5225"/>
      <c r="J5225"/>
      <c r="K5225"/>
      <c r="L5225"/>
    </row>
    <row r="5226" spans="8:12">
      <c r="H5226"/>
      <c r="I5226"/>
      <c r="J5226"/>
      <c r="K5226"/>
      <c r="L5226"/>
    </row>
    <row r="5227" spans="8:12">
      <c r="H5227"/>
      <c r="I5227"/>
      <c r="J5227"/>
      <c r="K5227"/>
      <c r="L5227"/>
    </row>
    <row r="5228" spans="8:12">
      <c r="H5228"/>
      <c r="I5228"/>
      <c r="J5228"/>
      <c r="K5228"/>
      <c r="L5228"/>
    </row>
    <row r="5229" spans="8:12">
      <c r="H5229"/>
      <c r="I5229"/>
      <c r="J5229"/>
      <c r="K5229"/>
      <c r="L5229"/>
    </row>
    <row r="5230" spans="8:12">
      <c r="H5230"/>
      <c r="I5230"/>
      <c r="J5230"/>
      <c r="K5230"/>
      <c r="L5230"/>
    </row>
    <row r="5231" spans="8:12">
      <c r="H5231"/>
      <c r="I5231"/>
      <c r="J5231"/>
      <c r="K5231"/>
      <c r="L5231"/>
    </row>
    <row r="5232" spans="8:12">
      <c r="H5232"/>
      <c r="I5232"/>
      <c r="J5232"/>
      <c r="K5232"/>
      <c r="L5232"/>
    </row>
    <row r="5233" spans="8:12">
      <c r="H5233"/>
      <c r="I5233"/>
      <c r="J5233"/>
      <c r="K5233"/>
      <c r="L5233"/>
    </row>
    <row r="5234" spans="8:12">
      <c r="H5234"/>
      <c r="I5234"/>
      <c r="J5234"/>
      <c r="K5234"/>
      <c r="L5234"/>
    </row>
    <row r="5235" spans="8:12">
      <c r="H5235"/>
      <c r="I5235"/>
      <c r="J5235"/>
      <c r="K5235"/>
      <c r="L5235"/>
    </row>
    <row r="5236" spans="8:12">
      <c r="H5236"/>
      <c r="I5236"/>
      <c r="J5236"/>
      <c r="K5236"/>
      <c r="L5236"/>
    </row>
    <row r="5237" spans="8:12">
      <c r="H5237"/>
      <c r="I5237"/>
      <c r="J5237"/>
      <c r="K5237"/>
      <c r="L5237"/>
    </row>
    <row r="5238" spans="8:12">
      <c r="H5238"/>
      <c r="I5238"/>
      <c r="J5238"/>
      <c r="K5238"/>
      <c r="L5238"/>
    </row>
    <row r="5239" spans="8:12">
      <c r="H5239"/>
      <c r="I5239"/>
      <c r="J5239"/>
      <c r="K5239"/>
      <c r="L5239"/>
    </row>
    <row r="5240" spans="8:12">
      <c r="H5240"/>
      <c r="I5240"/>
      <c r="J5240"/>
      <c r="K5240"/>
      <c r="L5240"/>
    </row>
    <row r="5241" spans="8:12">
      <c r="H5241"/>
      <c r="I5241"/>
      <c r="J5241"/>
      <c r="K5241"/>
      <c r="L5241"/>
    </row>
    <row r="5242" spans="8:12">
      <c r="H5242"/>
      <c r="I5242"/>
      <c r="J5242"/>
      <c r="K5242"/>
      <c r="L5242"/>
    </row>
    <row r="5243" spans="8:12">
      <c r="H5243"/>
      <c r="I5243"/>
      <c r="J5243"/>
      <c r="K5243"/>
      <c r="L5243"/>
    </row>
    <row r="5244" spans="8:12">
      <c r="H5244"/>
      <c r="I5244"/>
      <c r="J5244"/>
      <c r="K5244"/>
      <c r="L5244"/>
    </row>
    <row r="5245" spans="8:12">
      <c r="H5245"/>
      <c r="I5245"/>
      <c r="J5245"/>
      <c r="K5245"/>
      <c r="L5245"/>
    </row>
    <row r="5246" spans="8:12">
      <c r="H5246"/>
      <c r="I5246"/>
      <c r="J5246"/>
      <c r="K5246"/>
      <c r="L5246"/>
    </row>
    <row r="5247" spans="8:12">
      <c r="H5247"/>
      <c r="I5247"/>
      <c r="J5247"/>
      <c r="K5247"/>
      <c r="L5247"/>
    </row>
    <row r="5248" spans="8:12">
      <c r="H5248"/>
      <c r="I5248"/>
      <c r="J5248"/>
      <c r="K5248"/>
      <c r="L5248"/>
    </row>
    <row r="5249" spans="8:12">
      <c r="H5249"/>
      <c r="I5249"/>
      <c r="J5249"/>
      <c r="K5249"/>
      <c r="L5249"/>
    </row>
    <row r="5250" spans="8:12">
      <c r="H5250"/>
      <c r="I5250"/>
      <c r="J5250"/>
      <c r="K5250"/>
      <c r="L5250"/>
    </row>
    <row r="5251" spans="8:12">
      <c r="H5251"/>
      <c r="I5251"/>
      <c r="J5251"/>
      <c r="K5251"/>
      <c r="L5251"/>
    </row>
    <row r="5252" spans="8:12">
      <c r="H5252"/>
      <c r="I5252"/>
      <c r="J5252"/>
      <c r="K5252"/>
      <c r="L5252"/>
    </row>
    <row r="5253" spans="8:12">
      <c r="H5253"/>
      <c r="I5253"/>
      <c r="J5253"/>
      <c r="K5253"/>
      <c r="L5253"/>
    </row>
    <row r="5254" spans="8:12">
      <c r="H5254"/>
      <c r="I5254"/>
      <c r="J5254"/>
      <c r="K5254"/>
      <c r="L5254"/>
    </row>
    <row r="5255" spans="8:12">
      <c r="H5255"/>
      <c r="I5255"/>
      <c r="J5255"/>
      <c r="K5255"/>
      <c r="L5255"/>
    </row>
    <row r="5256" spans="8:12">
      <c r="H5256"/>
      <c r="I5256"/>
      <c r="J5256"/>
      <c r="K5256"/>
      <c r="L5256"/>
    </row>
    <row r="5257" spans="8:12">
      <c r="H5257"/>
      <c r="I5257"/>
      <c r="J5257"/>
      <c r="K5257"/>
      <c r="L5257"/>
    </row>
    <row r="5258" spans="8:12">
      <c r="H5258"/>
      <c r="I5258"/>
      <c r="J5258"/>
      <c r="K5258"/>
      <c r="L5258"/>
    </row>
    <row r="5259" spans="8:12">
      <c r="H5259"/>
      <c r="I5259"/>
      <c r="J5259"/>
      <c r="K5259"/>
      <c r="L5259"/>
    </row>
    <row r="5260" spans="8:12">
      <c r="H5260"/>
      <c r="I5260"/>
      <c r="J5260"/>
      <c r="K5260"/>
      <c r="L5260"/>
    </row>
    <row r="5261" spans="8:12">
      <c r="H5261"/>
      <c r="I5261"/>
      <c r="J5261"/>
      <c r="K5261"/>
      <c r="L5261"/>
    </row>
    <row r="5262" spans="8:12">
      <c r="H5262"/>
      <c r="I5262"/>
      <c r="J5262"/>
      <c r="K5262"/>
      <c r="L5262"/>
    </row>
    <row r="5263" spans="8:12">
      <c r="H5263"/>
      <c r="I5263"/>
      <c r="J5263"/>
      <c r="K5263"/>
      <c r="L5263"/>
    </row>
    <row r="5264" spans="8:12">
      <c r="H5264"/>
      <c r="I5264"/>
      <c r="J5264"/>
      <c r="K5264"/>
      <c r="L5264"/>
    </row>
    <row r="5265" spans="8:12">
      <c r="H5265"/>
      <c r="I5265"/>
      <c r="J5265"/>
      <c r="K5265"/>
      <c r="L5265"/>
    </row>
    <row r="5266" spans="8:12">
      <c r="H5266"/>
      <c r="I5266"/>
      <c r="J5266"/>
      <c r="K5266"/>
      <c r="L5266"/>
    </row>
    <row r="5267" spans="8:12">
      <c r="H5267"/>
      <c r="I5267"/>
      <c r="J5267"/>
      <c r="K5267"/>
      <c r="L5267"/>
    </row>
    <row r="5268" spans="8:12">
      <c r="H5268"/>
      <c r="I5268"/>
      <c r="J5268"/>
      <c r="K5268"/>
      <c r="L5268"/>
    </row>
    <row r="5269" spans="8:12">
      <c r="H5269"/>
      <c r="I5269"/>
      <c r="J5269"/>
      <c r="K5269"/>
      <c r="L5269"/>
    </row>
    <row r="5270" spans="8:12">
      <c r="H5270"/>
      <c r="I5270"/>
      <c r="J5270"/>
      <c r="K5270"/>
      <c r="L5270"/>
    </row>
    <row r="5271" spans="8:12">
      <c r="H5271"/>
      <c r="I5271"/>
      <c r="J5271"/>
      <c r="K5271"/>
      <c r="L5271"/>
    </row>
    <row r="5272" spans="8:12">
      <c r="H5272"/>
      <c r="I5272"/>
      <c r="J5272"/>
      <c r="K5272"/>
      <c r="L5272"/>
    </row>
    <row r="5273" spans="8:12">
      <c r="H5273"/>
      <c r="I5273"/>
      <c r="J5273"/>
      <c r="K5273"/>
      <c r="L5273"/>
    </row>
    <row r="5274" spans="8:12">
      <c r="H5274"/>
      <c r="I5274"/>
      <c r="J5274"/>
      <c r="K5274"/>
      <c r="L5274"/>
    </row>
    <row r="5275" spans="8:12">
      <c r="H5275"/>
      <c r="I5275"/>
      <c r="J5275"/>
      <c r="K5275"/>
      <c r="L5275"/>
    </row>
    <row r="5276" spans="8:12">
      <c r="H5276"/>
      <c r="I5276"/>
      <c r="J5276"/>
      <c r="K5276"/>
      <c r="L5276"/>
    </row>
    <row r="5277" spans="8:12">
      <c r="H5277"/>
      <c r="I5277"/>
      <c r="J5277"/>
      <c r="K5277"/>
      <c r="L5277"/>
    </row>
    <row r="5278" spans="8:12">
      <c r="H5278"/>
      <c r="I5278"/>
      <c r="J5278"/>
      <c r="K5278"/>
      <c r="L5278"/>
    </row>
    <row r="5279" spans="8:12">
      <c r="H5279"/>
      <c r="I5279"/>
      <c r="J5279"/>
      <c r="K5279"/>
      <c r="L5279"/>
    </row>
    <row r="5280" spans="8:12">
      <c r="H5280"/>
      <c r="I5280"/>
      <c r="J5280"/>
      <c r="K5280"/>
      <c r="L5280"/>
    </row>
    <row r="5281" spans="8:12">
      <c r="H5281"/>
      <c r="I5281"/>
      <c r="J5281"/>
      <c r="K5281"/>
      <c r="L5281"/>
    </row>
    <row r="5282" spans="8:12">
      <c r="H5282"/>
      <c r="I5282"/>
      <c r="J5282"/>
      <c r="K5282"/>
      <c r="L5282"/>
    </row>
    <row r="5283" spans="8:12">
      <c r="H5283"/>
      <c r="I5283"/>
      <c r="J5283"/>
      <c r="K5283"/>
      <c r="L5283"/>
    </row>
    <row r="5284" spans="8:12">
      <c r="H5284"/>
      <c r="I5284"/>
      <c r="J5284"/>
      <c r="K5284"/>
      <c r="L5284"/>
    </row>
    <row r="5285" spans="8:12">
      <c r="H5285"/>
      <c r="I5285"/>
      <c r="J5285"/>
      <c r="K5285"/>
      <c r="L5285"/>
    </row>
    <row r="5286" spans="8:12">
      <c r="H5286"/>
      <c r="I5286"/>
      <c r="J5286"/>
      <c r="K5286"/>
      <c r="L5286"/>
    </row>
    <row r="5287" spans="8:12">
      <c r="H5287"/>
      <c r="I5287"/>
      <c r="J5287"/>
      <c r="K5287"/>
      <c r="L5287"/>
    </row>
    <row r="5288" spans="8:12">
      <c r="H5288"/>
      <c r="I5288"/>
      <c r="J5288"/>
      <c r="K5288"/>
      <c r="L5288"/>
    </row>
    <row r="5289" spans="8:12">
      <c r="H5289"/>
      <c r="I5289"/>
      <c r="J5289"/>
      <c r="K5289"/>
      <c r="L5289"/>
    </row>
    <row r="5290" spans="8:12">
      <c r="H5290"/>
      <c r="I5290"/>
      <c r="J5290"/>
      <c r="K5290"/>
      <c r="L5290"/>
    </row>
    <row r="5291" spans="8:12">
      <c r="H5291"/>
      <c r="I5291"/>
      <c r="J5291"/>
      <c r="K5291"/>
      <c r="L5291"/>
    </row>
    <row r="5292" spans="8:12">
      <c r="H5292"/>
      <c r="I5292"/>
      <c r="J5292"/>
      <c r="K5292"/>
      <c r="L5292"/>
    </row>
    <row r="5293" spans="8:12">
      <c r="H5293"/>
      <c r="I5293"/>
      <c r="J5293"/>
      <c r="K5293"/>
      <c r="L5293"/>
    </row>
    <row r="5294" spans="8:12">
      <c r="H5294"/>
      <c r="I5294"/>
      <c r="J5294"/>
      <c r="K5294"/>
      <c r="L5294"/>
    </row>
    <row r="5295" spans="8:12">
      <c r="H5295"/>
      <c r="I5295"/>
      <c r="J5295"/>
      <c r="K5295"/>
      <c r="L5295"/>
    </row>
    <row r="5296" spans="8:12">
      <c r="H5296"/>
      <c r="I5296"/>
      <c r="J5296"/>
      <c r="K5296"/>
      <c r="L5296"/>
    </row>
    <row r="5297" spans="8:12">
      <c r="H5297"/>
      <c r="I5297"/>
      <c r="J5297"/>
      <c r="K5297"/>
      <c r="L5297"/>
    </row>
    <row r="5298" spans="8:12">
      <c r="H5298"/>
      <c r="I5298"/>
      <c r="J5298"/>
      <c r="K5298"/>
      <c r="L5298"/>
    </row>
    <row r="5299" spans="8:12">
      <c r="H5299"/>
      <c r="I5299"/>
      <c r="J5299"/>
      <c r="K5299"/>
      <c r="L5299"/>
    </row>
    <row r="5300" spans="8:12">
      <c r="H5300"/>
      <c r="I5300"/>
      <c r="J5300"/>
      <c r="K5300"/>
      <c r="L5300"/>
    </row>
    <row r="5301" spans="8:12">
      <c r="H5301"/>
      <c r="I5301"/>
      <c r="J5301"/>
      <c r="K5301"/>
      <c r="L5301"/>
    </row>
    <row r="5302" spans="8:12">
      <c r="H5302"/>
      <c r="I5302"/>
      <c r="J5302"/>
      <c r="K5302"/>
      <c r="L5302"/>
    </row>
    <row r="5303" spans="8:12">
      <c r="H5303"/>
      <c r="I5303"/>
      <c r="J5303"/>
      <c r="K5303"/>
      <c r="L5303"/>
    </row>
    <row r="5304" spans="8:12">
      <c r="H5304"/>
      <c r="I5304"/>
      <c r="J5304"/>
      <c r="K5304"/>
      <c r="L5304"/>
    </row>
    <row r="5305" spans="8:12">
      <c r="H5305"/>
      <c r="I5305"/>
      <c r="J5305"/>
      <c r="K5305"/>
      <c r="L5305"/>
    </row>
    <row r="5306" spans="8:12">
      <c r="H5306"/>
      <c r="I5306"/>
      <c r="J5306"/>
      <c r="K5306"/>
      <c r="L5306"/>
    </row>
    <row r="5307" spans="8:12">
      <c r="H5307"/>
      <c r="I5307"/>
      <c r="J5307"/>
      <c r="K5307"/>
      <c r="L5307"/>
    </row>
    <row r="5308" spans="8:12">
      <c r="H5308"/>
      <c r="I5308"/>
      <c r="J5308"/>
      <c r="K5308"/>
      <c r="L5308"/>
    </row>
    <row r="5309" spans="8:12">
      <c r="H5309"/>
      <c r="I5309"/>
      <c r="J5309"/>
      <c r="K5309"/>
      <c r="L5309"/>
    </row>
    <row r="5310" spans="8:12">
      <c r="H5310"/>
      <c r="I5310"/>
      <c r="J5310"/>
      <c r="K5310"/>
      <c r="L5310"/>
    </row>
    <row r="5311" spans="8:12">
      <c r="H5311"/>
      <c r="I5311"/>
      <c r="J5311"/>
      <c r="K5311"/>
      <c r="L5311"/>
    </row>
    <row r="5312" spans="8:12">
      <c r="H5312"/>
      <c r="I5312"/>
      <c r="J5312"/>
      <c r="K5312"/>
      <c r="L5312"/>
    </row>
    <row r="5313" spans="8:12">
      <c r="H5313"/>
      <c r="I5313"/>
      <c r="J5313"/>
      <c r="K5313"/>
      <c r="L5313"/>
    </row>
    <row r="5314" spans="8:12">
      <c r="H5314"/>
      <c r="I5314"/>
      <c r="J5314"/>
      <c r="K5314"/>
      <c r="L5314"/>
    </row>
    <row r="5315" spans="8:12">
      <c r="H5315"/>
      <c r="I5315"/>
      <c r="J5315"/>
      <c r="K5315"/>
      <c r="L5315"/>
    </row>
    <row r="5316" spans="8:12">
      <c r="H5316"/>
      <c r="I5316"/>
      <c r="J5316"/>
      <c r="K5316"/>
      <c r="L5316"/>
    </row>
    <row r="5317" spans="8:12">
      <c r="H5317"/>
      <c r="I5317"/>
      <c r="J5317"/>
      <c r="K5317"/>
      <c r="L5317"/>
    </row>
    <row r="5318" spans="8:12">
      <c r="H5318"/>
      <c r="I5318"/>
      <c r="J5318"/>
      <c r="K5318"/>
      <c r="L5318"/>
    </row>
    <row r="5319" spans="8:12">
      <c r="H5319"/>
      <c r="I5319"/>
      <c r="J5319"/>
      <c r="K5319"/>
      <c r="L5319"/>
    </row>
    <row r="5320" spans="8:12">
      <c r="H5320"/>
      <c r="I5320"/>
      <c r="J5320"/>
      <c r="K5320"/>
      <c r="L5320"/>
    </row>
    <row r="5321" spans="8:12">
      <c r="H5321"/>
      <c r="I5321"/>
      <c r="J5321"/>
      <c r="K5321"/>
      <c r="L5321"/>
    </row>
    <row r="5322" spans="8:12">
      <c r="H5322"/>
      <c r="I5322"/>
      <c r="J5322"/>
      <c r="K5322"/>
      <c r="L5322"/>
    </row>
    <row r="5323" spans="8:12">
      <c r="H5323"/>
      <c r="I5323"/>
      <c r="J5323"/>
      <c r="K5323"/>
      <c r="L5323"/>
    </row>
    <row r="5324" spans="8:12">
      <c r="H5324"/>
      <c r="I5324"/>
      <c r="J5324"/>
      <c r="K5324"/>
      <c r="L5324"/>
    </row>
    <row r="5325" spans="8:12">
      <c r="H5325"/>
      <c r="I5325"/>
      <c r="J5325"/>
      <c r="K5325"/>
      <c r="L5325"/>
    </row>
    <row r="5326" spans="8:12">
      <c r="H5326"/>
      <c r="I5326"/>
      <c r="J5326"/>
      <c r="K5326"/>
      <c r="L5326"/>
    </row>
    <row r="5327" spans="8:12">
      <c r="H5327"/>
      <c r="I5327"/>
      <c r="J5327"/>
      <c r="K5327"/>
      <c r="L5327"/>
    </row>
    <row r="5328" spans="8:12">
      <c r="H5328"/>
      <c r="I5328"/>
      <c r="J5328"/>
      <c r="K5328"/>
      <c r="L5328"/>
    </row>
    <row r="5329" spans="8:12">
      <c r="H5329"/>
      <c r="I5329"/>
      <c r="J5329"/>
      <c r="K5329"/>
      <c r="L5329"/>
    </row>
    <row r="5330" spans="8:12">
      <c r="H5330"/>
      <c r="I5330"/>
      <c r="J5330"/>
      <c r="K5330"/>
      <c r="L5330"/>
    </row>
    <row r="5331" spans="8:12">
      <c r="H5331"/>
      <c r="I5331"/>
      <c r="J5331"/>
      <c r="K5331"/>
      <c r="L5331"/>
    </row>
    <row r="5332" spans="8:12">
      <c r="H5332"/>
      <c r="I5332"/>
      <c r="J5332"/>
      <c r="K5332"/>
      <c r="L5332"/>
    </row>
    <row r="5333" spans="8:12">
      <c r="H5333"/>
      <c r="I5333"/>
      <c r="J5333"/>
      <c r="K5333"/>
      <c r="L5333"/>
    </row>
    <row r="5334" spans="8:12">
      <c r="H5334"/>
      <c r="I5334"/>
      <c r="J5334"/>
      <c r="K5334"/>
      <c r="L5334"/>
    </row>
    <row r="5335" spans="8:12">
      <c r="H5335"/>
      <c r="I5335"/>
      <c r="J5335"/>
      <c r="K5335"/>
      <c r="L5335"/>
    </row>
    <row r="5336" spans="8:12">
      <c r="H5336"/>
      <c r="I5336"/>
      <c r="J5336"/>
      <c r="K5336"/>
      <c r="L5336"/>
    </row>
    <row r="5337" spans="8:12">
      <c r="H5337"/>
      <c r="I5337"/>
      <c r="J5337"/>
      <c r="K5337"/>
      <c r="L5337"/>
    </row>
    <row r="5338" spans="8:12">
      <c r="H5338"/>
      <c r="I5338"/>
      <c r="J5338"/>
      <c r="K5338"/>
      <c r="L5338"/>
    </row>
    <row r="5339" spans="8:12">
      <c r="H5339"/>
      <c r="I5339"/>
      <c r="J5339"/>
      <c r="K5339"/>
      <c r="L5339"/>
    </row>
    <row r="5340" spans="8:12">
      <c r="H5340"/>
      <c r="I5340"/>
      <c r="J5340"/>
      <c r="K5340"/>
      <c r="L5340"/>
    </row>
    <row r="5341" spans="8:12">
      <c r="H5341"/>
      <c r="I5341"/>
      <c r="J5341"/>
      <c r="K5341"/>
      <c r="L5341"/>
    </row>
    <row r="5342" spans="8:12">
      <c r="H5342"/>
      <c r="I5342"/>
      <c r="J5342"/>
      <c r="K5342"/>
      <c r="L5342"/>
    </row>
    <row r="5343" spans="8:12">
      <c r="H5343"/>
      <c r="I5343"/>
      <c r="J5343"/>
      <c r="K5343"/>
      <c r="L5343"/>
    </row>
    <row r="5344" spans="8:12">
      <c r="H5344"/>
      <c r="I5344"/>
      <c r="J5344"/>
      <c r="K5344"/>
      <c r="L5344"/>
    </row>
    <row r="5345" spans="8:12">
      <c r="H5345"/>
      <c r="I5345"/>
      <c r="J5345"/>
      <c r="K5345"/>
      <c r="L5345"/>
    </row>
    <row r="5346" spans="8:12">
      <c r="H5346"/>
      <c r="I5346"/>
      <c r="J5346"/>
      <c r="K5346"/>
      <c r="L5346"/>
    </row>
    <row r="5347" spans="8:12">
      <c r="H5347"/>
      <c r="I5347"/>
      <c r="J5347"/>
      <c r="K5347"/>
      <c r="L5347"/>
    </row>
    <row r="5348" spans="8:12">
      <c r="H5348"/>
      <c r="I5348"/>
      <c r="J5348"/>
      <c r="K5348"/>
      <c r="L5348"/>
    </row>
    <row r="5349" spans="8:12">
      <c r="H5349"/>
      <c r="I5349"/>
      <c r="J5349"/>
      <c r="K5349"/>
      <c r="L5349"/>
    </row>
    <row r="5350" spans="8:12">
      <c r="H5350"/>
      <c r="I5350"/>
      <c r="J5350"/>
      <c r="K5350"/>
      <c r="L5350"/>
    </row>
    <row r="5351" spans="8:12">
      <c r="H5351"/>
      <c r="I5351"/>
      <c r="J5351"/>
      <c r="K5351"/>
      <c r="L5351"/>
    </row>
    <row r="5352" spans="8:12">
      <c r="H5352"/>
      <c r="I5352"/>
      <c r="J5352"/>
      <c r="K5352"/>
      <c r="L5352"/>
    </row>
    <row r="5353" spans="8:12">
      <c r="H5353"/>
      <c r="I5353"/>
      <c r="J5353"/>
      <c r="K5353"/>
      <c r="L5353"/>
    </row>
    <row r="5354" spans="8:12">
      <c r="H5354"/>
      <c r="I5354"/>
      <c r="J5354"/>
      <c r="K5354"/>
      <c r="L5354"/>
    </row>
    <row r="5355" spans="8:12">
      <c r="H5355"/>
      <c r="I5355"/>
      <c r="J5355"/>
      <c r="K5355"/>
      <c r="L5355"/>
    </row>
    <row r="5356" spans="8:12">
      <c r="H5356"/>
      <c r="I5356"/>
      <c r="J5356"/>
      <c r="K5356"/>
      <c r="L5356"/>
    </row>
    <row r="5357" spans="8:12">
      <c r="H5357"/>
      <c r="I5357"/>
      <c r="J5357"/>
      <c r="K5357"/>
      <c r="L5357"/>
    </row>
    <row r="5358" spans="8:12">
      <c r="H5358"/>
      <c r="I5358"/>
      <c r="J5358"/>
      <c r="K5358"/>
      <c r="L5358"/>
    </row>
    <row r="5359" spans="8:12">
      <c r="H5359"/>
      <c r="I5359"/>
      <c r="J5359"/>
      <c r="K5359"/>
      <c r="L5359"/>
    </row>
    <row r="5360" spans="8:12">
      <c r="H5360"/>
      <c r="I5360"/>
      <c r="J5360"/>
      <c r="K5360"/>
      <c r="L5360"/>
    </row>
    <row r="5361" spans="8:12">
      <c r="H5361"/>
      <c r="I5361"/>
      <c r="J5361"/>
      <c r="K5361"/>
      <c r="L5361"/>
    </row>
    <row r="5362" spans="8:12">
      <c r="H5362"/>
      <c r="I5362"/>
      <c r="J5362"/>
      <c r="K5362"/>
      <c r="L5362"/>
    </row>
    <row r="5363" spans="8:12">
      <c r="H5363"/>
      <c r="I5363"/>
      <c r="J5363"/>
      <c r="K5363"/>
      <c r="L5363"/>
    </row>
    <row r="5364" spans="8:12">
      <c r="H5364"/>
      <c r="I5364"/>
      <c r="J5364"/>
      <c r="K5364"/>
      <c r="L5364"/>
    </row>
    <row r="5365" spans="8:12">
      <c r="H5365"/>
      <c r="I5365"/>
      <c r="J5365"/>
      <c r="K5365"/>
      <c r="L5365"/>
    </row>
    <row r="5366" spans="8:12">
      <c r="H5366"/>
      <c r="I5366"/>
      <c r="J5366"/>
      <c r="K5366"/>
      <c r="L5366"/>
    </row>
    <row r="5367" spans="8:12">
      <c r="H5367"/>
      <c r="I5367"/>
      <c r="J5367"/>
      <c r="K5367"/>
      <c r="L5367"/>
    </row>
    <row r="5368" spans="8:12">
      <c r="H5368"/>
      <c r="I5368"/>
      <c r="J5368"/>
      <c r="K5368"/>
      <c r="L5368"/>
    </row>
    <row r="5369" spans="8:12">
      <c r="H5369"/>
      <c r="I5369"/>
      <c r="J5369"/>
      <c r="K5369"/>
      <c r="L5369"/>
    </row>
    <row r="5370" spans="8:12">
      <c r="H5370"/>
      <c r="I5370"/>
      <c r="J5370"/>
      <c r="K5370"/>
      <c r="L5370"/>
    </row>
    <row r="5371" spans="8:12">
      <c r="H5371"/>
      <c r="I5371"/>
      <c r="J5371"/>
      <c r="K5371"/>
      <c r="L5371"/>
    </row>
    <row r="5372" spans="8:12">
      <c r="H5372"/>
      <c r="I5372"/>
      <c r="J5372"/>
      <c r="K5372"/>
      <c r="L5372"/>
    </row>
    <row r="5373" spans="8:12">
      <c r="H5373"/>
      <c r="I5373"/>
      <c r="J5373"/>
      <c r="K5373"/>
      <c r="L5373"/>
    </row>
    <row r="5374" spans="8:12">
      <c r="H5374"/>
      <c r="I5374"/>
      <c r="J5374"/>
      <c r="K5374"/>
      <c r="L5374"/>
    </row>
    <row r="5375" spans="8:12">
      <c r="H5375"/>
      <c r="I5375"/>
      <c r="J5375"/>
      <c r="K5375"/>
      <c r="L5375"/>
    </row>
    <row r="5376" spans="8:12">
      <c r="H5376"/>
      <c r="I5376"/>
      <c r="J5376"/>
      <c r="K5376"/>
      <c r="L5376"/>
    </row>
    <row r="5377" spans="8:12">
      <c r="H5377"/>
      <c r="I5377"/>
      <c r="J5377"/>
      <c r="K5377"/>
      <c r="L5377"/>
    </row>
    <row r="5378" spans="8:12">
      <c r="H5378"/>
      <c r="I5378"/>
      <c r="J5378"/>
      <c r="K5378"/>
      <c r="L5378"/>
    </row>
    <row r="5379" spans="8:12">
      <c r="H5379"/>
      <c r="I5379"/>
      <c r="J5379"/>
      <c r="K5379"/>
      <c r="L5379"/>
    </row>
    <row r="5380" spans="8:12">
      <c r="H5380"/>
      <c r="I5380"/>
      <c r="J5380"/>
      <c r="K5380"/>
      <c r="L5380"/>
    </row>
    <row r="5381" spans="8:12">
      <c r="H5381"/>
      <c r="I5381"/>
      <c r="J5381"/>
      <c r="K5381"/>
      <c r="L5381"/>
    </row>
    <row r="5382" spans="8:12">
      <c r="H5382"/>
      <c r="I5382"/>
      <c r="J5382"/>
      <c r="K5382"/>
      <c r="L5382"/>
    </row>
    <row r="5383" spans="8:12">
      <c r="H5383"/>
      <c r="I5383"/>
      <c r="J5383"/>
      <c r="K5383"/>
      <c r="L5383"/>
    </row>
    <row r="5384" spans="8:12">
      <c r="H5384"/>
      <c r="I5384"/>
      <c r="J5384"/>
      <c r="K5384"/>
      <c r="L5384"/>
    </row>
    <row r="5385" spans="8:12">
      <c r="H5385"/>
      <c r="I5385"/>
      <c r="J5385"/>
      <c r="K5385"/>
      <c r="L5385"/>
    </row>
    <row r="5386" spans="8:12">
      <c r="H5386"/>
      <c r="I5386"/>
      <c r="J5386"/>
      <c r="K5386"/>
      <c r="L5386"/>
    </row>
    <row r="5387" spans="8:12">
      <c r="H5387"/>
      <c r="I5387"/>
      <c r="J5387"/>
      <c r="K5387"/>
      <c r="L5387"/>
    </row>
    <row r="5388" spans="8:12">
      <c r="H5388"/>
      <c r="I5388"/>
      <c r="J5388"/>
      <c r="K5388"/>
      <c r="L5388"/>
    </row>
    <row r="5389" spans="8:12">
      <c r="H5389"/>
      <c r="I5389"/>
      <c r="J5389"/>
      <c r="K5389"/>
      <c r="L5389"/>
    </row>
    <row r="5390" spans="8:12">
      <c r="H5390"/>
      <c r="I5390"/>
      <c r="J5390"/>
      <c r="K5390"/>
      <c r="L5390"/>
    </row>
    <row r="5391" spans="8:12">
      <c r="H5391"/>
      <c r="I5391"/>
      <c r="J5391"/>
      <c r="K5391"/>
      <c r="L5391"/>
    </row>
    <row r="5392" spans="8:12">
      <c r="H5392"/>
      <c r="I5392"/>
      <c r="J5392"/>
      <c r="K5392"/>
      <c r="L5392"/>
    </row>
    <row r="5393" spans="8:12">
      <c r="H5393"/>
      <c r="I5393"/>
      <c r="J5393"/>
      <c r="K5393"/>
      <c r="L5393"/>
    </row>
    <row r="5394" spans="8:12">
      <c r="H5394"/>
      <c r="I5394"/>
      <c r="J5394"/>
      <c r="K5394"/>
      <c r="L5394"/>
    </row>
    <row r="5395" spans="8:12">
      <c r="H5395"/>
      <c r="I5395"/>
      <c r="J5395"/>
      <c r="K5395"/>
      <c r="L5395"/>
    </row>
    <row r="5396" spans="8:12">
      <c r="H5396"/>
      <c r="I5396"/>
      <c r="J5396"/>
      <c r="K5396"/>
      <c r="L5396"/>
    </row>
    <row r="5397" spans="8:12">
      <c r="H5397"/>
      <c r="I5397"/>
      <c r="J5397"/>
      <c r="K5397"/>
      <c r="L5397"/>
    </row>
    <row r="5398" spans="8:12">
      <c r="H5398"/>
      <c r="I5398"/>
      <c r="J5398"/>
      <c r="K5398"/>
      <c r="L5398"/>
    </row>
    <row r="5399" spans="8:12">
      <c r="H5399"/>
      <c r="I5399"/>
      <c r="J5399"/>
      <c r="K5399"/>
      <c r="L5399"/>
    </row>
    <row r="5400" spans="8:12">
      <c r="H5400"/>
      <c r="I5400"/>
      <c r="J5400"/>
      <c r="K5400"/>
      <c r="L5400"/>
    </row>
    <row r="5401" spans="8:12">
      <c r="H5401"/>
      <c r="I5401"/>
      <c r="J5401"/>
      <c r="K5401"/>
      <c r="L5401"/>
    </row>
    <row r="5402" spans="8:12">
      <c r="H5402"/>
      <c r="I5402"/>
      <c r="J5402"/>
      <c r="K5402"/>
      <c r="L5402"/>
    </row>
    <row r="5403" spans="8:12">
      <c r="H5403"/>
      <c r="I5403"/>
      <c r="J5403"/>
      <c r="K5403"/>
      <c r="L5403"/>
    </row>
    <row r="5404" spans="8:12">
      <c r="H5404"/>
      <c r="I5404"/>
      <c r="J5404"/>
      <c r="K5404"/>
      <c r="L5404"/>
    </row>
    <row r="5405" spans="8:12">
      <c r="H5405"/>
      <c r="I5405"/>
      <c r="J5405"/>
      <c r="K5405"/>
      <c r="L5405"/>
    </row>
    <row r="5406" spans="8:12">
      <c r="H5406"/>
      <c r="I5406"/>
      <c r="J5406"/>
      <c r="K5406"/>
      <c r="L5406"/>
    </row>
    <row r="5407" spans="8:12">
      <c r="H5407"/>
      <c r="I5407"/>
      <c r="J5407"/>
      <c r="K5407"/>
      <c r="L5407"/>
    </row>
    <row r="5408" spans="8:12">
      <c r="H5408"/>
      <c r="I5408"/>
      <c r="J5408"/>
      <c r="K5408"/>
      <c r="L5408"/>
    </row>
    <row r="5409" spans="8:12">
      <c r="H5409"/>
      <c r="I5409"/>
      <c r="J5409"/>
      <c r="K5409"/>
      <c r="L5409"/>
    </row>
    <row r="5410" spans="8:12">
      <c r="H5410"/>
      <c r="I5410"/>
      <c r="J5410"/>
      <c r="K5410"/>
      <c r="L5410"/>
    </row>
    <row r="5411" spans="8:12">
      <c r="H5411"/>
      <c r="I5411"/>
      <c r="J5411"/>
      <c r="K5411"/>
      <c r="L5411"/>
    </row>
    <row r="5412" spans="8:12">
      <c r="H5412"/>
      <c r="I5412"/>
      <c r="J5412"/>
      <c r="K5412"/>
      <c r="L5412"/>
    </row>
    <row r="5413" spans="8:12">
      <c r="H5413"/>
      <c r="I5413"/>
      <c r="J5413"/>
      <c r="K5413"/>
      <c r="L5413"/>
    </row>
    <row r="5414" spans="8:12">
      <c r="H5414"/>
      <c r="I5414"/>
      <c r="J5414"/>
      <c r="K5414"/>
      <c r="L5414"/>
    </row>
    <row r="5415" spans="8:12">
      <c r="H5415"/>
      <c r="I5415"/>
      <c r="J5415"/>
      <c r="K5415"/>
      <c r="L5415"/>
    </row>
    <row r="5416" spans="8:12">
      <c r="H5416"/>
      <c r="I5416"/>
      <c r="J5416"/>
      <c r="K5416"/>
      <c r="L5416"/>
    </row>
    <row r="5417" spans="8:12">
      <c r="H5417"/>
      <c r="I5417"/>
      <c r="J5417"/>
      <c r="K5417"/>
      <c r="L5417"/>
    </row>
    <row r="5418" spans="8:12">
      <c r="H5418"/>
      <c r="I5418"/>
      <c r="J5418"/>
      <c r="K5418"/>
      <c r="L5418"/>
    </row>
    <row r="5419" spans="8:12">
      <c r="H5419"/>
      <c r="I5419"/>
      <c r="J5419"/>
      <c r="K5419"/>
      <c r="L5419"/>
    </row>
    <row r="5420" spans="8:12">
      <c r="H5420"/>
      <c r="I5420"/>
      <c r="J5420"/>
      <c r="K5420"/>
      <c r="L5420"/>
    </row>
    <row r="5421" spans="8:12">
      <c r="H5421"/>
      <c r="I5421"/>
      <c r="J5421"/>
      <c r="K5421"/>
      <c r="L5421"/>
    </row>
    <row r="5422" spans="8:12">
      <c r="H5422"/>
      <c r="I5422"/>
      <c r="J5422"/>
      <c r="K5422"/>
      <c r="L5422"/>
    </row>
    <row r="5423" spans="8:12">
      <c r="H5423"/>
      <c r="I5423"/>
      <c r="J5423"/>
      <c r="K5423"/>
      <c r="L5423"/>
    </row>
    <row r="5424" spans="8:12">
      <c r="H5424"/>
      <c r="I5424"/>
      <c r="J5424"/>
      <c r="K5424"/>
      <c r="L5424"/>
    </row>
    <row r="5425" spans="8:12">
      <c r="H5425"/>
      <c r="I5425"/>
      <c r="J5425"/>
      <c r="K5425"/>
      <c r="L5425"/>
    </row>
    <row r="5426" spans="8:12">
      <c r="H5426"/>
      <c r="I5426"/>
      <c r="J5426"/>
      <c r="K5426"/>
      <c r="L5426"/>
    </row>
    <row r="5427" spans="8:12">
      <c r="H5427"/>
      <c r="I5427"/>
      <c r="J5427"/>
      <c r="K5427"/>
      <c r="L5427"/>
    </row>
    <row r="5428" spans="8:12">
      <c r="H5428"/>
      <c r="I5428"/>
      <c r="J5428"/>
      <c r="K5428"/>
      <c r="L5428"/>
    </row>
    <row r="5429" spans="8:12">
      <c r="H5429"/>
      <c r="I5429"/>
      <c r="J5429"/>
      <c r="K5429"/>
      <c r="L5429"/>
    </row>
    <row r="5430" spans="8:12">
      <c r="H5430"/>
      <c r="I5430"/>
      <c r="J5430"/>
      <c r="K5430"/>
      <c r="L5430"/>
    </row>
    <row r="5431" spans="8:12">
      <c r="H5431"/>
      <c r="I5431"/>
      <c r="J5431"/>
      <c r="K5431"/>
      <c r="L5431"/>
    </row>
    <row r="5432" spans="8:12">
      <c r="H5432"/>
      <c r="I5432"/>
      <c r="J5432"/>
      <c r="K5432"/>
      <c r="L5432"/>
    </row>
    <row r="5433" spans="8:12">
      <c r="H5433"/>
      <c r="I5433"/>
      <c r="J5433"/>
      <c r="K5433"/>
      <c r="L5433"/>
    </row>
    <row r="5434" spans="8:12">
      <c r="H5434"/>
      <c r="I5434"/>
      <c r="J5434"/>
      <c r="K5434"/>
      <c r="L5434"/>
    </row>
    <row r="5435" spans="8:12">
      <c r="H5435"/>
      <c r="I5435"/>
      <c r="J5435"/>
      <c r="K5435"/>
      <c r="L5435"/>
    </row>
    <row r="5436" spans="8:12">
      <c r="H5436"/>
      <c r="I5436"/>
      <c r="J5436"/>
      <c r="K5436"/>
      <c r="L5436"/>
    </row>
    <row r="5437" spans="8:12">
      <c r="H5437"/>
      <c r="I5437"/>
      <c r="J5437"/>
      <c r="K5437"/>
      <c r="L5437"/>
    </row>
    <row r="5438" spans="8:12">
      <c r="H5438"/>
      <c r="I5438"/>
      <c r="J5438"/>
      <c r="K5438"/>
      <c r="L5438"/>
    </row>
    <row r="5439" spans="8:12">
      <c r="H5439"/>
      <c r="I5439"/>
      <c r="J5439"/>
      <c r="K5439"/>
      <c r="L5439"/>
    </row>
    <row r="5440" spans="8:12">
      <c r="H5440"/>
      <c r="I5440"/>
      <c r="J5440"/>
      <c r="K5440"/>
      <c r="L5440"/>
    </row>
    <row r="5441" spans="8:12">
      <c r="H5441"/>
      <c r="I5441"/>
      <c r="J5441"/>
      <c r="K5441"/>
      <c r="L5441"/>
    </row>
    <row r="5442" spans="8:12">
      <c r="H5442"/>
      <c r="I5442"/>
      <c r="J5442"/>
      <c r="K5442"/>
      <c r="L5442"/>
    </row>
    <row r="5443" spans="8:12">
      <c r="H5443"/>
      <c r="I5443"/>
      <c r="J5443"/>
      <c r="K5443"/>
      <c r="L5443"/>
    </row>
    <row r="5444" spans="8:12">
      <c r="H5444"/>
      <c r="I5444"/>
      <c r="J5444"/>
      <c r="K5444"/>
      <c r="L5444"/>
    </row>
    <row r="5445" spans="8:12">
      <c r="H5445"/>
      <c r="I5445"/>
      <c r="J5445"/>
      <c r="K5445"/>
      <c r="L5445"/>
    </row>
    <row r="5446" spans="8:12">
      <c r="H5446"/>
      <c r="I5446"/>
      <c r="J5446"/>
      <c r="K5446"/>
      <c r="L5446"/>
    </row>
    <row r="5447" spans="8:12">
      <c r="H5447"/>
      <c r="I5447"/>
      <c r="J5447"/>
      <c r="K5447"/>
      <c r="L5447"/>
    </row>
    <row r="5448" spans="8:12">
      <c r="H5448"/>
      <c r="I5448"/>
      <c r="J5448"/>
      <c r="K5448"/>
      <c r="L5448"/>
    </row>
    <row r="5449" spans="8:12">
      <c r="H5449"/>
      <c r="I5449"/>
      <c r="J5449"/>
      <c r="K5449"/>
      <c r="L5449"/>
    </row>
    <row r="5450" spans="8:12">
      <c r="H5450"/>
      <c r="I5450"/>
      <c r="J5450"/>
      <c r="K5450"/>
      <c r="L5450"/>
    </row>
    <row r="5451" spans="8:12">
      <c r="H5451"/>
      <c r="I5451"/>
      <c r="J5451"/>
      <c r="K5451"/>
      <c r="L5451"/>
    </row>
    <row r="5452" spans="8:12">
      <c r="H5452"/>
      <c r="I5452"/>
      <c r="J5452"/>
      <c r="K5452"/>
      <c r="L5452"/>
    </row>
    <row r="5453" spans="8:12">
      <c r="H5453"/>
      <c r="I5453"/>
      <c r="J5453"/>
      <c r="K5453"/>
      <c r="L5453"/>
    </row>
    <row r="5454" spans="8:12">
      <c r="H5454"/>
      <c r="I5454"/>
      <c r="J5454"/>
      <c r="K5454"/>
      <c r="L5454"/>
    </row>
    <row r="5455" spans="8:12">
      <c r="H5455"/>
      <c r="I5455"/>
      <c r="J5455"/>
      <c r="K5455"/>
      <c r="L5455"/>
    </row>
    <row r="5456" spans="8:12">
      <c r="H5456"/>
      <c r="I5456"/>
      <c r="J5456"/>
      <c r="K5456"/>
      <c r="L5456"/>
    </row>
    <row r="5457" spans="8:12">
      <c r="H5457"/>
      <c r="I5457"/>
      <c r="J5457"/>
      <c r="K5457"/>
      <c r="L5457"/>
    </row>
    <row r="5458" spans="8:12">
      <c r="H5458"/>
      <c r="I5458"/>
      <c r="J5458"/>
      <c r="K5458"/>
      <c r="L5458"/>
    </row>
    <row r="5459" spans="8:12">
      <c r="H5459"/>
      <c r="I5459"/>
      <c r="J5459"/>
      <c r="K5459"/>
      <c r="L5459"/>
    </row>
    <row r="5460" spans="8:12">
      <c r="H5460"/>
      <c r="I5460"/>
      <c r="J5460"/>
      <c r="K5460"/>
      <c r="L5460"/>
    </row>
    <row r="5461" spans="8:12">
      <c r="H5461"/>
      <c r="I5461"/>
      <c r="J5461"/>
      <c r="K5461"/>
      <c r="L5461"/>
    </row>
    <row r="5462" spans="8:12">
      <c r="H5462"/>
      <c r="I5462"/>
      <c r="J5462"/>
      <c r="K5462"/>
      <c r="L5462"/>
    </row>
    <row r="5463" spans="8:12">
      <c r="H5463"/>
      <c r="I5463"/>
      <c r="J5463"/>
      <c r="K5463"/>
      <c r="L5463"/>
    </row>
    <row r="5464" spans="8:12">
      <c r="H5464"/>
      <c r="I5464"/>
      <c r="J5464"/>
      <c r="K5464"/>
      <c r="L5464"/>
    </row>
    <row r="5465" spans="8:12">
      <c r="H5465"/>
      <c r="I5465"/>
      <c r="J5465"/>
      <c r="K5465"/>
      <c r="L5465"/>
    </row>
    <row r="5466" spans="8:12">
      <c r="H5466"/>
      <c r="I5466"/>
      <c r="J5466"/>
      <c r="K5466"/>
      <c r="L5466"/>
    </row>
    <row r="5467" spans="8:12">
      <c r="H5467"/>
      <c r="I5467"/>
      <c r="J5467"/>
      <c r="K5467"/>
      <c r="L5467"/>
    </row>
    <row r="5468" spans="8:12">
      <c r="H5468"/>
      <c r="I5468"/>
      <c r="J5468"/>
      <c r="K5468"/>
      <c r="L5468"/>
    </row>
    <row r="5469" spans="8:12">
      <c r="H5469"/>
      <c r="I5469"/>
      <c r="J5469"/>
      <c r="K5469"/>
      <c r="L5469"/>
    </row>
    <row r="5470" spans="8:12">
      <c r="H5470"/>
      <c r="I5470"/>
      <c r="J5470"/>
      <c r="K5470"/>
      <c r="L5470"/>
    </row>
    <row r="5471" spans="8:12">
      <c r="H5471"/>
      <c r="I5471"/>
      <c r="J5471"/>
      <c r="K5471"/>
      <c r="L5471"/>
    </row>
    <row r="5472" spans="8:12">
      <c r="H5472"/>
      <c r="I5472"/>
      <c r="J5472"/>
      <c r="K5472"/>
      <c r="L5472"/>
    </row>
    <row r="5473" spans="8:12">
      <c r="H5473"/>
      <c r="I5473"/>
      <c r="J5473"/>
      <c r="K5473"/>
      <c r="L5473"/>
    </row>
    <row r="5474" spans="8:12">
      <c r="H5474"/>
      <c r="I5474"/>
      <c r="J5474"/>
      <c r="K5474"/>
      <c r="L5474"/>
    </row>
    <row r="5475" spans="8:12">
      <c r="H5475"/>
      <c r="I5475"/>
      <c r="J5475"/>
      <c r="K5475"/>
      <c r="L5475"/>
    </row>
    <row r="5476" spans="8:12">
      <c r="H5476"/>
      <c r="I5476"/>
      <c r="J5476"/>
      <c r="K5476"/>
      <c r="L5476"/>
    </row>
    <row r="5477" spans="8:12">
      <c r="H5477"/>
      <c r="I5477"/>
      <c r="J5477"/>
      <c r="K5477"/>
      <c r="L5477"/>
    </row>
    <row r="5478" spans="8:12">
      <c r="H5478"/>
      <c r="I5478"/>
      <c r="J5478"/>
      <c r="K5478"/>
      <c r="L5478"/>
    </row>
    <row r="5479" spans="8:12">
      <c r="H5479"/>
      <c r="I5479"/>
      <c r="J5479"/>
      <c r="K5479"/>
      <c r="L5479"/>
    </row>
    <row r="5480" spans="8:12">
      <c r="H5480"/>
      <c r="I5480"/>
      <c r="J5480"/>
      <c r="K5480"/>
      <c r="L5480"/>
    </row>
    <row r="5481" spans="8:12">
      <c r="H5481"/>
      <c r="I5481"/>
      <c r="J5481"/>
      <c r="K5481"/>
      <c r="L5481"/>
    </row>
    <row r="5482" spans="8:12">
      <c r="H5482"/>
      <c r="I5482"/>
      <c r="J5482"/>
      <c r="K5482"/>
      <c r="L5482"/>
    </row>
    <row r="5483" spans="8:12">
      <c r="H5483"/>
      <c r="I5483"/>
      <c r="J5483"/>
      <c r="K5483"/>
      <c r="L5483"/>
    </row>
    <row r="5484" spans="8:12">
      <c r="H5484"/>
      <c r="I5484"/>
      <c r="J5484"/>
      <c r="K5484"/>
      <c r="L5484"/>
    </row>
    <row r="5485" spans="8:12">
      <c r="H5485"/>
      <c r="I5485"/>
      <c r="J5485"/>
      <c r="K5485"/>
      <c r="L5485"/>
    </row>
    <row r="5486" spans="8:12">
      <c r="H5486"/>
      <c r="I5486"/>
      <c r="J5486"/>
      <c r="K5486"/>
      <c r="L5486"/>
    </row>
    <row r="5487" spans="8:12">
      <c r="H5487"/>
      <c r="I5487"/>
      <c r="J5487"/>
      <c r="K5487"/>
      <c r="L5487"/>
    </row>
    <row r="5488" spans="8:12">
      <c r="H5488"/>
      <c r="I5488"/>
      <c r="J5488"/>
      <c r="K5488"/>
      <c r="L5488"/>
    </row>
    <row r="5489" spans="8:12">
      <c r="H5489"/>
      <c r="I5489"/>
      <c r="J5489"/>
      <c r="K5489"/>
      <c r="L5489"/>
    </row>
    <row r="5490" spans="8:12">
      <c r="H5490"/>
      <c r="I5490"/>
      <c r="J5490"/>
      <c r="K5490"/>
      <c r="L5490"/>
    </row>
    <row r="5491" spans="8:12">
      <c r="H5491"/>
      <c r="I5491"/>
      <c r="J5491"/>
      <c r="K5491"/>
      <c r="L5491"/>
    </row>
    <row r="5492" spans="8:12">
      <c r="H5492"/>
      <c r="I5492"/>
      <c r="J5492"/>
      <c r="K5492"/>
      <c r="L5492"/>
    </row>
    <row r="5493" spans="8:12">
      <c r="H5493"/>
      <c r="I5493"/>
      <c r="J5493"/>
      <c r="K5493"/>
      <c r="L5493"/>
    </row>
    <row r="5494" spans="8:12">
      <c r="H5494"/>
      <c r="I5494"/>
      <c r="J5494"/>
      <c r="K5494"/>
      <c r="L5494"/>
    </row>
    <row r="5495" spans="8:12">
      <c r="H5495"/>
      <c r="I5495"/>
      <c r="J5495"/>
      <c r="K5495"/>
      <c r="L5495"/>
    </row>
    <row r="5496" spans="8:12">
      <c r="H5496"/>
      <c r="I5496"/>
      <c r="J5496"/>
      <c r="K5496"/>
      <c r="L5496"/>
    </row>
    <row r="5497" spans="8:12">
      <c r="H5497"/>
      <c r="I5497"/>
      <c r="J5497"/>
      <c r="K5497"/>
      <c r="L5497"/>
    </row>
    <row r="5498" spans="8:12">
      <c r="H5498"/>
      <c r="I5498"/>
      <c r="J5498"/>
      <c r="K5498"/>
      <c r="L5498"/>
    </row>
    <row r="5499" spans="8:12">
      <c r="H5499"/>
      <c r="I5499"/>
      <c r="J5499"/>
      <c r="K5499"/>
      <c r="L5499"/>
    </row>
    <row r="5500" spans="8:12">
      <c r="H5500"/>
      <c r="I5500"/>
      <c r="J5500"/>
      <c r="K5500"/>
      <c r="L5500"/>
    </row>
    <row r="5501" spans="8:12">
      <c r="H5501"/>
      <c r="I5501"/>
      <c r="J5501"/>
      <c r="K5501"/>
      <c r="L5501"/>
    </row>
    <row r="5502" spans="8:12">
      <c r="H5502"/>
      <c r="I5502"/>
      <c r="J5502"/>
      <c r="K5502"/>
      <c r="L5502"/>
    </row>
    <row r="5503" spans="8:12">
      <c r="H5503"/>
      <c r="I5503"/>
      <c r="J5503"/>
      <c r="K5503"/>
      <c r="L5503"/>
    </row>
    <row r="5504" spans="8:12">
      <c r="H5504"/>
      <c r="I5504"/>
      <c r="J5504"/>
      <c r="K5504"/>
      <c r="L5504"/>
    </row>
    <row r="5505" spans="8:12">
      <c r="H5505"/>
      <c r="I5505"/>
      <c r="J5505"/>
      <c r="K5505"/>
      <c r="L5505"/>
    </row>
    <row r="5506" spans="8:12">
      <c r="H5506"/>
      <c r="I5506"/>
      <c r="J5506"/>
      <c r="K5506"/>
      <c r="L5506"/>
    </row>
    <row r="5507" spans="8:12">
      <c r="H5507"/>
      <c r="I5507"/>
      <c r="J5507"/>
      <c r="K5507"/>
      <c r="L5507"/>
    </row>
    <row r="5508" spans="8:12">
      <c r="H5508"/>
      <c r="I5508"/>
      <c r="J5508"/>
      <c r="K5508"/>
      <c r="L5508"/>
    </row>
    <row r="5509" spans="8:12">
      <c r="H5509"/>
      <c r="I5509"/>
      <c r="J5509"/>
      <c r="K5509"/>
      <c r="L5509"/>
    </row>
    <row r="5510" spans="8:12">
      <c r="H5510"/>
      <c r="I5510"/>
      <c r="J5510"/>
      <c r="K5510"/>
      <c r="L5510"/>
    </row>
    <row r="5511" spans="8:12">
      <c r="H5511"/>
      <c r="I5511"/>
      <c r="J5511"/>
      <c r="K5511"/>
      <c r="L5511"/>
    </row>
    <row r="5512" spans="8:12">
      <c r="H5512"/>
      <c r="I5512"/>
      <c r="J5512"/>
      <c r="K5512"/>
      <c r="L5512"/>
    </row>
    <row r="5513" spans="8:12">
      <c r="H5513"/>
      <c r="I5513"/>
      <c r="J5513"/>
      <c r="K5513"/>
      <c r="L5513"/>
    </row>
    <row r="5514" spans="8:12">
      <c r="H5514"/>
      <c r="I5514"/>
      <c r="J5514"/>
      <c r="K5514"/>
      <c r="L5514"/>
    </row>
    <row r="5515" spans="8:12">
      <c r="H5515"/>
      <c r="I5515"/>
      <c r="J5515"/>
      <c r="K5515"/>
      <c r="L5515"/>
    </row>
    <row r="5516" spans="8:12">
      <c r="H5516"/>
      <c r="I5516"/>
      <c r="J5516"/>
      <c r="K5516"/>
      <c r="L5516"/>
    </row>
    <row r="5517" spans="8:12">
      <c r="H5517"/>
      <c r="I5517"/>
      <c r="J5517"/>
      <c r="K5517"/>
      <c r="L5517"/>
    </row>
    <row r="5518" spans="8:12">
      <c r="H5518"/>
      <c r="I5518"/>
      <c r="J5518"/>
      <c r="K5518"/>
      <c r="L5518"/>
    </row>
    <row r="5519" spans="8:12">
      <c r="H5519"/>
      <c r="I5519"/>
      <c r="J5519"/>
      <c r="K5519"/>
      <c r="L5519"/>
    </row>
    <row r="5520" spans="8:12">
      <c r="H5520"/>
      <c r="I5520"/>
      <c r="J5520"/>
      <c r="K5520"/>
      <c r="L5520"/>
    </row>
    <row r="5521" spans="8:12">
      <c r="H5521"/>
      <c r="I5521"/>
      <c r="J5521"/>
      <c r="K5521"/>
      <c r="L5521"/>
    </row>
    <row r="5522" spans="8:12">
      <c r="H5522"/>
      <c r="I5522"/>
      <c r="J5522"/>
      <c r="K5522"/>
      <c r="L5522"/>
    </row>
    <row r="5523" spans="8:12">
      <c r="H5523"/>
      <c r="I5523"/>
      <c r="J5523"/>
      <c r="K5523"/>
      <c r="L5523"/>
    </row>
    <row r="5524" spans="8:12">
      <c r="H5524"/>
      <c r="I5524"/>
      <c r="J5524"/>
      <c r="K5524"/>
      <c r="L5524"/>
    </row>
    <row r="5525" spans="8:12">
      <c r="H5525"/>
      <c r="I5525"/>
      <c r="J5525"/>
      <c r="K5525"/>
      <c r="L5525"/>
    </row>
    <row r="5526" spans="8:12">
      <c r="H5526"/>
      <c r="I5526"/>
      <c r="J5526"/>
      <c r="K5526"/>
      <c r="L5526"/>
    </row>
    <row r="5527" spans="8:12">
      <c r="H5527"/>
      <c r="I5527"/>
      <c r="J5527"/>
      <c r="K5527"/>
      <c r="L5527"/>
    </row>
    <row r="5528" spans="8:12">
      <c r="H5528"/>
      <c r="I5528"/>
      <c r="J5528"/>
      <c r="K5528"/>
      <c r="L5528"/>
    </row>
    <row r="5529" spans="8:12">
      <c r="H5529"/>
      <c r="I5529"/>
      <c r="J5529"/>
      <c r="K5529"/>
      <c r="L5529"/>
    </row>
    <row r="5530" spans="8:12">
      <c r="H5530"/>
      <c r="I5530"/>
      <c r="J5530"/>
      <c r="K5530"/>
      <c r="L5530"/>
    </row>
    <row r="5531" spans="8:12">
      <c r="H5531"/>
      <c r="I5531"/>
      <c r="J5531"/>
      <c r="K5531"/>
      <c r="L5531"/>
    </row>
    <row r="5532" spans="8:12">
      <c r="H5532"/>
      <c r="I5532"/>
      <c r="J5532"/>
      <c r="K5532"/>
      <c r="L5532"/>
    </row>
    <row r="5533" spans="8:12">
      <c r="H5533"/>
      <c r="I5533"/>
      <c r="J5533"/>
      <c r="K5533"/>
      <c r="L5533"/>
    </row>
    <row r="5534" spans="8:12">
      <c r="H5534"/>
      <c r="I5534"/>
      <c r="J5534"/>
      <c r="K5534"/>
      <c r="L5534"/>
    </row>
    <row r="5535" spans="8:12">
      <c r="H5535"/>
      <c r="I5535"/>
      <c r="J5535"/>
      <c r="K5535"/>
      <c r="L5535"/>
    </row>
    <row r="5536" spans="8:12">
      <c r="H5536"/>
      <c r="I5536"/>
      <c r="J5536"/>
      <c r="K5536"/>
      <c r="L5536"/>
    </row>
    <row r="5537" spans="8:12">
      <c r="H5537"/>
      <c r="I5537"/>
      <c r="J5537"/>
      <c r="K5537"/>
      <c r="L5537"/>
    </row>
    <row r="5538" spans="8:12">
      <c r="H5538"/>
      <c r="I5538"/>
      <c r="J5538"/>
      <c r="K5538"/>
      <c r="L5538"/>
    </row>
    <row r="5539" spans="8:12">
      <c r="H5539"/>
      <c r="I5539"/>
      <c r="J5539"/>
      <c r="K5539"/>
      <c r="L5539"/>
    </row>
    <row r="5540" spans="8:12">
      <c r="H5540"/>
      <c r="I5540"/>
      <c r="J5540"/>
      <c r="K5540"/>
      <c r="L5540"/>
    </row>
    <row r="5541" spans="8:12">
      <c r="H5541"/>
      <c r="I5541"/>
      <c r="J5541"/>
      <c r="K5541"/>
      <c r="L5541"/>
    </row>
    <row r="5542" spans="8:12">
      <c r="H5542"/>
      <c r="I5542"/>
      <c r="J5542"/>
      <c r="K5542"/>
      <c r="L5542"/>
    </row>
    <row r="5543" spans="8:12">
      <c r="H5543"/>
      <c r="I5543"/>
      <c r="J5543"/>
      <c r="K5543"/>
      <c r="L5543"/>
    </row>
    <row r="5544" spans="8:12">
      <c r="H5544"/>
      <c r="I5544"/>
      <c r="J5544"/>
      <c r="K5544"/>
      <c r="L5544"/>
    </row>
    <row r="5545" spans="8:12">
      <c r="H5545"/>
      <c r="I5545"/>
      <c r="J5545"/>
      <c r="K5545"/>
      <c r="L5545"/>
    </row>
    <row r="5546" spans="8:12">
      <c r="H5546"/>
      <c r="I5546"/>
      <c r="J5546"/>
      <c r="K5546"/>
      <c r="L5546"/>
    </row>
    <row r="5547" spans="8:12">
      <c r="H5547"/>
      <c r="I5547"/>
      <c r="J5547"/>
      <c r="K5547"/>
      <c r="L5547"/>
    </row>
    <row r="5548" spans="8:12">
      <c r="H5548"/>
      <c r="I5548"/>
      <c r="J5548"/>
      <c r="K5548"/>
      <c r="L5548"/>
    </row>
    <row r="5549" spans="8:12">
      <c r="H5549"/>
      <c r="I5549"/>
      <c r="J5549"/>
      <c r="K5549"/>
      <c r="L5549"/>
    </row>
    <row r="5550" spans="8:12">
      <c r="H5550"/>
      <c r="I5550"/>
      <c r="J5550"/>
      <c r="K5550"/>
      <c r="L5550"/>
    </row>
    <row r="5551" spans="8:12">
      <c r="H5551"/>
      <c r="I5551"/>
      <c r="J5551"/>
      <c r="K5551"/>
      <c r="L5551"/>
    </row>
    <row r="5552" spans="8:12">
      <c r="H5552"/>
      <c r="I5552"/>
      <c r="J5552"/>
      <c r="K5552"/>
      <c r="L5552"/>
    </row>
    <row r="5553" spans="8:12">
      <c r="H5553"/>
      <c r="I5553"/>
      <c r="J5553"/>
      <c r="K5553"/>
      <c r="L5553"/>
    </row>
    <row r="5554" spans="8:12">
      <c r="H5554"/>
      <c r="I5554"/>
      <c r="J5554"/>
      <c r="K5554"/>
      <c r="L5554"/>
    </row>
    <row r="5555" spans="8:12">
      <c r="H5555"/>
      <c r="I5555"/>
      <c r="J5555"/>
      <c r="K5555"/>
      <c r="L5555"/>
    </row>
    <row r="5556" spans="8:12">
      <c r="H5556"/>
      <c r="I5556"/>
      <c r="J5556"/>
      <c r="K5556"/>
      <c r="L5556"/>
    </row>
    <row r="5557" spans="8:12">
      <c r="H5557"/>
      <c r="I5557"/>
      <c r="J5557"/>
      <c r="K5557"/>
      <c r="L5557"/>
    </row>
    <row r="5558" spans="8:12">
      <c r="H5558"/>
      <c r="I5558"/>
      <c r="J5558"/>
      <c r="K5558"/>
      <c r="L5558"/>
    </row>
    <row r="5559" spans="8:12">
      <c r="H5559"/>
      <c r="I5559"/>
      <c r="J5559"/>
      <c r="K5559"/>
      <c r="L5559"/>
    </row>
    <row r="5560" spans="8:12">
      <c r="H5560"/>
      <c r="I5560"/>
      <c r="J5560"/>
      <c r="K5560"/>
      <c r="L5560"/>
    </row>
    <row r="5561" spans="8:12">
      <c r="H5561"/>
      <c r="I5561"/>
      <c r="J5561"/>
      <c r="K5561"/>
      <c r="L5561"/>
    </row>
    <row r="5562" spans="8:12">
      <c r="H5562"/>
      <c r="I5562"/>
      <c r="J5562"/>
      <c r="K5562"/>
      <c r="L5562"/>
    </row>
    <row r="5563" spans="8:12">
      <c r="H5563"/>
      <c r="I5563"/>
      <c r="J5563"/>
      <c r="K5563"/>
      <c r="L5563"/>
    </row>
    <row r="5564" spans="8:12">
      <c r="H5564"/>
      <c r="I5564"/>
      <c r="J5564"/>
      <c r="K5564"/>
      <c r="L5564"/>
    </row>
    <row r="5565" spans="8:12">
      <c r="H5565"/>
      <c r="I5565"/>
      <c r="J5565"/>
      <c r="K5565"/>
      <c r="L5565"/>
    </row>
    <row r="5566" spans="8:12">
      <c r="H5566"/>
      <c r="I5566"/>
      <c r="J5566"/>
      <c r="K5566"/>
      <c r="L5566"/>
    </row>
    <row r="5567" spans="8:12">
      <c r="H5567"/>
      <c r="I5567"/>
      <c r="J5567"/>
      <c r="K5567"/>
      <c r="L5567"/>
    </row>
    <row r="5568" spans="8:12">
      <c r="H5568"/>
      <c r="I5568"/>
      <c r="J5568"/>
      <c r="K5568"/>
      <c r="L5568"/>
    </row>
    <row r="5569" spans="8:12">
      <c r="H5569"/>
      <c r="I5569"/>
      <c r="J5569"/>
      <c r="K5569"/>
      <c r="L5569"/>
    </row>
    <row r="5570" spans="8:12">
      <c r="H5570"/>
      <c r="I5570"/>
      <c r="J5570"/>
      <c r="K5570"/>
      <c r="L5570"/>
    </row>
    <row r="5571" spans="8:12">
      <c r="H5571"/>
      <c r="I5571"/>
      <c r="J5571"/>
      <c r="K5571"/>
      <c r="L5571"/>
    </row>
    <row r="5572" spans="8:12">
      <c r="H5572"/>
      <c r="I5572"/>
      <c r="J5572"/>
      <c r="K5572"/>
      <c r="L5572"/>
    </row>
    <row r="5573" spans="8:12">
      <c r="H5573"/>
      <c r="I5573"/>
      <c r="J5573"/>
      <c r="K5573"/>
      <c r="L5573"/>
    </row>
    <row r="5574" spans="8:12">
      <c r="H5574"/>
      <c r="I5574"/>
      <c r="J5574"/>
      <c r="K5574"/>
      <c r="L5574"/>
    </row>
    <row r="5575" spans="8:12">
      <c r="H5575"/>
      <c r="I5575"/>
      <c r="J5575"/>
      <c r="K5575"/>
      <c r="L5575"/>
    </row>
    <row r="5576" spans="8:12">
      <c r="H5576"/>
      <c r="I5576"/>
      <c r="J5576"/>
      <c r="K5576"/>
      <c r="L5576"/>
    </row>
    <row r="5577" spans="8:12">
      <c r="H5577"/>
      <c r="I5577"/>
      <c r="J5577"/>
      <c r="K5577"/>
      <c r="L5577"/>
    </row>
    <row r="5578" spans="8:12">
      <c r="H5578"/>
      <c r="I5578"/>
      <c r="J5578"/>
      <c r="K5578"/>
      <c r="L5578"/>
    </row>
    <row r="5579" spans="8:12">
      <c r="H5579"/>
      <c r="I5579"/>
      <c r="J5579"/>
      <c r="K5579"/>
      <c r="L5579"/>
    </row>
    <row r="5580" spans="8:12">
      <c r="H5580"/>
      <c r="I5580"/>
      <c r="J5580"/>
      <c r="K5580"/>
      <c r="L5580"/>
    </row>
    <row r="5581" spans="8:12">
      <c r="H5581"/>
      <c r="I5581"/>
      <c r="J5581"/>
      <c r="K5581"/>
      <c r="L5581"/>
    </row>
    <row r="5582" spans="8:12">
      <c r="H5582"/>
      <c r="I5582"/>
      <c r="J5582"/>
      <c r="K5582"/>
      <c r="L5582"/>
    </row>
    <row r="5583" spans="8:12">
      <c r="H5583"/>
      <c r="I5583"/>
      <c r="J5583"/>
      <c r="K5583"/>
      <c r="L5583"/>
    </row>
    <row r="5584" spans="8:12">
      <c r="H5584"/>
      <c r="I5584"/>
      <c r="J5584"/>
      <c r="K5584"/>
      <c r="L5584"/>
    </row>
    <row r="5585" spans="8:12">
      <c r="H5585"/>
      <c r="I5585"/>
      <c r="J5585"/>
      <c r="K5585"/>
      <c r="L5585"/>
    </row>
    <row r="5586" spans="8:12">
      <c r="H5586"/>
      <c r="I5586"/>
      <c r="J5586"/>
      <c r="K5586"/>
      <c r="L5586"/>
    </row>
    <row r="5587" spans="8:12">
      <c r="H5587"/>
      <c r="I5587"/>
      <c r="J5587"/>
      <c r="K5587"/>
      <c r="L5587"/>
    </row>
    <row r="5588" spans="8:12">
      <c r="H5588"/>
      <c r="I5588"/>
      <c r="J5588"/>
      <c r="K5588"/>
      <c r="L5588"/>
    </row>
    <row r="5589" spans="8:12">
      <c r="H5589"/>
      <c r="I5589"/>
      <c r="J5589"/>
      <c r="K5589"/>
      <c r="L5589"/>
    </row>
    <row r="5590" spans="8:12">
      <c r="H5590"/>
      <c r="I5590"/>
      <c r="J5590"/>
      <c r="K5590"/>
      <c r="L5590"/>
    </row>
    <row r="5591" spans="8:12">
      <c r="H5591"/>
      <c r="I5591"/>
      <c r="J5591"/>
      <c r="K5591"/>
      <c r="L5591"/>
    </row>
    <row r="5592" spans="8:12">
      <c r="H5592"/>
      <c r="I5592"/>
      <c r="J5592"/>
      <c r="K5592"/>
      <c r="L5592"/>
    </row>
    <row r="5593" spans="8:12">
      <c r="H5593"/>
      <c r="I5593"/>
      <c r="J5593"/>
      <c r="K5593"/>
      <c r="L5593"/>
    </row>
    <row r="5594" spans="8:12">
      <c r="H5594"/>
      <c r="I5594"/>
      <c r="J5594"/>
      <c r="K5594"/>
      <c r="L5594"/>
    </row>
    <row r="5595" spans="8:12">
      <c r="H5595"/>
      <c r="I5595"/>
      <c r="J5595"/>
      <c r="K5595"/>
      <c r="L5595"/>
    </row>
    <row r="5596" spans="8:12">
      <c r="H5596"/>
      <c r="I5596"/>
      <c r="J5596"/>
      <c r="K5596"/>
      <c r="L5596"/>
    </row>
    <row r="5597" spans="8:12">
      <c r="H5597"/>
      <c r="I5597"/>
      <c r="J5597"/>
      <c r="K5597"/>
      <c r="L5597"/>
    </row>
    <row r="5598" spans="8:12">
      <c r="H5598"/>
      <c r="I5598"/>
      <c r="J5598"/>
      <c r="K5598"/>
      <c r="L5598"/>
    </row>
    <row r="5599" spans="8:12">
      <c r="H5599"/>
      <c r="I5599"/>
      <c r="J5599"/>
      <c r="K5599"/>
      <c r="L5599"/>
    </row>
    <row r="5600" spans="8:12">
      <c r="H5600"/>
      <c r="I5600"/>
      <c r="J5600"/>
      <c r="K5600"/>
      <c r="L5600"/>
    </row>
    <row r="5601" spans="8:12">
      <c r="H5601"/>
      <c r="I5601"/>
      <c r="J5601"/>
      <c r="K5601"/>
      <c r="L5601"/>
    </row>
    <row r="5602" spans="8:12">
      <c r="H5602"/>
      <c r="I5602"/>
      <c r="J5602"/>
      <c r="K5602"/>
      <c r="L5602"/>
    </row>
    <row r="5603" spans="8:12">
      <c r="H5603"/>
      <c r="I5603"/>
      <c r="J5603"/>
      <c r="K5603"/>
      <c r="L5603"/>
    </row>
    <row r="5604" spans="8:12">
      <c r="H5604"/>
      <c r="I5604"/>
      <c r="J5604"/>
      <c r="K5604"/>
      <c r="L5604"/>
    </row>
    <row r="5605" spans="8:12">
      <c r="H5605"/>
      <c r="I5605"/>
      <c r="J5605"/>
      <c r="K5605"/>
      <c r="L5605"/>
    </row>
    <row r="5606" spans="8:12">
      <c r="H5606"/>
      <c r="I5606"/>
      <c r="J5606"/>
      <c r="K5606"/>
      <c r="L5606"/>
    </row>
    <row r="5607" spans="8:12">
      <c r="H5607"/>
      <c r="I5607"/>
      <c r="J5607"/>
      <c r="K5607"/>
      <c r="L5607"/>
    </row>
    <row r="5608" spans="8:12">
      <c r="H5608"/>
      <c r="I5608"/>
      <c r="J5608"/>
      <c r="K5608"/>
      <c r="L5608"/>
    </row>
    <row r="5609" spans="8:12">
      <c r="H5609"/>
      <c r="I5609"/>
      <c r="J5609"/>
      <c r="K5609"/>
      <c r="L5609"/>
    </row>
    <row r="5610" spans="8:12">
      <c r="H5610"/>
      <c r="I5610"/>
      <c r="J5610"/>
      <c r="K5610"/>
      <c r="L5610"/>
    </row>
    <row r="5611" spans="8:12">
      <c r="H5611"/>
      <c r="I5611"/>
      <c r="J5611"/>
      <c r="K5611"/>
      <c r="L5611"/>
    </row>
    <row r="5612" spans="8:12">
      <c r="H5612"/>
      <c r="I5612"/>
      <c r="J5612"/>
      <c r="K5612"/>
      <c r="L5612"/>
    </row>
    <row r="5613" spans="8:12">
      <c r="H5613"/>
      <c r="I5613"/>
      <c r="J5613"/>
      <c r="K5613"/>
      <c r="L5613"/>
    </row>
    <row r="5614" spans="8:12">
      <c r="H5614"/>
      <c r="I5614"/>
      <c r="J5614"/>
      <c r="K5614"/>
      <c r="L5614"/>
    </row>
    <row r="5615" spans="8:12">
      <c r="H5615"/>
      <c r="I5615"/>
      <c r="J5615"/>
      <c r="K5615"/>
      <c r="L5615"/>
    </row>
    <row r="5616" spans="8:12">
      <c r="H5616"/>
      <c r="I5616"/>
      <c r="J5616"/>
      <c r="K5616"/>
      <c r="L5616"/>
    </row>
    <row r="5617" spans="8:12">
      <c r="H5617"/>
      <c r="I5617"/>
      <c r="J5617"/>
      <c r="K5617"/>
      <c r="L5617"/>
    </row>
    <row r="5618" spans="8:12">
      <c r="H5618"/>
      <c r="I5618"/>
      <c r="J5618"/>
      <c r="K5618"/>
      <c r="L5618"/>
    </row>
    <row r="5619" spans="8:12">
      <c r="H5619"/>
      <c r="I5619"/>
      <c r="J5619"/>
      <c r="K5619"/>
      <c r="L5619"/>
    </row>
    <row r="5620" spans="8:12">
      <c r="H5620"/>
      <c r="I5620"/>
      <c r="J5620"/>
      <c r="K5620"/>
      <c r="L5620"/>
    </row>
    <row r="5621" spans="8:12">
      <c r="H5621"/>
      <c r="I5621"/>
      <c r="J5621"/>
      <c r="K5621"/>
      <c r="L5621"/>
    </row>
    <row r="5622" spans="8:12">
      <c r="H5622"/>
      <c r="I5622"/>
      <c r="J5622"/>
      <c r="K5622"/>
      <c r="L5622"/>
    </row>
    <row r="5623" spans="8:12">
      <c r="H5623"/>
      <c r="I5623"/>
      <c r="J5623"/>
      <c r="K5623"/>
      <c r="L5623"/>
    </row>
    <row r="5624" spans="8:12">
      <c r="H5624"/>
      <c r="I5624"/>
      <c r="J5624"/>
      <c r="K5624"/>
      <c r="L5624"/>
    </row>
    <row r="5625" spans="8:12">
      <c r="H5625"/>
      <c r="I5625"/>
      <c r="J5625"/>
      <c r="K5625"/>
      <c r="L5625"/>
    </row>
    <row r="5626" spans="8:12">
      <c r="H5626"/>
      <c r="I5626"/>
      <c r="J5626"/>
      <c r="K5626"/>
      <c r="L5626"/>
    </row>
    <row r="5627" spans="8:12">
      <c r="H5627"/>
      <c r="I5627"/>
      <c r="J5627"/>
      <c r="K5627"/>
      <c r="L5627"/>
    </row>
    <row r="5628" spans="8:12">
      <c r="H5628"/>
      <c r="I5628"/>
      <c r="J5628"/>
      <c r="K5628"/>
      <c r="L5628"/>
    </row>
    <row r="5629" spans="8:12">
      <c r="H5629"/>
      <c r="I5629"/>
      <c r="J5629"/>
      <c r="K5629"/>
      <c r="L5629"/>
    </row>
    <row r="5630" spans="8:12">
      <c r="H5630"/>
      <c r="I5630"/>
      <c r="J5630"/>
      <c r="K5630"/>
      <c r="L5630"/>
    </row>
    <row r="5631" spans="8:12">
      <c r="H5631"/>
      <c r="I5631"/>
      <c r="J5631"/>
      <c r="K5631"/>
      <c r="L5631"/>
    </row>
    <row r="5632" spans="8:12">
      <c r="H5632"/>
      <c r="I5632"/>
      <c r="J5632"/>
      <c r="K5632"/>
      <c r="L5632"/>
    </row>
    <row r="5633" spans="8:12">
      <c r="H5633"/>
      <c r="I5633"/>
      <c r="J5633"/>
      <c r="K5633"/>
      <c r="L5633"/>
    </row>
    <row r="5634" spans="8:12">
      <c r="H5634"/>
      <c r="I5634"/>
      <c r="J5634"/>
      <c r="K5634"/>
      <c r="L5634"/>
    </row>
    <row r="5635" spans="8:12">
      <c r="H5635"/>
      <c r="I5635"/>
      <c r="J5635"/>
      <c r="K5635"/>
      <c r="L5635"/>
    </row>
    <row r="5636" spans="8:12">
      <c r="H5636"/>
      <c r="I5636"/>
      <c r="J5636"/>
      <c r="K5636"/>
      <c r="L5636"/>
    </row>
    <row r="5637" spans="8:12">
      <c r="H5637"/>
      <c r="I5637"/>
      <c r="J5637"/>
      <c r="K5637"/>
      <c r="L5637"/>
    </row>
    <row r="5638" spans="8:12">
      <c r="H5638"/>
      <c r="I5638"/>
      <c r="J5638"/>
      <c r="K5638"/>
      <c r="L5638"/>
    </row>
    <row r="5639" spans="8:12">
      <c r="H5639"/>
      <c r="I5639"/>
      <c r="J5639"/>
      <c r="K5639"/>
      <c r="L5639"/>
    </row>
    <row r="5640" spans="8:12">
      <c r="H5640"/>
      <c r="I5640"/>
      <c r="J5640"/>
      <c r="K5640"/>
      <c r="L5640"/>
    </row>
    <row r="5641" spans="8:12">
      <c r="H5641"/>
      <c r="I5641"/>
      <c r="J5641"/>
      <c r="K5641"/>
      <c r="L5641"/>
    </row>
    <row r="5642" spans="8:12">
      <c r="H5642"/>
      <c r="I5642"/>
      <c r="J5642"/>
      <c r="K5642"/>
      <c r="L5642"/>
    </row>
    <row r="5643" spans="8:12">
      <c r="H5643"/>
      <c r="I5643"/>
      <c r="J5643"/>
      <c r="K5643"/>
      <c r="L5643"/>
    </row>
    <row r="5644" spans="8:12">
      <c r="H5644"/>
      <c r="I5644"/>
      <c r="J5644"/>
      <c r="K5644"/>
      <c r="L5644"/>
    </row>
    <row r="5645" spans="8:12">
      <c r="H5645"/>
      <c r="I5645"/>
      <c r="J5645"/>
      <c r="K5645"/>
      <c r="L5645"/>
    </row>
    <row r="5646" spans="8:12">
      <c r="H5646"/>
      <c r="I5646"/>
      <c r="J5646"/>
      <c r="K5646"/>
      <c r="L5646"/>
    </row>
    <row r="5647" spans="8:12">
      <c r="H5647"/>
      <c r="I5647"/>
      <c r="J5647"/>
      <c r="K5647"/>
      <c r="L5647"/>
    </row>
    <row r="5648" spans="8:12">
      <c r="H5648"/>
      <c r="I5648"/>
      <c r="J5648"/>
      <c r="K5648"/>
      <c r="L5648"/>
    </row>
    <row r="5649" spans="8:12">
      <c r="H5649"/>
      <c r="I5649"/>
      <c r="J5649"/>
      <c r="K5649"/>
      <c r="L5649"/>
    </row>
    <row r="5650" spans="8:12">
      <c r="H5650"/>
      <c r="I5650"/>
      <c r="J5650"/>
      <c r="K5650"/>
      <c r="L5650"/>
    </row>
    <row r="5651" spans="8:12">
      <c r="H5651"/>
      <c r="I5651"/>
      <c r="J5651"/>
      <c r="K5651"/>
      <c r="L5651"/>
    </row>
    <row r="5652" spans="8:12">
      <c r="H5652"/>
      <c r="I5652"/>
      <c r="J5652"/>
      <c r="K5652"/>
      <c r="L5652"/>
    </row>
    <row r="5653" spans="8:12">
      <c r="H5653"/>
      <c r="I5653"/>
      <c r="J5653"/>
      <c r="K5653"/>
      <c r="L5653"/>
    </row>
    <row r="5654" spans="8:12">
      <c r="H5654"/>
      <c r="I5654"/>
      <c r="J5654"/>
      <c r="K5654"/>
      <c r="L5654"/>
    </row>
    <row r="5655" spans="8:12">
      <c r="H5655"/>
      <c r="I5655"/>
      <c r="J5655"/>
      <c r="K5655"/>
      <c r="L5655"/>
    </row>
    <row r="5656" spans="8:12">
      <c r="H5656"/>
      <c r="I5656"/>
      <c r="J5656"/>
      <c r="K5656"/>
      <c r="L5656"/>
    </row>
    <row r="5657" spans="8:12">
      <c r="H5657"/>
      <c r="I5657"/>
      <c r="J5657"/>
      <c r="K5657"/>
      <c r="L5657"/>
    </row>
    <row r="5658" spans="8:12">
      <c r="H5658"/>
      <c r="I5658"/>
      <c r="J5658"/>
      <c r="K5658"/>
      <c r="L5658"/>
    </row>
    <row r="5659" spans="8:12">
      <c r="H5659"/>
      <c r="I5659"/>
      <c r="J5659"/>
      <c r="K5659"/>
      <c r="L5659"/>
    </row>
    <row r="5660" spans="8:12">
      <c r="H5660"/>
      <c r="I5660"/>
      <c r="J5660"/>
      <c r="K5660"/>
      <c r="L5660"/>
    </row>
    <row r="5661" spans="8:12">
      <c r="H5661"/>
      <c r="I5661"/>
      <c r="J5661"/>
      <c r="K5661"/>
      <c r="L5661"/>
    </row>
    <row r="5662" spans="8:12">
      <c r="H5662"/>
      <c r="I5662"/>
      <c r="J5662"/>
      <c r="K5662"/>
      <c r="L5662"/>
    </row>
    <row r="5663" spans="8:12">
      <c r="H5663"/>
      <c r="I5663"/>
      <c r="J5663"/>
      <c r="K5663"/>
      <c r="L5663"/>
    </row>
    <row r="5664" spans="8:12">
      <c r="H5664"/>
      <c r="I5664"/>
      <c r="J5664"/>
      <c r="K5664"/>
      <c r="L5664"/>
    </row>
    <row r="5665" spans="8:12">
      <c r="H5665"/>
      <c r="I5665"/>
      <c r="J5665"/>
      <c r="K5665"/>
      <c r="L5665"/>
    </row>
    <row r="5666" spans="8:12">
      <c r="H5666"/>
      <c r="I5666"/>
      <c r="J5666"/>
      <c r="K5666"/>
      <c r="L5666"/>
    </row>
    <row r="5667" spans="8:12">
      <c r="H5667"/>
      <c r="I5667"/>
      <c r="J5667"/>
      <c r="K5667"/>
      <c r="L5667"/>
    </row>
    <row r="5668" spans="8:12">
      <c r="H5668"/>
      <c r="I5668"/>
      <c r="J5668"/>
      <c r="K5668"/>
      <c r="L5668"/>
    </row>
    <row r="5669" spans="8:12">
      <c r="H5669"/>
      <c r="I5669"/>
      <c r="J5669"/>
      <c r="K5669"/>
      <c r="L5669"/>
    </row>
    <row r="5670" spans="8:12">
      <c r="H5670"/>
      <c r="I5670"/>
      <c r="J5670"/>
      <c r="K5670"/>
      <c r="L5670"/>
    </row>
    <row r="5671" spans="8:12">
      <c r="H5671"/>
      <c r="I5671"/>
      <c r="J5671"/>
      <c r="K5671"/>
      <c r="L5671"/>
    </row>
    <row r="5672" spans="8:12">
      <c r="H5672"/>
      <c r="I5672"/>
      <c r="J5672"/>
      <c r="K5672"/>
      <c r="L5672"/>
    </row>
    <row r="5673" spans="8:12">
      <c r="H5673"/>
      <c r="I5673"/>
      <c r="J5673"/>
      <c r="K5673"/>
      <c r="L5673"/>
    </row>
    <row r="5674" spans="8:12">
      <c r="H5674"/>
      <c r="I5674"/>
      <c r="J5674"/>
      <c r="K5674"/>
      <c r="L5674"/>
    </row>
    <row r="5675" spans="8:12">
      <c r="H5675"/>
      <c r="I5675"/>
      <c r="J5675"/>
      <c r="K5675"/>
      <c r="L5675"/>
    </row>
    <row r="5676" spans="8:12">
      <c r="H5676"/>
      <c r="I5676"/>
      <c r="J5676"/>
      <c r="K5676"/>
      <c r="L5676"/>
    </row>
    <row r="5677" spans="8:12">
      <c r="H5677"/>
      <c r="I5677"/>
      <c r="J5677"/>
      <c r="K5677"/>
      <c r="L5677"/>
    </row>
    <row r="5678" spans="8:12">
      <c r="H5678"/>
      <c r="I5678"/>
      <c r="J5678"/>
      <c r="K5678"/>
      <c r="L5678"/>
    </row>
    <row r="5679" spans="8:12">
      <c r="H5679"/>
      <c r="I5679"/>
      <c r="J5679"/>
      <c r="K5679"/>
      <c r="L5679"/>
    </row>
    <row r="5680" spans="8:12">
      <c r="H5680"/>
      <c r="I5680"/>
      <c r="J5680"/>
      <c r="K5680"/>
      <c r="L5680"/>
    </row>
    <row r="5681" spans="8:12">
      <c r="H5681"/>
      <c r="I5681"/>
      <c r="J5681"/>
      <c r="K5681"/>
      <c r="L5681"/>
    </row>
    <row r="5682" spans="8:12">
      <c r="H5682"/>
      <c r="I5682"/>
      <c r="J5682"/>
      <c r="K5682"/>
      <c r="L5682"/>
    </row>
    <row r="5683" spans="8:12">
      <c r="H5683"/>
      <c r="I5683"/>
      <c r="J5683"/>
      <c r="K5683"/>
      <c r="L5683"/>
    </row>
    <row r="5684" spans="8:12">
      <c r="H5684"/>
      <c r="I5684"/>
      <c r="J5684"/>
      <c r="K5684"/>
      <c r="L5684"/>
    </row>
    <row r="5685" spans="8:12">
      <c r="H5685"/>
      <c r="I5685"/>
      <c r="J5685"/>
      <c r="K5685"/>
      <c r="L5685"/>
    </row>
    <row r="5686" spans="8:12">
      <c r="H5686"/>
      <c r="I5686"/>
      <c r="J5686"/>
      <c r="K5686"/>
      <c r="L5686"/>
    </row>
    <row r="5687" spans="8:12">
      <c r="H5687"/>
      <c r="I5687"/>
      <c r="J5687"/>
      <c r="K5687"/>
      <c r="L5687"/>
    </row>
    <row r="5688" spans="8:12">
      <c r="H5688"/>
      <c r="I5688"/>
      <c r="J5688"/>
      <c r="K5688"/>
      <c r="L5688"/>
    </row>
    <row r="5689" spans="8:12">
      <c r="H5689"/>
      <c r="I5689"/>
      <c r="J5689"/>
      <c r="K5689"/>
      <c r="L5689"/>
    </row>
    <row r="5690" spans="8:12">
      <c r="H5690"/>
      <c r="I5690"/>
      <c r="J5690"/>
      <c r="K5690"/>
      <c r="L5690"/>
    </row>
    <row r="5691" spans="8:12">
      <c r="H5691"/>
      <c r="I5691"/>
      <c r="J5691"/>
      <c r="K5691"/>
      <c r="L5691"/>
    </row>
    <row r="5692" spans="8:12">
      <c r="H5692"/>
      <c r="I5692"/>
      <c r="J5692"/>
      <c r="K5692"/>
      <c r="L5692"/>
    </row>
    <row r="5693" spans="8:12">
      <c r="H5693"/>
      <c r="I5693"/>
      <c r="J5693"/>
      <c r="K5693"/>
      <c r="L5693"/>
    </row>
    <row r="5694" spans="8:12">
      <c r="H5694"/>
      <c r="I5694"/>
      <c r="J5694"/>
      <c r="K5694"/>
      <c r="L5694"/>
    </row>
    <row r="5695" spans="8:12">
      <c r="H5695"/>
      <c r="I5695"/>
      <c r="J5695"/>
      <c r="K5695"/>
      <c r="L5695"/>
    </row>
    <row r="5696" spans="8:12">
      <c r="H5696"/>
      <c r="I5696"/>
      <c r="J5696"/>
      <c r="K5696"/>
      <c r="L5696"/>
    </row>
    <row r="5697" spans="8:12">
      <c r="H5697"/>
      <c r="I5697"/>
      <c r="J5697"/>
      <c r="K5697"/>
      <c r="L5697"/>
    </row>
    <row r="5698" spans="8:12">
      <c r="H5698"/>
      <c r="I5698"/>
      <c r="J5698"/>
      <c r="K5698"/>
      <c r="L5698"/>
    </row>
    <row r="5699" spans="8:12">
      <c r="H5699"/>
      <c r="I5699"/>
      <c r="J5699"/>
      <c r="K5699"/>
      <c r="L5699"/>
    </row>
    <row r="5700" spans="8:12">
      <c r="H5700"/>
      <c r="I5700"/>
      <c r="J5700"/>
      <c r="K5700"/>
      <c r="L5700"/>
    </row>
    <row r="5701" spans="8:12">
      <c r="H5701"/>
      <c r="I5701"/>
      <c r="J5701"/>
      <c r="K5701"/>
      <c r="L5701"/>
    </row>
    <row r="5702" spans="8:12">
      <c r="H5702"/>
      <c r="I5702"/>
      <c r="J5702"/>
      <c r="K5702"/>
      <c r="L5702"/>
    </row>
    <row r="5703" spans="8:12">
      <c r="H5703"/>
      <c r="I5703"/>
      <c r="J5703"/>
      <c r="K5703"/>
      <c r="L5703"/>
    </row>
    <row r="5704" spans="8:12">
      <c r="H5704"/>
      <c r="I5704"/>
      <c r="J5704"/>
      <c r="K5704"/>
      <c r="L5704"/>
    </row>
    <row r="5705" spans="8:12">
      <c r="H5705"/>
      <c r="I5705"/>
      <c r="J5705"/>
      <c r="K5705"/>
      <c r="L5705"/>
    </row>
    <row r="5706" spans="8:12">
      <c r="H5706"/>
      <c r="I5706"/>
      <c r="J5706"/>
      <c r="K5706"/>
      <c r="L5706"/>
    </row>
    <row r="5707" spans="8:12">
      <c r="H5707"/>
      <c r="I5707"/>
      <c r="J5707"/>
      <c r="K5707"/>
      <c r="L5707"/>
    </row>
    <row r="5708" spans="8:12">
      <c r="H5708"/>
      <c r="I5708"/>
      <c r="J5708"/>
      <c r="K5708"/>
      <c r="L5708"/>
    </row>
    <row r="5709" spans="8:12">
      <c r="H5709"/>
      <c r="I5709"/>
      <c r="J5709"/>
      <c r="K5709"/>
      <c r="L5709"/>
    </row>
    <row r="5710" spans="8:12">
      <c r="H5710"/>
      <c r="I5710"/>
      <c r="J5710"/>
      <c r="K5710"/>
      <c r="L5710"/>
    </row>
    <row r="5711" spans="8:12">
      <c r="H5711"/>
      <c r="I5711"/>
      <c r="J5711"/>
      <c r="K5711"/>
      <c r="L5711"/>
    </row>
    <row r="5712" spans="8:12">
      <c r="H5712"/>
      <c r="I5712"/>
      <c r="J5712"/>
      <c r="K5712"/>
      <c r="L5712"/>
    </row>
    <row r="5713" spans="8:12">
      <c r="H5713"/>
      <c r="I5713"/>
      <c r="J5713"/>
      <c r="K5713"/>
      <c r="L5713"/>
    </row>
    <row r="5714" spans="8:12">
      <c r="H5714"/>
      <c r="I5714"/>
      <c r="J5714"/>
      <c r="K5714"/>
      <c r="L5714"/>
    </row>
    <row r="5715" spans="8:12">
      <c r="H5715"/>
      <c r="I5715"/>
      <c r="J5715"/>
      <c r="K5715"/>
      <c r="L5715"/>
    </row>
    <row r="5716" spans="8:12">
      <c r="H5716"/>
      <c r="I5716"/>
      <c r="J5716"/>
      <c r="K5716"/>
      <c r="L5716"/>
    </row>
    <row r="5717" spans="8:12">
      <c r="H5717"/>
      <c r="I5717"/>
      <c r="J5717"/>
      <c r="K5717"/>
      <c r="L5717"/>
    </row>
    <row r="5718" spans="8:12">
      <c r="H5718"/>
      <c r="I5718"/>
      <c r="J5718"/>
      <c r="K5718"/>
      <c r="L5718"/>
    </row>
    <row r="5719" spans="8:12">
      <c r="H5719"/>
      <c r="I5719"/>
      <c r="J5719"/>
      <c r="K5719"/>
      <c r="L5719"/>
    </row>
    <row r="5720" spans="8:12">
      <c r="H5720"/>
      <c r="I5720"/>
      <c r="J5720"/>
      <c r="K5720"/>
      <c r="L5720"/>
    </row>
    <row r="5721" spans="8:12">
      <c r="H5721"/>
      <c r="I5721"/>
      <c r="J5721"/>
      <c r="K5721"/>
      <c r="L5721"/>
    </row>
    <row r="5722" spans="8:12">
      <c r="H5722"/>
      <c r="I5722"/>
      <c r="J5722"/>
      <c r="K5722"/>
      <c r="L5722"/>
    </row>
    <row r="5723" spans="8:12">
      <c r="H5723"/>
      <c r="I5723"/>
      <c r="J5723"/>
      <c r="K5723"/>
      <c r="L5723"/>
    </row>
    <row r="5724" spans="8:12">
      <c r="H5724"/>
      <c r="I5724"/>
      <c r="J5724"/>
      <c r="K5724"/>
      <c r="L5724"/>
    </row>
    <row r="5725" spans="8:12">
      <c r="H5725"/>
      <c r="I5725"/>
      <c r="J5725"/>
      <c r="K5725"/>
      <c r="L5725"/>
    </row>
    <row r="5726" spans="8:12">
      <c r="H5726"/>
      <c r="I5726"/>
      <c r="J5726"/>
      <c r="K5726"/>
      <c r="L5726"/>
    </row>
    <row r="5727" spans="8:12">
      <c r="H5727"/>
      <c r="I5727"/>
      <c r="J5727"/>
      <c r="K5727"/>
      <c r="L5727"/>
    </row>
    <row r="5728" spans="8:12">
      <c r="H5728"/>
      <c r="I5728"/>
      <c r="J5728"/>
      <c r="K5728"/>
      <c r="L5728"/>
    </row>
    <row r="5729" spans="8:12">
      <c r="H5729"/>
      <c r="I5729"/>
      <c r="J5729"/>
      <c r="K5729"/>
      <c r="L5729"/>
    </row>
    <row r="5730" spans="8:12">
      <c r="H5730"/>
      <c r="I5730"/>
      <c r="J5730"/>
      <c r="K5730"/>
      <c r="L5730"/>
    </row>
    <row r="5731" spans="8:12">
      <c r="H5731"/>
      <c r="I5731"/>
      <c r="J5731"/>
      <c r="K5731"/>
      <c r="L5731"/>
    </row>
    <row r="5732" spans="8:12">
      <c r="H5732"/>
      <c r="I5732"/>
      <c r="J5732"/>
      <c r="K5732"/>
      <c r="L5732"/>
    </row>
    <row r="5733" spans="8:12">
      <c r="H5733"/>
      <c r="I5733"/>
      <c r="J5733"/>
      <c r="K5733"/>
      <c r="L5733"/>
    </row>
    <row r="5734" spans="8:12">
      <c r="H5734"/>
      <c r="I5734"/>
      <c r="J5734"/>
      <c r="K5734"/>
      <c r="L5734"/>
    </row>
    <row r="5735" spans="8:12">
      <c r="H5735"/>
      <c r="I5735"/>
      <c r="J5735"/>
      <c r="K5735"/>
      <c r="L5735"/>
    </row>
    <row r="5736" spans="8:12">
      <c r="H5736"/>
      <c r="I5736"/>
      <c r="J5736"/>
      <c r="K5736"/>
      <c r="L5736"/>
    </row>
    <row r="5737" spans="8:12">
      <c r="H5737"/>
      <c r="I5737"/>
      <c r="J5737"/>
      <c r="K5737"/>
      <c r="L5737"/>
    </row>
    <row r="5738" spans="8:12">
      <c r="H5738"/>
      <c r="I5738"/>
      <c r="J5738"/>
      <c r="K5738"/>
      <c r="L5738"/>
    </row>
    <row r="5739" spans="8:12">
      <c r="H5739"/>
      <c r="I5739"/>
      <c r="J5739"/>
      <c r="K5739"/>
      <c r="L5739"/>
    </row>
    <row r="5740" spans="8:12">
      <c r="H5740"/>
      <c r="I5740"/>
      <c r="J5740"/>
      <c r="K5740"/>
      <c r="L5740"/>
    </row>
    <row r="5741" spans="8:12">
      <c r="H5741"/>
      <c r="I5741"/>
      <c r="J5741"/>
      <c r="K5741"/>
      <c r="L5741"/>
    </row>
    <row r="5742" spans="8:12">
      <c r="H5742"/>
      <c r="I5742"/>
      <c r="J5742"/>
      <c r="K5742"/>
      <c r="L5742"/>
    </row>
    <row r="5743" spans="8:12">
      <c r="H5743"/>
      <c r="I5743"/>
      <c r="J5743"/>
      <c r="K5743"/>
      <c r="L5743"/>
    </row>
    <row r="5744" spans="8:12">
      <c r="H5744"/>
      <c r="I5744"/>
      <c r="J5744"/>
      <c r="K5744"/>
      <c r="L5744"/>
    </row>
    <row r="5745" spans="8:12">
      <c r="H5745"/>
      <c r="I5745"/>
      <c r="J5745"/>
      <c r="K5745"/>
      <c r="L5745"/>
    </row>
    <row r="5746" spans="8:12">
      <c r="H5746"/>
      <c r="I5746"/>
      <c r="J5746"/>
      <c r="K5746"/>
      <c r="L5746"/>
    </row>
    <row r="5747" spans="8:12">
      <c r="H5747"/>
      <c r="I5747"/>
      <c r="J5747"/>
      <c r="K5747"/>
      <c r="L5747"/>
    </row>
    <row r="5748" spans="8:12">
      <c r="H5748"/>
      <c r="I5748"/>
      <c r="J5748"/>
      <c r="K5748"/>
      <c r="L5748"/>
    </row>
    <row r="5749" spans="8:12">
      <c r="H5749"/>
      <c r="I5749"/>
      <c r="J5749"/>
      <c r="K5749"/>
      <c r="L5749"/>
    </row>
    <row r="5750" spans="8:12">
      <c r="H5750"/>
      <c r="I5750"/>
      <c r="J5750"/>
      <c r="K5750"/>
      <c r="L5750"/>
    </row>
    <row r="5751" spans="8:12">
      <c r="H5751"/>
      <c r="I5751"/>
      <c r="J5751"/>
      <c r="K5751"/>
      <c r="L5751"/>
    </row>
    <row r="5752" spans="8:12">
      <c r="H5752"/>
      <c r="I5752"/>
      <c r="J5752"/>
      <c r="K5752"/>
      <c r="L5752"/>
    </row>
    <row r="5753" spans="8:12">
      <c r="H5753"/>
      <c r="I5753"/>
      <c r="J5753"/>
      <c r="K5753"/>
      <c r="L5753"/>
    </row>
    <row r="5754" spans="8:12">
      <c r="H5754"/>
      <c r="I5754"/>
      <c r="J5754"/>
      <c r="K5754"/>
      <c r="L5754"/>
    </row>
    <row r="5755" spans="8:12">
      <c r="H5755"/>
      <c r="I5755"/>
      <c r="J5755"/>
      <c r="K5755"/>
      <c r="L5755"/>
    </row>
    <row r="5756" spans="8:12">
      <c r="H5756"/>
      <c r="I5756"/>
      <c r="J5756"/>
      <c r="K5756"/>
      <c r="L5756"/>
    </row>
    <row r="5757" spans="8:12">
      <c r="H5757"/>
      <c r="I5757"/>
      <c r="J5757"/>
      <c r="K5757"/>
      <c r="L5757"/>
    </row>
    <row r="5758" spans="8:12">
      <c r="H5758"/>
      <c r="I5758"/>
      <c r="J5758"/>
      <c r="K5758"/>
      <c r="L5758"/>
    </row>
    <row r="5759" spans="8:12">
      <c r="H5759"/>
      <c r="I5759"/>
      <c r="J5759"/>
      <c r="K5759"/>
      <c r="L5759"/>
    </row>
    <row r="5760" spans="8:12">
      <c r="H5760"/>
      <c r="I5760"/>
      <c r="J5760"/>
      <c r="K5760"/>
      <c r="L5760"/>
    </row>
    <row r="5761" spans="8:12">
      <c r="H5761"/>
      <c r="I5761"/>
      <c r="J5761"/>
      <c r="K5761"/>
      <c r="L5761"/>
    </row>
    <row r="5762" spans="8:12">
      <c r="H5762"/>
      <c r="I5762"/>
      <c r="J5762"/>
      <c r="K5762"/>
      <c r="L5762"/>
    </row>
    <row r="5763" spans="8:12">
      <c r="H5763"/>
      <c r="I5763"/>
      <c r="J5763"/>
      <c r="K5763"/>
      <c r="L5763"/>
    </row>
    <row r="5764" spans="8:12">
      <c r="H5764"/>
      <c r="I5764"/>
      <c r="J5764"/>
      <c r="K5764"/>
      <c r="L5764"/>
    </row>
    <row r="5765" spans="8:12">
      <c r="H5765"/>
      <c r="I5765"/>
      <c r="J5765"/>
      <c r="K5765"/>
      <c r="L5765"/>
    </row>
    <row r="5766" spans="8:12">
      <c r="H5766"/>
      <c r="I5766"/>
      <c r="J5766"/>
      <c r="K5766"/>
      <c r="L5766"/>
    </row>
    <row r="5767" spans="8:12">
      <c r="H5767"/>
      <c r="I5767"/>
      <c r="J5767"/>
      <c r="K5767"/>
      <c r="L5767"/>
    </row>
    <row r="5768" spans="8:12">
      <c r="H5768"/>
      <c r="I5768"/>
      <c r="J5768"/>
      <c r="K5768"/>
      <c r="L5768"/>
    </row>
    <row r="5769" spans="8:12">
      <c r="H5769"/>
      <c r="I5769"/>
      <c r="J5769"/>
      <c r="K5769"/>
      <c r="L5769"/>
    </row>
    <row r="5770" spans="8:12">
      <c r="H5770"/>
      <c r="I5770"/>
      <c r="J5770"/>
      <c r="K5770"/>
      <c r="L5770"/>
    </row>
    <row r="5771" spans="8:12">
      <c r="H5771"/>
      <c r="I5771"/>
      <c r="J5771"/>
      <c r="K5771"/>
      <c r="L5771"/>
    </row>
    <row r="5772" spans="8:12">
      <c r="H5772"/>
      <c r="I5772"/>
      <c r="J5772"/>
      <c r="K5772"/>
      <c r="L5772"/>
    </row>
    <row r="5773" spans="8:12">
      <c r="H5773"/>
      <c r="I5773"/>
      <c r="J5773"/>
      <c r="K5773"/>
      <c r="L5773"/>
    </row>
    <row r="5774" spans="8:12">
      <c r="H5774"/>
      <c r="I5774"/>
      <c r="J5774"/>
      <c r="K5774"/>
      <c r="L5774"/>
    </row>
    <row r="5775" spans="8:12">
      <c r="H5775"/>
      <c r="I5775"/>
      <c r="J5775"/>
      <c r="K5775"/>
      <c r="L5775"/>
    </row>
    <row r="5776" spans="8:12">
      <c r="H5776"/>
      <c r="I5776"/>
      <c r="J5776"/>
      <c r="K5776"/>
      <c r="L5776"/>
    </row>
    <row r="5777" spans="8:12">
      <c r="H5777"/>
      <c r="I5777"/>
      <c r="J5777"/>
      <c r="K5777"/>
      <c r="L5777"/>
    </row>
    <row r="5778" spans="8:12">
      <c r="H5778"/>
      <c r="I5778"/>
      <c r="J5778"/>
      <c r="K5778"/>
      <c r="L5778"/>
    </row>
    <row r="5779" spans="8:12">
      <c r="H5779"/>
      <c r="I5779"/>
      <c r="J5779"/>
      <c r="K5779"/>
      <c r="L5779"/>
    </row>
    <row r="5780" spans="8:12">
      <c r="H5780"/>
      <c r="I5780"/>
      <c r="J5780"/>
      <c r="K5780"/>
      <c r="L5780"/>
    </row>
    <row r="5781" spans="8:12">
      <c r="H5781"/>
      <c r="I5781"/>
      <c r="J5781"/>
      <c r="K5781"/>
      <c r="L5781"/>
    </row>
    <row r="5782" spans="8:12">
      <c r="H5782"/>
      <c r="I5782"/>
      <c r="J5782"/>
      <c r="K5782"/>
      <c r="L5782"/>
    </row>
    <row r="5783" spans="8:12">
      <c r="H5783"/>
      <c r="I5783"/>
      <c r="J5783"/>
      <c r="K5783"/>
      <c r="L5783"/>
    </row>
    <row r="5784" spans="8:12">
      <c r="H5784"/>
      <c r="I5784"/>
      <c r="J5784"/>
      <c r="K5784"/>
      <c r="L5784"/>
    </row>
    <row r="5785" spans="8:12">
      <c r="H5785"/>
      <c r="I5785"/>
      <c r="J5785"/>
      <c r="K5785"/>
      <c r="L5785"/>
    </row>
    <row r="5786" spans="8:12">
      <c r="H5786"/>
      <c r="I5786"/>
      <c r="J5786"/>
      <c r="K5786"/>
      <c r="L5786"/>
    </row>
    <row r="5787" spans="8:12">
      <c r="H5787"/>
      <c r="I5787"/>
      <c r="J5787"/>
      <c r="K5787"/>
      <c r="L5787"/>
    </row>
    <row r="5788" spans="8:12">
      <c r="H5788"/>
      <c r="I5788"/>
      <c r="J5788"/>
      <c r="K5788"/>
      <c r="L5788"/>
    </row>
    <row r="5789" spans="8:12">
      <c r="H5789"/>
      <c r="I5789"/>
      <c r="J5789"/>
      <c r="K5789"/>
      <c r="L5789"/>
    </row>
    <row r="5790" spans="8:12">
      <c r="H5790"/>
      <c r="I5790"/>
      <c r="J5790"/>
      <c r="K5790"/>
      <c r="L5790"/>
    </row>
    <row r="5791" spans="8:12">
      <c r="H5791"/>
      <c r="I5791"/>
      <c r="J5791"/>
      <c r="K5791"/>
      <c r="L5791"/>
    </row>
    <row r="5792" spans="8:12">
      <c r="H5792"/>
      <c r="I5792"/>
      <c r="J5792"/>
      <c r="K5792"/>
      <c r="L5792"/>
    </row>
    <row r="5793" spans="8:12">
      <c r="H5793"/>
      <c r="I5793"/>
      <c r="J5793"/>
      <c r="K5793"/>
      <c r="L5793"/>
    </row>
    <row r="5794" spans="8:12">
      <c r="H5794"/>
      <c r="I5794"/>
      <c r="J5794"/>
      <c r="K5794"/>
      <c r="L5794"/>
    </row>
    <row r="5795" spans="8:12">
      <c r="H5795"/>
      <c r="I5795"/>
      <c r="J5795"/>
      <c r="K5795"/>
      <c r="L5795"/>
    </row>
    <row r="5796" spans="8:12">
      <c r="H5796"/>
      <c r="I5796"/>
      <c r="J5796"/>
      <c r="K5796"/>
      <c r="L5796"/>
    </row>
    <row r="5797" spans="8:12">
      <c r="H5797"/>
      <c r="I5797"/>
      <c r="J5797"/>
      <c r="K5797"/>
      <c r="L5797"/>
    </row>
    <row r="5798" spans="8:12">
      <c r="H5798"/>
      <c r="I5798"/>
      <c r="J5798"/>
      <c r="K5798"/>
      <c r="L5798"/>
    </row>
    <row r="5799" spans="8:12">
      <c r="H5799"/>
      <c r="I5799"/>
      <c r="J5799"/>
      <c r="K5799"/>
      <c r="L5799"/>
    </row>
    <row r="5800" spans="8:12">
      <c r="H5800"/>
      <c r="I5800"/>
      <c r="J5800"/>
      <c r="K5800"/>
      <c r="L5800"/>
    </row>
    <row r="5801" spans="8:12">
      <c r="H5801"/>
      <c r="I5801"/>
      <c r="J5801"/>
      <c r="K5801"/>
      <c r="L5801"/>
    </row>
    <row r="5802" spans="8:12">
      <c r="H5802"/>
      <c r="I5802"/>
      <c r="J5802"/>
      <c r="K5802"/>
      <c r="L5802"/>
    </row>
    <row r="5803" spans="8:12">
      <c r="H5803"/>
      <c r="I5803"/>
      <c r="J5803"/>
      <c r="K5803"/>
      <c r="L5803"/>
    </row>
    <row r="5804" spans="8:12">
      <c r="H5804"/>
      <c r="I5804"/>
      <c r="J5804"/>
      <c r="K5804"/>
      <c r="L5804"/>
    </row>
    <row r="5805" spans="8:12">
      <c r="H5805"/>
      <c r="I5805"/>
      <c r="J5805"/>
      <c r="K5805"/>
      <c r="L5805"/>
    </row>
    <row r="5806" spans="8:12">
      <c r="H5806"/>
      <c r="I5806"/>
      <c r="J5806"/>
      <c r="K5806"/>
      <c r="L5806"/>
    </row>
    <row r="5807" spans="8:12">
      <c r="H5807"/>
      <c r="I5807"/>
      <c r="J5807"/>
      <c r="K5807"/>
      <c r="L5807"/>
    </row>
    <row r="5808" spans="8:12">
      <c r="H5808"/>
      <c r="I5808"/>
      <c r="J5808"/>
      <c r="K5808"/>
      <c r="L5808"/>
    </row>
    <row r="5809" spans="8:12">
      <c r="H5809"/>
      <c r="I5809"/>
      <c r="J5809"/>
      <c r="K5809"/>
      <c r="L5809"/>
    </row>
    <row r="5810" spans="8:12">
      <c r="H5810"/>
      <c r="I5810"/>
      <c r="J5810"/>
      <c r="K5810"/>
      <c r="L5810"/>
    </row>
    <row r="5811" spans="8:12">
      <c r="H5811"/>
      <c r="I5811"/>
      <c r="J5811"/>
      <c r="K5811"/>
      <c r="L5811"/>
    </row>
    <row r="5812" spans="8:12">
      <c r="H5812"/>
      <c r="I5812"/>
      <c r="J5812"/>
      <c r="K5812"/>
      <c r="L5812"/>
    </row>
    <row r="5813" spans="8:12">
      <c r="H5813"/>
      <c r="I5813"/>
      <c r="J5813"/>
      <c r="K5813"/>
      <c r="L5813"/>
    </row>
    <row r="5814" spans="8:12">
      <c r="H5814"/>
      <c r="I5814"/>
      <c r="J5814"/>
      <c r="K5814"/>
      <c r="L5814"/>
    </row>
    <row r="5815" spans="8:12">
      <c r="H5815"/>
      <c r="I5815"/>
      <c r="J5815"/>
      <c r="K5815"/>
      <c r="L5815"/>
    </row>
    <row r="5816" spans="8:12">
      <c r="H5816"/>
      <c r="I5816"/>
      <c r="J5816"/>
      <c r="K5816"/>
      <c r="L5816"/>
    </row>
    <row r="5817" spans="8:12">
      <c r="H5817"/>
      <c r="I5817"/>
      <c r="J5817"/>
      <c r="K5817"/>
      <c r="L5817"/>
    </row>
    <row r="5818" spans="8:12">
      <c r="H5818"/>
      <c r="I5818"/>
      <c r="J5818"/>
      <c r="K5818"/>
      <c r="L5818"/>
    </row>
    <row r="5819" spans="8:12">
      <c r="H5819"/>
      <c r="I5819"/>
      <c r="J5819"/>
      <c r="K5819"/>
      <c r="L5819"/>
    </row>
    <row r="5820" spans="8:12">
      <c r="H5820"/>
      <c r="I5820"/>
      <c r="J5820"/>
      <c r="K5820"/>
      <c r="L5820"/>
    </row>
    <row r="5821" spans="8:12">
      <c r="H5821"/>
      <c r="I5821"/>
      <c r="J5821"/>
      <c r="K5821"/>
      <c r="L5821"/>
    </row>
    <row r="5822" spans="8:12">
      <c r="H5822"/>
      <c r="I5822"/>
      <c r="J5822"/>
      <c r="K5822"/>
      <c r="L5822"/>
    </row>
    <row r="5823" spans="8:12">
      <c r="H5823"/>
      <c r="I5823"/>
      <c r="J5823"/>
      <c r="K5823"/>
      <c r="L5823"/>
    </row>
    <row r="5824" spans="8:12">
      <c r="H5824"/>
      <c r="I5824"/>
      <c r="J5824"/>
      <c r="K5824"/>
      <c r="L5824"/>
    </row>
    <row r="5825" spans="8:12">
      <c r="H5825"/>
      <c r="I5825"/>
      <c r="J5825"/>
      <c r="K5825"/>
      <c r="L5825"/>
    </row>
    <row r="5826" spans="8:12">
      <c r="H5826"/>
      <c r="I5826"/>
      <c r="J5826"/>
      <c r="K5826"/>
      <c r="L5826"/>
    </row>
    <row r="5827" spans="8:12">
      <c r="H5827"/>
      <c r="I5827"/>
      <c r="J5827"/>
      <c r="K5827"/>
      <c r="L5827"/>
    </row>
    <row r="5828" spans="8:12">
      <c r="H5828"/>
      <c r="I5828"/>
      <c r="J5828"/>
      <c r="K5828"/>
      <c r="L5828"/>
    </row>
    <row r="5829" spans="8:12">
      <c r="H5829"/>
      <c r="I5829"/>
      <c r="J5829"/>
      <c r="K5829"/>
      <c r="L5829"/>
    </row>
    <row r="5830" spans="8:12">
      <c r="H5830"/>
      <c r="I5830"/>
      <c r="J5830"/>
      <c r="K5830"/>
      <c r="L5830"/>
    </row>
    <row r="5831" spans="8:12">
      <c r="H5831"/>
      <c r="I5831"/>
      <c r="J5831"/>
      <c r="K5831"/>
      <c r="L5831"/>
    </row>
    <row r="5832" spans="8:12">
      <c r="H5832"/>
      <c r="I5832"/>
      <c r="J5832"/>
      <c r="K5832"/>
      <c r="L5832"/>
    </row>
    <row r="5833" spans="8:12">
      <c r="H5833"/>
      <c r="I5833"/>
      <c r="J5833"/>
      <c r="K5833"/>
      <c r="L5833"/>
    </row>
    <row r="5834" spans="8:12">
      <c r="H5834"/>
      <c r="I5834"/>
      <c r="J5834"/>
      <c r="K5834"/>
      <c r="L5834"/>
    </row>
    <row r="5835" spans="8:12">
      <c r="H5835"/>
      <c r="I5835"/>
      <c r="J5835"/>
      <c r="K5835"/>
      <c r="L5835"/>
    </row>
    <row r="5836" spans="8:12">
      <c r="H5836"/>
      <c r="I5836"/>
      <c r="J5836"/>
      <c r="K5836"/>
      <c r="L5836"/>
    </row>
    <row r="5837" spans="8:12">
      <c r="H5837"/>
      <c r="I5837"/>
      <c r="J5837"/>
      <c r="K5837"/>
      <c r="L5837"/>
    </row>
    <row r="5838" spans="8:12">
      <c r="H5838"/>
      <c r="I5838"/>
      <c r="J5838"/>
      <c r="K5838"/>
      <c r="L5838"/>
    </row>
    <row r="5839" spans="8:12">
      <c r="H5839"/>
      <c r="I5839"/>
      <c r="J5839"/>
      <c r="K5839"/>
      <c r="L5839"/>
    </row>
    <row r="5840" spans="8:12">
      <c r="H5840"/>
      <c r="I5840"/>
      <c r="J5840"/>
      <c r="K5840"/>
      <c r="L5840"/>
    </row>
    <row r="5841" spans="8:12">
      <c r="H5841"/>
      <c r="I5841"/>
      <c r="J5841"/>
      <c r="K5841"/>
      <c r="L5841"/>
    </row>
    <row r="5842" spans="8:12">
      <c r="H5842"/>
      <c r="I5842"/>
      <c r="J5842"/>
      <c r="K5842"/>
      <c r="L5842"/>
    </row>
    <row r="5843" spans="8:12">
      <c r="H5843"/>
      <c r="I5843"/>
      <c r="J5843"/>
      <c r="K5843"/>
      <c r="L5843"/>
    </row>
    <row r="5844" spans="8:12">
      <c r="H5844"/>
      <c r="I5844"/>
      <c r="J5844"/>
      <c r="K5844"/>
      <c r="L5844"/>
    </row>
    <row r="5845" spans="8:12">
      <c r="H5845"/>
      <c r="I5845"/>
      <c r="J5845"/>
      <c r="K5845"/>
      <c r="L5845"/>
    </row>
    <row r="5846" spans="8:12">
      <c r="H5846"/>
      <c r="I5846"/>
      <c r="J5846"/>
      <c r="K5846"/>
      <c r="L5846"/>
    </row>
    <row r="5847" spans="8:12">
      <c r="H5847"/>
      <c r="I5847"/>
      <c r="J5847"/>
      <c r="K5847"/>
      <c r="L5847"/>
    </row>
    <row r="5848" spans="8:12">
      <c r="H5848"/>
      <c r="I5848"/>
      <c r="J5848"/>
      <c r="K5848"/>
      <c r="L5848"/>
    </row>
    <row r="5849" spans="8:12">
      <c r="H5849"/>
      <c r="I5849"/>
      <c r="J5849"/>
      <c r="K5849"/>
      <c r="L5849"/>
    </row>
    <row r="5850" spans="8:12">
      <c r="H5850"/>
      <c r="I5850"/>
      <c r="J5850"/>
      <c r="K5850"/>
      <c r="L5850"/>
    </row>
    <row r="5851" spans="8:12">
      <c r="H5851"/>
      <c r="I5851"/>
      <c r="J5851"/>
      <c r="K5851"/>
      <c r="L5851"/>
    </row>
    <row r="5852" spans="8:12">
      <c r="H5852"/>
      <c r="I5852"/>
      <c r="J5852"/>
      <c r="K5852"/>
      <c r="L5852"/>
    </row>
    <row r="5853" spans="8:12">
      <c r="H5853"/>
      <c r="I5853"/>
      <c r="J5853"/>
      <c r="K5853"/>
      <c r="L5853"/>
    </row>
    <row r="5854" spans="8:12">
      <c r="H5854"/>
      <c r="I5854"/>
      <c r="J5854"/>
      <c r="K5854"/>
      <c r="L5854"/>
    </row>
    <row r="5855" spans="8:12">
      <c r="H5855"/>
      <c r="I5855"/>
      <c r="J5855"/>
      <c r="K5855"/>
      <c r="L5855"/>
    </row>
    <row r="5856" spans="8:12">
      <c r="H5856"/>
      <c r="I5856"/>
      <c r="J5856"/>
      <c r="K5856"/>
      <c r="L5856"/>
    </row>
    <row r="5857" spans="8:12">
      <c r="H5857"/>
      <c r="I5857"/>
      <c r="J5857"/>
      <c r="K5857"/>
      <c r="L5857"/>
    </row>
    <row r="5858" spans="8:12">
      <c r="H5858"/>
      <c r="I5858"/>
      <c r="J5858"/>
      <c r="K5858"/>
      <c r="L5858"/>
    </row>
    <row r="5859" spans="8:12">
      <c r="H5859"/>
      <c r="I5859"/>
      <c r="J5859"/>
      <c r="K5859"/>
      <c r="L5859"/>
    </row>
    <row r="5860" spans="8:12">
      <c r="H5860"/>
      <c r="I5860"/>
      <c r="J5860"/>
      <c r="K5860"/>
      <c r="L5860"/>
    </row>
    <row r="5861" spans="8:12">
      <c r="H5861"/>
      <c r="I5861"/>
      <c r="J5861"/>
      <c r="K5861"/>
      <c r="L5861"/>
    </row>
    <row r="5862" spans="8:12">
      <c r="H5862"/>
      <c r="I5862"/>
      <c r="J5862"/>
      <c r="K5862"/>
      <c r="L5862"/>
    </row>
    <row r="5863" spans="8:12">
      <c r="H5863"/>
      <c r="I5863"/>
      <c r="J5863"/>
      <c r="K5863"/>
      <c r="L5863"/>
    </row>
    <row r="5864" spans="8:12">
      <c r="H5864"/>
      <c r="I5864"/>
      <c r="J5864"/>
      <c r="K5864"/>
      <c r="L5864"/>
    </row>
    <row r="5865" spans="8:12">
      <c r="H5865"/>
      <c r="I5865"/>
      <c r="J5865"/>
      <c r="K5865"/>
      <c r="L5865"/>
    </row>
    <row r="5866" spans="8:12">
      <c r="H5866"/>
      <c r="I5866"/>
      <c r="J5866"/>
      <c r="K5866"/>
      <c r="L5866"/>
    </row>
    <row r="5867" spans="8:12">
      <c r="H5867"/>
      <c r="I5867"/>
      <c r="J5867"/>
      <c r="K5867"/>
      <c r="L5867"/>
    </row>
    <row r="5868" spans="8:12">
      <c r="H5868"/>
      <c r="I5868"/>
      <c r="J5868"/>
      <c r="K5868"/>
      <c r="L5868"/>
    </row>
    <row r="5869" spans="8:12">
      <c r="H5869"/>
      <c r="I5869"/>
      <c r="J5869"/>
      <c r="K5869"/>
      <c r="L5869"/>
    </row>
    <row r="5870" spans="8:12">
      <c r="H5870"/>
      <c r="I5870"/>
      <c r="J5870"/>
      <c r="K5870"/>
      <c r="L5870"/>
    </row>
    <row r="5871" spans="8:12">
      <c r="H5871"/>
      <c r="I5871"/>
      <c r="J5871"/>
      <c r="K5871"/>
      <c r="L5871"/>
    </row>
    <row r="5872" spans="8:12">
      <c r="H5872"/>
      <c r="I5872"/>
      <c r="J5872"/>
      <c r="K5872"/>
      <c r="L5872"/>
    </row>
    <row r="5873" spans="8:12">
      <c r="H5873"/>
      <c r="I5873"/>
      <c r="J5873"/>
      <c r="K5873"/>
      <c r="L5873"/>
    </row>
    <row r="5874" spans="8:12">
      <c r="H5874"/>
      <c r="I5874"/>
      <c r="J5874"/>
      <c r="K5874"/>
      <c r="L5874"/>
    </row>
    <row r="5875" spans="8:12">
      <c r="H5875"/>
      <c r="I5875"/>
      <c r="J5875"/>
      <c r="K5875"/>
      <c r="L5875"/>
    </row>
    <row r="5876" spans="8:12">
      <c r="H5876"/>
      <c r="I5876"/>
      <c r="J5876"/>
      <c r="K5876"/>
      <c r="L5876"/>
    </row>
    <row r="5877" spans="8:12">
      <c r="H5877"/>
      <c r="I5877"/>
      <c r="J5877"/>
      <c r="K5877"/>
      <c r="L5877"/>
    </row>
    <row r="5878" spans="8:12">
      <c r="H5878"/>
      <c r="I5878"/>
      <c r="J5878"/>
      <c r="K5878"/>
      <c r="L5878"/>
    </row>
    <row r="5879" spans="8:12">
      <c r="H5879"/>
      <c r="I5879"/>
      <c r="J5879"/>
      <c r="K5879"/>
      <c r="L5879"/>
    </row>
    <row r="5880" spans="8:12">
      <c r="H5880"/>
      <c r="I5880"/>
      <c r="J5880"/>
      <c r="K5880"/>
      <c r="L5880"/>
    </row>
    <row r="5881" spans="8:12">
      <c r="H5881"/>
      <c r="I5881"/>
      <c r="J5881"/>
      <c r="K5881"/>
      <c r="L5881"/>
    </row>
    <row r="5882" spans="8:12">
      <c r="H5882"/>
      <c r="I5882"/>
      <c r="J5882"/>
      <c r="K5882"/>
      <c r="L5882"/>
    </row>
    <row r="5883" spans="8:12">
      <c r="H5883"/>
      <c r="I5883"/>
      <c r="J5883"/>
      <c r="K5883"/>
      <c r="L5883"/>
    </row>
    <row r="5884" spans="8:12">
      <c r="H5884"/>
      <c r="I5884"/>
      <c r="J5884"/>
      <c r="K5884"/>
      <c r="L5884"/>
    </row>
    <row r="5885" spans="8:12">
      <c r="H5885"/>
      <c r="I5885"/>
      <c r="J5885"/>
      <c r="K5885"/>
      <c r="L5885"/>
    </row>
    <row r="5886" spans="8:12">
      <c r="H5886"/>
      <c r="I5886"/>
      <c r="J5886"/>
      <c r="K5886"/>
      <c r="L5886"/>
    </row>
    <row r="5887" spans="8:12">
      <c r="H5887"/>
      <c r="I5887"/>
      <c r="J5887"/>
      <c r="K5887"/>
      <c r="L5887"/>
    </row>
    <row r="5888" spans="8:12">
      <c r="H5888"/>
      <c r="I5888"/>
      <c r="J5888"/>
      <c r="K5888"/>
      <c r="L5888"/>
    </row>
    <row r="5889" spans="8:12">
      <c r="H5889"/>
      <c r="I5889"/>
      <c r="J5889"/>
      <c r="K5889"/>
      <c r="L5889"/>
    </row>
    <row r="5890" spans="8:12">
      <c r="H5890"/>
      <c r="I5890"/>
      <c r="J5890"/>
      <c r="K5890"/>
      <c r="L5890"/>
    </row>
    <row r="5891" spans="8:12">
      <c r="H5891"/>
      <c r="I5891"/>
      <c r="J5891"/>
      <c r="K5891"/>
      <c r="L5891"/>
    </row>
    <row r="5892" spans="8:12">
      <c r="H5892"/>
      <c r="I5892"/>
      <c r="J5892"/>
      <c r="K5892"/>
      <c r="L5892"/>
    </row>
    <row r="5893" spans="8:12">
      <c r="H5893"/>
      <c r="I5893"/>
      <c r="J5893"/>
      <c r="K5893"/>
      <c r="L5893"/>
    </row>
    <row r="5894" spans="8:12">
      <c r="H5894"/>
      <c r="I5894"/>
      <c r="J5894"/>
      <c r="K5894"/>
      <c r="L5894"/>
    </row>
    <row r="5895" spans="8:12">
      <c r="H5895"/>
      <c r="I5895"/>
      <c r="J5895"/>
      <c r="K5895"/>
      <c r="L5895"/>
    </row>
    <row r="5896" spans="8:12">
      <c r="H5896"/>
      <c r="I5896"/>
      <c r="J5896"/>
      <c r="K5896"/>
      <c r="L5896"/>
    </row>
    <row r="5897" spans="8:12">
      <c r="H5897"/>
      <c r="I5897"/>
      <c r="J5897"/>
      <c r="K5897"/>
      <c r="L5897"/>
    </row>
    <row r="5898" spans="8:12">
      <c r="H5898"/>
      <c r="I5898"/>
      <c r="J5898"/>
      <c r="K5898"/>
      <c r="L5898"/>
    </row>
    <row r="5899" spans="8:12">
      <c r="H5899"/>
      <c r="I5899"/>
      <c r="J5899"/>
      <c r="K5899"/>
      <c r="L5899"/>
    </row>
    <row r="5900" spans="8:12">
      <c r="H5900"/>
      <c r="I5900"/>
      <c r="J5900"/>
      <c r="K5900"/>
      <c r="L5900"/>
    </row>
    <row r="5901" spans="8:12">
      <c r="H5901"/>
      <c r="I5901"/>
      <c r="J5901"/>
      <c r="K5901"/>
      <c r="L5901"/>
    </row>
    <row r="5902" spans="8:12">
      <c r="H5902"/>
      <c r="I5902"/>
      <c r="J5902"/>
      <c r="K5902"/>
      <c r="L5902"/>
    </row>
    <row r="5903" spans="8:12">
      <c r="H5903"/>
      <c r="I5903"/>
      <c r="J5903"/>
      <c r="K5903"/>
      <c r="L5903"/>
    </row>
    <row r="5904" spans="8:12">
      <c r="H5904"/>
      <c r="I5904"/>
      <c r="J5904"/>
      <c r="K5904"/>
      <c r="L5904"/>
    </row>
    <row r="5905" spans="8:12">
      <c r="H5905"/>
      <c r="I5905"/>
      <c r="J5905"/>
      <c r="K5905"/>
      <c r="L5905"/>
    </row>
    <row r="5906" spans="8:12">
      <c r="H5906"/>
      <c r="I5906"/>
      <c r="J5906"/>
      <c r="K5906"/>
      <c r="L5906"/>
    </row>
    <row r="5907" spans="8:12">
      <c r="H5907"/>
      <c r="I5907"/>
      <c r="J5907"/>
      <c r="K5907"/>
      <c r="L5907"/>
    </row>
    <row r="5908" spans="8:12">
      <c r="H5908"/>
      <c r="I5908"/>
      <c r="J5908"/>
      <c r="K5908"/>
      <c r="L5908"/>
    </row>
    <row r="5909" spans="8:12">
      <c r="H5909"/>
      <c r="I5909"/>
      <c r="J5909"/>
      <c r="K5909"/>
      <c r="L5909"/>
    </row>
    <row r="5910" spans="8:12">
      <c r="H5910"/>
      <c r="I5910"/>
      <c r="J5910"/>
      <c r="K5910"/>
      <c r="L5910"/>
    </row>
    <row r="5911" spans="8:12">
      <c r="H5911"/>
      <c r="I5911"/>
      <c r="J5911"/>
      <c r="K5911"/>
      <c r="L5911"/>
    </row>
    <row r="5912" spans="8:12">
      <c r="H5912"/>
      <c r="I5912"/>
      <c r="J5912"/>
      <c r="K5912"/>
      <c r="L5912"/>
    </row>
    <row r="5913" spans="8:12">
      <c r="H5913"/>
      <c r="I5913"/>
      <c r="J5913"/>
      <c r="K5913"/>
      <c r="L5913"/>
    </row>
    <row r="5914" spans="8:12">
      <c r="H5914"/>
      <c r="I5914"/>
      <c r="J5914"/>
      <c r="K5914"/>
      <c r="L5914"/>
    </row>
    <row r="5915" spans="8:12">
      <c r="H5915"/>
      <c r="I5915"/>
      <c r="J5915"/>
      <c r="K5915"/>
      <c r="L5915"/>
    </row>
    <row r="5916" spans="8:12">
      <c r="H5916"/>
      <c r="I5916"/>
      <c r="J5916"/>
      <c r="K5916"/>
      <c r="L5916"/>
    </row>
    <row r="5917" spans="8:12">
      <c r="H5917"/>
      <c r="I5917"/>
      <c r="J5917"/>
      <c r="K5917"/>
      <c r="L5917"/>
    </row>
    <row r="5918" spans="8:12">
      <c r="H5918"/>
      <c r="I5918"/>
      <c r="J5918"/>
      <c r="K5918"/>
      <c r="L5918"/>
    </row>
    <row r="5919" spans="8:12">
      <c r="H5919"/>
      <c r="I5919"/>
      <c r="J5919"/>
      <c r="K5919"/>
      <c r="L5919"/>
    </row>
    <row r="5920" spans="8:12">
      <c r="H5920"/>
      <c r="I5920"/>
      <c r="J5920"/>
      <c r="K5920"/>
      <c r="L5920"/>
    </row>
    <row r="5921" spans="8:12">
      <c r="H5921"/>
      <c r="I5921"/>
      <c r="J5921"/>
      <c r="K5921"/>
      <c r="L5921"/>
    </row>
    <row r="5922" spans="8:12">
      <c r="H5922"/>
      <c r="I5922"/>
      <c r="J5922"/>
      <c r="K5922"/>
      <c r="L5922"/>
    </row>
    <row r="5923" spans="8:12">
      <c r="H5923"/>
      <c r="I5923"/>
      <c r="J5923"/>
      <c r="K5923"/>
      <c r="L5923"/>
    </row>
    <row r="5924" spans="8:12">
      <c r="H5924"/>
      <c r="I5924"/>
      <c r="J5924"/>
      <c r="K5924"/>
      <c r="L5924"/>
    </row>
    <row r="5925" spans="8:12">
      <c r="H5925"/>
      <c r="I5925"/>
      <c r="J5925"/>
      <c r="K5925"/>
      <c r="L5925"/>
    </row>
    <row r="5926" spans="8:12">
      <c r="H5926"/>
      <c r="I5926"/>
      <c r="J5926"/>
      <c r="K5926"/>
      <c r="L5926"/>
    </row>
    <row r="5927" spans="8:12">
      <c r="H5927"/>
      <c r="I5927"/>
      <c r="J5927"/>
      <c r="K5927"/>
      <c r="L5927"/>
    </row>
    <row r="5928" spans="8:12">
      <c r="H5928"/>
      <c r="I5928"/>
      <c r="J5928"/>
      <c r="K5928"/>
      <c r="L5928"/>
    </row>
    <row r="5929" spans="8:12">
      <c r="H5929"/>
      <c r="I5929"/>
      <c r="J5929"/>
      <c r="K5929"/>
      <c r="L5929"/>
    </row>
    <row r="5930" spans="8:12">
      <c r="H5930"/>
      <c r="I5930"/>
      <c r="J5930"/>
      <c r="K5930"/>
      <c r="L5930"/>
    </row>
    <row r="5931" spans="8:12">
      <c r="H5931"/>
      <c r="I5931"/>
      <c r="J5931"/>
      <c r="K5931"/>
      <c r="L5931"/>
    </row>
    <row r="5932" spans="8:12">
      <c r="H5932"/>
      <c r="I5932"/>
      <c r="J5932"/>
      <c r="K5932"/>
      <c r="L5932"/>
    </row>
    <row r="5933" spans="8:12">
      <c r="H5933"/>
      <c r="I5933"/>
      <c r="J5933"/>
      <c r="K5933"/>
      <c r="L5933"/>
    </row>
    <row r="5934" spans="8:12">
      <c r="H5934"/>
      <c r="I5934"/>
      <c r="J5934"/>
      <c r="K5934"/>
      <c r="L5934"/>
    </row>
    <row r="5935" spans="8:12">
      <c r="H5935"/>
      <c r="I5935"/>
      <c r="J5935"/>
      <c r="K5935"/>
      <c r="L5935"/>
    </row>
    <row r="5936" spans="8:12">
      <c r="H5936"/>
      <c r="I5936"/>
      <c r="J5936"/>
      <c r="K5936"/>
      <c r="L5936"/>
    </row>
    <row r="5937" spans="8:12">
      <c r="H5937"/>
      <c r="I5937"/>
      <c r="J5937"/>
      <c r="K5937"/>
      <c r="L5937"/>
    </row>
    <row r="5938" spans="8:12">
      <c r="H5938"/>
      <c r="I5938"/>
      <c r="J5938"/>
      <c r="K5938"/>
      <c r="L5938"/>
    </row>
    <row r="5939" spans="8:12">
      <c r="H5939"/>
      <c r="I5939"/>
      <c r="J5939"/>
      <c r="K5939"/>
      <c r="L5939"/>
    </row>
    <row r="5940" spans="8:12">
      <c r="H5940"/>
      <c r="I5940"/>
      <c r="J5940"/>
      <c r="K5940"/>
      <c r="L5940"/>
    </row>
    <row r="5941" spans="8:12">
      <c r="H5941"/>
      <c r="I5941"/>
      <c r="J5941"/>
      <c r="K5941"/>
      <c r="L5941"/>
    </row>
    <row r="5942" spans="8:12">
      <c r="H5942"/>
      <c r="I5942"/>
      <c r="J5942"/>
      <c r="K5942"/>
      <c r="L5942"/>
    </row>
    <row r="5943" spans="8:12">
      <c r="H5943"/>
      <c r="I5943"/>
      <c r="J5943"/>
      <c r="K5943"/>
      <c r="L5943"/>
    </row>
    <row r="5944" spans="8:12">
      <c r="H5944"/>
      <c r="I5944"/>
      <c r="J5944"/>
      <c r="K5944"/>
      <c r="L5944"/>
    </row>
    <row r="5945" spans="8:12">
      <c r="H5945"/>
      <c r="I5945"/>
      <c r="J5945"/>
      <c r="K5945"/>
      <c r="L5945"/>
    </row>
    <row r="5946" spans="8:12">
      <c r="H5946"/>
      <c r="I5946"/>
      <c r="J5946"/>
      <c r="K5946"/>
      <c r="L5946"/>
    </row>
    <row r="5947" spans="8:12">
      <c r="H5947"/>
      <c r="I5947"/>
      <c r="J5947"/>
      <c r="K5947"/>
      <c r="L5947"/>
    </row>
    <row r="5948" spans="8:12">
      <c r="H5948"/>
      <c r="I5948"/>
      <c r="J5948"/>
      <c r="K5948"/>
      <c r="L5948"/>
    </row>
    <row r="5949" spans="8:12">
      <c r="H5949"/>
      <c r="I5949"/>
      <c r="J5949"/>
      <c r="K5949"/>
      <c r="L5949"/>
    </row>
    <row r="5950" spans="8:12">
      <c r="H5950"/>
      <c r="I5950"/>
      <c r="J5950"/>
      <c r="K5950"/>
      <c r="L5950"/>
    </row>
    <row r="5951" spans="8:12">
      <c r="H5951"/>
      <c r="I5951"/>
      <c r="J5951"/>
      <c r="K5951"/>
      <c r="L5951"/>
    </row>
    <row r="5952" spans="8:12">
      <c r="H5952"/>
      <c r="I5952"/>
      <c r="J5952"/>
      <c r="K5952"/>
      <c r="L5952"/>
    </row>
    <row r="5953" spans="8:12">
      <c r="H5953"/>
      <c r="I5953"/>
      <c r="J5953"/>
      <c r="K5953"/>
      <c r="L5953"/>
    </row>
    <row r="5954" spans="8:12">
      <c r="H5954"/>
      <c r="I5954"/>
      <c r="J5954"/>
      <c r="K5954"/>
      <c r="L5954"/>
    </row>
    <row r="5955" spans="8:12">
      <c r="H5955"/>
      <c r="I5955"/>
      <c r="J5955"/>
      <c r="K5955"/>
      <c r="L5955"/>
    </row>
    <row r="5956" spans="8:12">
      <c r="H5956"/>
      <c r="I5956"/>
      <c r="J5956"/>
      <c r="K5956"/>
      <c r="L5956"/>
    </row>
    <row r="5957" spans="8:12">
      <c r="H5957"/>
      <c r="I5957"/>
      <c r="J5957"/>
      <c r="K5957"/>
      <c r="L5957"/>
    </row>
    <row r="5958" spans="8:12">
      <c r="H5958"/>
      <c r="I5958"/>
      <c r="J5958"/>
      <c r="K5958"/>
      <c r="L5958"/>
    </row>
    <row r="5959" spans="8:12">
      <c r="H5959"/>
      <c r="I5959"/>
      <c r="J5959"/>
      <c r="K5959"/>
      <c r="L5959"/>
    </row>
    <row r="5960" spans="8:12">
      <c r="H5960"/>
      <c r="I5960"/>
      <c r="J5960"/>
      <c r="K5960"/>
      <c r="L5960"/>
    </row>
    <row r="5961" spans="8:12">
      <c r="H5961"/>
      <c r="I5961"/>
      <c r="J5961"/>
      <c r="K5961"/>
      <c r="L5961"/>
    </row>
    <row r="5962" spans="8:12">
      <c r="H5962"/>
      <c r="I5962"/>
      <c r="J5962"/>
      <c r="K5962"/>
      <c r="L5962"/>
    </row>
    <row r="5963" spans="8:12">
      <c r="H5963"/>
      <c r="I5963"/>
      <c r="J5963"/>
      <c r="K5963"/>
      <c r="L5963"/>
    </row>
    <row r="5964" spans="8:12">
      <c r="H5964"/>
      <c r="I5964"/>
      <c r="J5964"/>
      <c r="K5964"/>
      <c r="L5964"/>
    </row>
    <row r="5965" spans="8:12">
      <c r="H5965"/>
      <c r="I5965"/>
      <c r="J5965"/>
      <c r="K5965"/>
      <c r="L5965"/>
    </row>
    <row r="5966" spans="8:12">
      <c r="H5966"/>
      <c r="I5966"/>
      <c r="J5966"/>
      <c r="K5966"/>
      <c r="L5966"/>
    </row>
    <row r="5967" spans="8:12">
      <c r="H5967"/>
      <c r="I5967"/>
      <c r="J5967"/>
      <c r="K5967"/>
      <c r="L5967"/>
    </row>
    <row r="5968" spans="8:12">
      <c r="H5968"/>
      <c r="I5968"/>
      <c r="J5968"/>
      <c r="K5968"/>
      <c r="L5968"/>
    </row>
    <row r="5969" spans="8:12">
      <c r="H5969"/>
      <c r="I5969"/>
      <c r="J5969"/>
      <c r="K5969"/>
      <c r="L5969"/>
    </row>
    <row r="5970" spans="8:12">
      <c r="H5970"/>
      <c r="I5970"/>
      <c r="J5970"/>
      <c r="K5970"/>
      <c r="L5970"/>
    </row>
    <row r="5971" spans="8:12">
      <c r="H5971"/>
      <c r="I5971"/>
      <c r="J5971"/>
      <c r="K5971"/>
      <c r="L5971"/>
    </row>
    <row r="5972" spans="8:12">
      <c r="H5972"/>
      <c r="I5972"/>
      <c r="J5972"/>
      <c r="K5972"/>
      <c r="L5972"/>
    </row>
    <row r="5973" spans="8:12">
      <c r="H5973"/>
      <c r="I5973"/>
      <c r="J5973"/>
      <c r="K5973"/>
      <c r="L5973"/>
    </row>
    <row r="5974" spans="8:12">
      <c r="H5974"/>
      <c r="I5974"/>
      <c r="J5974"/>
      <c r="K5974"/>
      <c r="L5974"/>
    </row>
    <row r="5975" spans="8:12">
      <c r="H5975"/>
      <c r="I5975"/>
      <c r="J5975"/>
      <c r="K5975"/>
      <c r="L5975"/>
    </row>
    <row r="5976" spans="8:12">
      <c r="H5976"/>
      <c r="I5976"/>
      <c r="J5976"/>
      <c r="K5976"/>
      <c r="L5976"/>
    </row>
    <row r="5977" spans="8:12">
      <c r="H5977"/>
      <c r="I5977"/>
      <c r="J5977"/>
      <c r="K5977"/>
      <c r="L5977"/>
    </row>
    <row r="5978" spans="8:12">
      <c r="H5978"/>
      <c r="I5978"/>
      <c r="J5978"/>
      <c r="K5978"/>
      <c r="L5978"/>
    </row>
    <row r="5979" spans="8:12">
      <c r="H5979"/>
      <c r="I5979"/>
      <c r="J5979"/>
      <c r="K5979"/>
      <c r="L5979"/>
    </row>
    <row r="5980" spans="8:12">
      <c r="H5980"/>
      <c r="I5980"/>
      <c r="J5980"/>
      <c r="K5980"/>
      <c r="L5980"/>
    </row>
    <row r="5981" spans="8:12">
      <c r="H5981"/>
      <c r="I5981"/>
      <c r="J5981"/>
      <c r="K5981"/>
      <c r="L5981"/>
    </row>
    <row r="5982" spans="8:12">
      <c r="H5982"/>
      <c r="I5982"/>
      <c r="J5982"/>
      <c r="K5982"/>
      <c r="L5982"/>
    </row>
    <row r="5983" spans="8:12">
      <c r="H5983"/>
      <c r="I5983"/>
      <c r="J5983"/>
      <c r="K5983"/>
      <c r="L5983"/>
    </row>
    <row r="5984" spans="8:12">
      <c r="H5984"/>
      <c r="I5984"/>
      <c r="J5984"/>
      <c r="K5984"/>
      <c r="L5984"/>
    </row>
    <row r="5985" spans="8:12">
      <c r="H5985"/>
      <c r="I5985"/>
      <c r="J5985"/>
      <c r="K5985"/>
      <c r="L5985"/>
    </row>
    <row r="5986" spans="8:12">
      <c r="H5986"/>
      <c r="I5986"/>
      <c r="J5986"/>
      <c r="K5986"/>
      <c r="L5986"/>
    </row>
    <row r="5987" spans="8:12">
      <c r="H5987"/>
      <c r="I5987"/>
      <c r="J5987"/>
      <c r="K5987"/>
      <c r="L5987"/>
    </row>
    <row r="5988" spans="8:12">
      <c r="H5988"/>
      <c r="I5988"/>
      <c r="J5988"/>
      <c r="K5988"/>
      <c r="L5988"/>
    </row>
    <row r="5989" spans="8:12">
      <c r="H5989"/>
      <c r="I5989"/>
      <c r="J5989"/>
      <c r="K5989"/>
      <c r="L5989"/>
    </row>
    <row r="5990" spans="8:12">
      <c r="H5990"/>
      <c r="I5990"/>
      <c r="J5990"/>
      <c r="K5990"/>
      <c r="L5990"/>
    </row>
    <row r="5991" spans="8:12">
      <c r="H5991"/>
      <c r="I5991"/>
      <c r="J5991"/>
      <c r="K5991"/>
      <c r="L5991"/>
    </row>
    <row r="5992" spans="8:12">
      <c r="H5992"/>
      <c r="I5992"/>
      <c r="J5992"/>
      <c r="K5992"/>
      <c r="L5992"/>
    </row>
    <row r="5993" spans="8:12">
      <c r="H5993"/>
      <c r="I5993"/>
      <c r="J5993"/>
      <c r="K5993"/>
      <c r="L5993"/>
    </row>
    <row r="5994" spans="8:12">
      <c r="H5994"/>
      <c r="I5994"/>
      <c r="J5994"/>
      <c r="K5994"/>
      <c r="L5994"/>
    </row>
    <row r="5995" spans="8:12">
      <c r="H5995"/>
      <c r="I5995"/>
      <c r="J5995"/>
      <c r="K5995"/>
      <c r="L5995"/>
    </row>
    <row r="5996" spans="8:12">
      <c r="H5996"/>
      <c r="I5996"/>
      <c r="J5996"/>
      <c r="K5996"/>
      <c r="L5996"/>
    </row>
    <row r="5997" spans="8:12">
      <c r="H5997"/>
      <c r="I5997"/>
      <c r="J5997"/>
      <c r="K5997"/>
      <c r="L5997"/>
    </row>
    <row r="5998" spans="8:12">
      <c r="H5998"/>
      <c r="I5998"/>
      <c r="J5998"/>
      <c r="K5998"/>
      <c r="L5998"/>
    </row>
    <row r="5999" spans="8:12">
      <c r="H5999"/>
      <c r="I5999"/>
      <c r="J5999"/>
      <c r="K5999"/>
      <c r="L5999"/>
    </row>
    <row r="6000" spans="8:12">
      <c r="H6000"/>
      <c r="I6000"/>
      <c r="J6000"/>
      <c r="K6000"/>
      <c r="L6000"/>
    </row>
    <row r="6001" spans="8:12">
      <c r="H6001"/>
      <c r="I6001"/>
      <c r="J6001"/>
      <c r="K6001"/>
      <c r="L6001"/>
    </row>
    <row r="6002" spans="8:12">
      <c r="H6002"/>
      <c r="I6002"/>
      <c r="J6002"/>
      <c r="K6002"/>
      <c r="L6002"/>
    </row>
    <row r="6003" spans="8:12">
      <c r="H6003"/>
      <c r="I6003"/>
      <c r="J6003"/>
      <c r="K6003"/>
      <c r="L6003"/>
    </row>
    <row r="6004" spans="8:12">
      <c r="H6004"/>
      <c r="I6004"/>
      <c r="J6004"/>
      <c r="K6004"/>
      <c r="L6004"/>
    </row>
    <row r="6005" spans="8:12">
      <c r="H6005"/>
      <c r="I6005"/>
      <c r="J6005"/>
      <c r="K6005"/>
      <c r="L6005"/>
    </row>
    <row r="6006" spans="8:12">
      <c r="H6006"/>
      <c r="I6006"/>
      <c r="J6006"/>
      <c r="K6006"/>
      <c r="L6006"/>
    </row>
    <row r="6007" spans="8:12">
      <c r="H6007"/>
      <c r="I6007"/>
      <c r="J6007"/>
      <c r="K6007"/>
      <c r="L6007"/>
    </row>
    <row r="6008" spans="8:12">
      <c r="H6008"/>
      <c r="I6008"/>
      <c r="J6008"/>
      <c r="K6008"/>
      <c r="L6008"/>
    </row>
    <row r="6009" spans="8:12">
      <c r="H6009"/>
      <c r="I6009"/>
      <c r="J6009"/>
      <c r="K6009"/>
      <c r="L6009"/>
    </row>
    <row r="6010" spans="8:12">
      <c r="H6010"/>
      <c r="I6010"/>
      <c r="J6010"/>
      <c r="K6010"/>
      <c r="L6010"/>
    </row>
    <row r="6011" spans="8:12">
      <c r="H6011"/>
      <c r="I6011"/>
      <c r="J6011"/>
      <c r="K6011"/>
      <c r="L6011"/>
    </row>
    <row r="6012" spans="8:12">
      <c r="H6012"/>
      <c r="I6012"/>
      <c r="J6012"/>
      <c r="K6012"/>
      <c r="L6012"/>
    </row>
    <row r="6013" spans="8:12">
      <c r="H6013"/>
      <c r="I6013"/>
      <c r="J6013"/>
      <c r="K6013"/>
      <c r="L6013"/>
    </row>
    <row r="6014" spans="8:12">
      <c r="H6014"/>
      <c r="I6014"/>
      <c r="J6014"/>
      <c r="K6014"/>
      <c r="L6014"/>
    </row>
    <row r="6015" spans="8:12">
      <c r="H6015"/>
      <c r="I6015"/>
      <c r="J6015"/>
      <c r="K6015"/>
      <c r="L6015"/>
    </row>
    <row r="6016" spans="8:12">
      <c r="H6016"/>
      <c r="I6016"/>
      <c r="J6016"/>
      <c r="K6016"/>
      <c r="L6016"/>
    </row>
    <row r="6017" spans="8:12">
      <c r="H6017"/>
      <c r="I6017"/>
      <c r="J6017"/>
      <c r="K6017"/>
      <c r="L6017"/>
    </row>
    <row r="6018" spans="8:12">
      <c r="H6018"/>
      <c r="I6018"/>
      <c r="J6018"/>
      <c r="K6018"/>
      <c r="L6018"/>
    </row>
    <row r="6019" spans="8:12">
      <c r="H6019"/>
      <c r="I6019"/>
      <c r="J6019"/>
      <c r="K6019"/>
      <c r="L6019"/>
    </row>
    <row r="6020" spans="8:12">
      <c r="H6020"/>
      <c r="I6020"/>
      <c r="J6020"/>
      <c r="K6020"/>
      <c r="L6020"/>
    </row>
    <row r="6021" spans="8:12">
      <c r="H6021"/>
      <c r="I6021"/>
      <c r="J6021"/>
      <c r="K6021"/>
      <c r="L6021"/>
    </row>
    <row r="6022" spans="8:12">
      <c r="H6022"/>
      <c r="I6022"/>
      <c r="J6022"/>
      <c r="K6022"/>
      <c r="L6022"/>
    </row>
    <row r="6023" spans="8:12">
      <c r="H6023"/>
      <c r="I6023"/>
      <c r="J6023"/>
      <c r="K6023"/>
      <c r="L6023"/>
    </row>
    <row r="6024" spans="8:12">
      <c r="H6024"/>
      <c r="I6024"/>
      <c r="J6024"/>
      <c r="K6024"/>
      <c r="L6024"/>
    </row>
    <row r="6025" spans="8:12">
      <c r="H6025"/>
      <c r="I6025"/>
      <c r="J6025"/>
      <c r="K6025"/>
      <c r="L6025"/>
    </row>
    <row r="6026" spans="8:12">
      <c r="H6026"/>
      <c r="I6026"/>
      <c r="J6026"/>
      <c r="K6026"/>
      <c r="L6026"/>
    </row>
    <row r="6027" spans="8:12">
      <c r="H6027"/>
      <c r="I6027"/>
      <c r="J6027"/>
      <c r="K6027"/>
      <c r="L6027"/>
    </row>
    <row r="6028" spans="8:12">
      <c r="H6028"/>
      <c r="I6028"/>
      <c r="J6028"/>
      <c r="K6028"/>
      <c r="L6028"/>
    </row>
    <row r="6029" spans="8:12">
      <c r="H6029"/>
      <c r="I6029"/>
      <c r="J6029"/>
      <c r="K6029"/>
      <c r="L6029"/>
    </row>
    <row r="6030" spans="8:12">
      <c r="H6030"/>
      <c r="I6030"/>
      <c r="J6030"/>
      <c r="K6030"/>
      <c r="L6030"/>
    </row>
    <row r="6031" spans="8:12">
      <c r="H6031"/>
      <c r="I6031"/>
      <c r="J6031"/>
      <c r="K6031"/>
      <c r="L6031"/>
    </row>
    <row r="6032" spans="8:12">
      <c r="H6032"/>
      <c r="I6032"/>
      <c r="J6032"/>
      <c r="K6032"/>
      <c r="L6032"/>
    </row>
    <row r="6033" spans="8:12">
      <c r="H6033"/>
      <c r="I6033"/>
      <c r="J6033"/>
      <c r="K6033"/>
      <c r="L6033"/>
    </row>
    <row r="6034" spans="8:12">
      <c r="H6034"/>
      <c r="I6034"/>
      <c r="J6034"/>
      <c r="K6034"/>
      <c r="L6034"/>
    </row>
    <row r="6035" spans="8:12">
      <c r="H6035"/>
      <c r="I6035"/>
      <c r="J6035"/>
      <c r="K6035"/>
      <c r="L6035"/>
    </row>
    <row r="6036" spans="8:12">
      <c r="H6036"/>
      <c r="I6036"/>
      <c r="J6036"/>
      <c r="K6036"/>
      <c r="L6036"/>
    </row>
    <row r="6037" spans="8:12">
      <c r="H6037"/>
      <c r="I6037"/>
      <c r="J6037"/>
      <c r="K6037"/>
      <c r="L6037"/>
    </row>
    <row r="6038" spans="8:12">
      <c r="H6038"/>
      <c r="I6038"/>
      <c r="J6038"/>
      <c r="K6038"/>
      <c r="L6038"/>
    </row>
    <row r="6039" spans="8:12">
      <c r="H6039"/>
      <c r="I6039"/>
      <c r="J6039"/>
      <c r="K6039"/>
      <c r="L6039"/>
    </row>
    <row r="6040" spans="8:12">
      <c r="H6040"/>
      <c r="I6040"/>
      <c r="J6040"/>
      <c r="K6040"/>
      <c r="L6040"/>
    </row>
    <row r="6041" spans="8:12">
      <c r="H6041"/>
      <c r="I6041"/>
      <c r="J6041"/>
      <c r="K6041"/>
      <c r="L6041"/>
    </row>
    <row r="6042" spans="8:12">
      <c r="H6042"/>
      <c r="I6042"/>
      <c r="J6042"/>
      <c r="K6042"/>
      <c r="L6042"/>
    </row>
    <row r="6043" spans="8:12">
      <c r="H6043"/>
      <c r="I6043"/>
      <c r="J6043"/>
      <c r="K6043"/>
      <c r="L6043"/>
    </row>
    <row r="6044" spans="8:12">
      <c r="H6044"/>
      <c r="I6044"/>
      <c r="J6044"/>
      <c r="K6044"/>
      <c r="L6044"/>
    </row>
    <row r="6045" spans="8:12">
      <c r="H6045"/>
      <c r="I6045"/>
      <c r="J6045"/>
      <c r="K6045"/>
      <c r="L6045"/>
    </row>
    <row r="6046" spans="8:12">
      <c r="H6046"/>
      <c r="I6046"/>
      <c r="J6046"/>
      <c r="K6046"/>
      <c r="L6046"/>
    </row>
    <row r="6047" spans="8:12">
      <c r="H6047"/>
      <c r="I6047"/>
      <c r="J6047"/>
      <c r="K6047"/>
      <c r="L6047"/>
    </row>
    <row r="6048" spans="8:12">
      <c r="H6048"/>
      <c r="I6048"/>
      <c r="J6048"/>
      <c r="K6048"/>
      <c r="L6048"/>
    </row>
    <row r="6049" spans="8:12">
      <c r="H6049"/>
      <c r="I6049"/>
      <c r="J6049"/>
      <c r="K6049"/>
      <c r="L6049"/>
    </row>
    <row r="6050" spans="8:12">
      <c r="H6050"/>
      <c r="I6050"/>
      <c r="J6050"/>
      <c r="K6050"/>
      <c r="L6050"/>
    </row>
    <row r="6051" spans="8:12">
      <c r="H6051"/>
      <c r="I6051"/>
      <c r="J6051"/>
      <c r="K6051"/>
      <c r="L6051"/>
    </row>
    <row r="6052" spans="8:12">
      <c r="H6052"/>
      <c r="I6052"/>
      <c r="J6052"/>
      <c r="K6052"/>
      <c r="L6052"/>
    </row>
    <row r="6053" spans="8:12">
      <c r="H6053"/>
      <c r="I6053"/>
      <c r="J6053"/>
      <c r="K6053"/>
      <c r="L6053"/>
    </row>
    <row r="6054" spans="8:12">
      <c r="H6054"/>
      <c r="I6054"/>
      <c r="J6054"/>
      <c r="K6054"/>
      <c r="L6054"/>
    </row>
    <row r="6055" spans="8:12">
      <c r="H6055"/>
      <c r="I6055"/>
      <c r="J6055"/>
      <c r="K6055"/>
      <c r="L6055"/>
    </row>
    <row r="6056" spans="8:12">
      <c r="H6056"/>
      <c r="I6056"/>
      <c r="J6056"/>
      <c r="K6056"/>
      <c r="L6056"/>
    </row>
    <row r="6057" spans="8:12">
      <c r="H6057"/>
      <c r="I6057"/>
      <c r="J6057"/>
      <c r="K6057"/>
      <c r="L6057"/>
    </row>
    <row r="6058" spans="8:12">
      <c r="H6058"/>
      <c r="I6058"/>
      <c r="J6058"/>
      <c r="K6058"/>
      <c r="L6058"/>
    </row>
    <row r="6059" spans="8:12">
      <c r="H6059"/>
      <c r="I6059"/>
      <c r="J6059"/>
      <c r="K6059"/>
      <c r="L6059"/>
    </row>
    <row r="6060" spans="8:12">
      <c r="H6060"/>
      <c r="I6060"/>
      <c r="J6060"/>
      <c r="K6060"/>
      <c r="L6060"/>
    </row>
    <row r="6061" spans="8:12">
      <c r="H6061"/>
      <c r="I6061"/>
      <c r="J6061"/>
      <c r="K6061"/>
      <c r="L6061"/>
    </row>
    <row r="6062" spans="8:12">
      <c r="H6062"/>
      <c r="I6062"/>
      <c r="J6062"/>
      <c r="K6062"/>
      <c r="L6062"/>
    </row>
    <row r="6063" spans="8:12">
      <c r="H6063"/>
      <c r="I6063"/>
      <c r="J6063"/>
      <c r="K6063"/>
      <c r="L6063"/>
    </row>
    <row r="6064" spans="8:12">
      <c r="H6064"/>
      <c r="I6064"/>
      <c r="J6064"/>
      <c r="K6064"/>
      <c r="L6064"/>
    </row>
    <row r="6065" spans="8:12">
      <c r="H6065"/>
      <c r="I6065"/>
      <c r="J6065"/>
      <c r="K6065"/>
      <c r="L6065"/>
    </row>
    <row r="6066" spans="8:12">
      <c r="H6066"/>
      <c r="I6066"/>
      <c r="J6066"/>
      <c r="K6066"/>
      <c r="L6066"/>
    </row>
    <row r="6067" spans="8:12">
      <c r="H6067"/>
      <c r="I6067"/>
      <c r="J6067"/>
      <c r="K6067"/>
      <c r="L6067"/>
    </row>
    <row r="6068" spans="8:12">
      <c r="H6068"/>
      <c r="I6068"/>
      <c r="J6068"/>
      <c r="K6068"/>
      <c r="L6068"/>
    </row>
    <row r="6069" spans="8:12">
      <c r="H6069"/>
      <c r="I6069"/>
      <c r="J6069"/>
      <c r="K6069"/>
      <c r="L6069"/>
    </row>
    <row r="6070" spans="8:12">
      <c r="H6070"/>
      <c r="I6070"/>
      <c r="J6070"/>
      <c r="K6070"/>
      <c r="L6070"/>
    </row>
    <row r="6071" spans="8:12">
      <c r="H6071"/>
      <c r="I6071"/>
      <c r="J6071"/>
      <c r="K6071"/>
      <c r="L6071"/>
    </row>
    <row r="6072" spans="8:12">
      <c r="H6072"/>
      <c r="I6072"/>
      <c r="J6072"/>
      <c r="K6072"/>
      <c r="L6072"/>
    </row>
    <row r="6073" spans="8:12">
      <c r="H6073"/>
      <c r="I6073"/>
      <c r="J6073"/>
      <c r="K6073"/>
      <c r="L6073"/>
    </row>
    <row r="6074" spans="8:12">
      <c r="H6074"/>
      <c r="I6074"/>
      <c r="J6074"/>
      <c r="K6074"/>
      <c r="L6074"/>
    </row>
    <row r="6075" spans="8:12">
      <c r="H6075"/>
      <c r="I6075"/>
      <c r="J6075"/>
      <c r="K6075"/>
      <c r="L6075"/>
    </row>
    <row r="6076" spans="8:12">
      <c r="H6076"/>
      <c r="I6076"/>
      <c r="J6076"/>
      <c r="K6076"/>
      <c r="L6076"/>
    </row>
    <row r="6077" spans="8:12">
      <c r="H6077"/>
      <c r="I6077"/>
      <c r="J6077"/>
      <c r="K6077"/>
      <c r="L6077"/>
    </row>
    <row r="6078" spans="8:12">
      <c r="H6078"/>
      <c r="I6078"/>
      <c r="J6078"/>
      <c r="K6078"/>
      <c r="L6078"/>
    </row>
    <row r="6079" spans="8:12">
      <c r="H6079"/>
      <c r="I6079"/>
      <c r="J6079"/>
      <c r="K6079"/>
      <c r="L6079"/>
    </row>
    <row r="6080" spans="8:12">
      <c r="H6080"/>
      <c r="I6080"/>
      <c r="J6080"/>
      <c r="K6080"/>
      <c r="L6080"/>
    </row>
    <row r="6081" spans="8:12">
      <c r="H6081"/>
      <c r="I6081"/>
      <c r="J6081"/>
      <c r="K6081"/>
      <c r="L6081"/>
    </row>
    <row r="6082" spans="8:12">
      <c r="H6082"/>
      <c r="I6082"/>
      <c r="J6082"/>
      <c r="K6082"/>
      <c r="L6082"/>
    </row>
    <row r="6083" spans="8:12">
      <c r="H6083"/>
      <c r="I6083"/>
      <c r="J6083"/>
      <c r="K6083"/>
      <c r="L6083"/>
    </row>
    <row r="6084" spans="8:12">
      <c r="H6084"/>
      <c r="I6084"/>
      <c r="J6084"/>
      <c r="K6084"/>
      <c r="L6084"/>
    </row>
    <row r="6085" spans="8:12">
      <c r="H6085"/>
      <c r="I6085"/>
      <c r="J6085"/>
      <c r="K6085"/>
      <c r="L6085"/>
    </row>
    <row r="6086" spans="8:12">
      <c r="H6086"/>
      <c r="I6086"/>
      <c r="J6086"/>
      <c r="K6086"/>
      <c r="L6086"/>
    </row>
    <row r="6087" spans="8:12">
      <c r="H6087"/>
      <c r="I6087"/>
      <c r="J6087"/>
      <c r="K6087"/>
      <c r="L6087"/>
    </row>
    <row r="6088" spans="8:12">
      <c r="H6088"/>
      <c r="I6088"/>
      <c r="J6088"/>
      <c r="K6088"/>
      <c r="L6088"/>
    </row>
    <row r="6089" spans="8:12">
      <c r="H6089"/>
      <c r="I6089"/>
      <c r="J6089"/>
      <c r="K6089"/>
      <c r="L6089"/>
    </row>
    <row r="6090" spans="8:12">
      <c r="H6090"/>
      <c r="I6090"/>
      <c r="J6090"/>
      <c r="K6090"/>
      <c r="L6090"/>
    </row>
    <row r="6091" spans="8:12">
      <c r="H6091"/>
      <c r="I6091"/>
      <c r="J6091"/>
      <c r="K6091"/>
      <c r="L6091"/>
    </row>
    <row r="6092" spans="8:12">
      <c r="H6092"/>
      <c r="I6092"/>
      <c r="J6092"/>
      <c r="K6092"/>
      <c r="L6092"/>
    </row>
    <row r="6093" spans="8:12">
      <c r="H6093"/>
      <c r="I6093"/>
      <c r="J6093"/>
      <c r="K6093"/>
      <c r="L6093"/>
    </row>
    <row r="6094" spans="8:12">
      <c r="H6094"/>
      <c r="I6094"/>
      <c r="J6094"/>
      <c r="K6094"/>
      <c r="L6094"/>
    </row>
    <row r="6095" spans="8:12">
      <c r="H6095"/>
      <c r="I6095"/>
      <c r="J6095"/>
      <c r="K6095"/>
      <c r="L6095"/>
    </row>
    <row r="6096" spans="8:12">
      <c r="H6096"/>
      <c r="I6096"/>
      <c r="J6096"/>
      <c r="K6096"/>
      <c r="L6096"/>
    </row>
    <row r="6097" spans="8:12">
      <c r="H6097"/>
      <c r="I6097"/>
      <c r="J6097"/>
      <c r="K6097"/>
      <c r="L6097"/>
    </row>
    <row r="6098" spans="8:12">
      <c r="H6098"/>
      <c r="I6098"/>
      <c r="J6098"/>
      <c r="K6098"/>
      <c r="L6098"/>
    </row>
    <row r="6099" spans="8:12">
      <c r="H6099"/>
      <c r="I6099"/>
      <c r="J6099"/>
      <c r="K6099"/>
      <c r="L6099"/>
    </row>
    <row r="6100" spans="8:12">
      <c r="H6100"/>
      <c r="I6100"/>
      <c r="J6100"/>
      <c r="K6100"/>
      <c r="L6100"/>
    </row>
    <row r="6101" spans="8:12">
      <c r="H6101"/>
      <c r="I6101"/>
      <c r="J6101"/>
      <c r="K6101"/>
      <c r="L6101"/>
    </row>
    <row r="6102" spans="8:12">
      <c r="H6102"/>
      <c r="I6102"/>
      <c r="J6102"/>
      <c r="K6102"/>
      <c r="L6102"/>
    </row>
    <row r="6103" spans="8:12">
      <c r="H6103"/>
      <c r="I6103"/>
      <c r="J6103"/>
      <c r="K6103"/>
      <c r="L6103"/>
    </row>
    <row r="6104" spans="8:12">
      <c r="H6104"/>
      <c r="I6104"/>
      <c r="J6104"/>
      <c r="K6104"/>
      <c r="L6104"/>
    </row>
    <row r="6105" spans="8:12">
      <c r="H6105"/>
      <c r="I6105"/>
      <c r="J6105"/>
      <c r="K6105"/>
      <c r="L6105"/>
    </row>
    <row r="6106" spans="8:12">
      <c r="H6106"/>
      <c r="I6106"/>
      <c r="J6106"/>
      <c r="K6106"/>
      <c r="L6106"/>
    </row>
    <row r="6107" spans="8:12">
      <c r="H6107"/>
      <c r="I6107"/>
      <c r="J6107"/>
      <c r="K6107"/>
      <c r="L6107"/>
    </row>
    <row r="6108" spans="8:12">
      <c r="H6108"/>
      <c r="I6108"/>
      <c r="J6108"/>
      <c r="K6108"/>
      <c r="L6108"/>
    </row>
    <row r="6109" spans="8:12">
      <c r="H6109"/>
      <c r="I6109"/>
      <c r="J6109"/>
      <c r="K6109"/>
      <c r="L6109"/>
    </row>
    <row r="6110" spans="8:12">
      <c r="H6110"/>
      <c r="I6110"/>
      <c r="J6110"/>
      <c r="K6110"/>
      <c r="L6110"/>
    </row>
    <row r="6111" spans="8:12">
      <c r="H6111"/>
      <c r="I6111"/>
      <c r="J6111"/>
      <c r="K6111"/>
      <c r="L6111"/>
    </row>
    <row r="6112" spans="8:12">
      <c r="H6112"/>
      <c r="I6112"/>
      <c r="J6112"/>
      <c r="K6112"/>
      <c r="L6112"/>
    </row>
    <row r="6113" spans="8:12">
      <c r="H6113"/>
      <c r="I6113"/>
      <c r="J6113"/>
      <c r="K6113"/>
      <c r="L6113"/>
    </row>
    <row r="6114" spans="8:12">
      <c r="H6114"/>
      <c r="I6114"/>
      <c r="J6114"/>
      <c r="K6114"/>
      <c r="L6114"/>
    </row>
    <row r="6115" spans="8:12">
      <c r="H6115"/>
      <c r="I6115"/>
      <c r="J6115"/>
      <c r="K6115"/>
      <c r="L6115"/>
    </row>
    <row r="6116" spans="8:12">
      <c r="H6116"/>
      <c r="I6116"/>
      <c r="J6116"/>
      <c r="K6116"/>
      <c r="L6116"/>
    </row>
    <row r="6117" spans="8:12">
      <c r="H6117"/>
      <c r="I6117"/>
      <c r="J6117"/>
      <c r="K6117"/>
      <c r="L6117"/>
    </row>
    <row r="6118" spans="8:12">
      <c r="H6118"/>
      <c r="I6118"/>
      <c r="J6118"/>
      <c r="K6118"/>
      <c r="L6118"/>
    </row>
    <row r="6119" spans="8:12">
      <c r="H6119"/>
      <c r="I6119"/>
      <c r="J6119"/>
      <c r="K6119"/>
      <c r="L6119"/>
    </row>
    <row r="6120" spans="8:12">
      <c r="H6120"/>
      <c r="I6120"/>
      <c r="J6120"/>
      <c r="K6120"/>
      <c r="L6120"/>
    </row>
    <row r="6121" spans="8:12">
      <c r="H6121"/>
      <c r="I6121"/>
      <c r="J6121"/>
      <c r="K6121"/>
      <c r="L6121"/>
    </row>
    <row r="6122" spans="8:12">
      <c r="H6122"/>
      <c r="I6122"/>
      <c r="J6122"/>
      <c r="K6122"/>
      <c r="L6122"/>
    </row>
    <row r="6123" spans="8:12">
      <c r="H6123"/>
      <c r="I6123"/>
      <c r="J6123"/>
      <c r="K6123"/>
      <c r="L6123"/>
    </row>
    <row r="6124" spans="8:12">
      <c r="H6124"/>
      <c r="I6124"/>
      <c r="J6124"/>
      <c r="K6124"/>
      <c r="L6124"/>
    </row>
    <row r="6125" spans="8:12">
      <c r="H6125"/>
      <c r="I6125"/>
      <c r="J6125"/>
      <c r="K6125"/>
      <c r="L6125"/>
    </row>
    <row r="6126" spans="8:12">
      <c r="H6126"/>
      <c r="I6126"/>
      <c r="J6126"/>
      <c r="K6126"/>
      <c r="L6126"/>
    </row>
    <row r="6127" spans="8:12">
      <c r="H6127"/>
      <c r="I6127"/>
      <c r="J6127"/>
      <c r="K6127"/>
      <c r="L6127"/>
    </row>
    <row r="6128" spans="8:12">
      <c r="H6128"/>
      <c r="I6128"/>
      <c r="J6128"/>
      <c r="K6128"/>
      <c r="L6128"/>
    </row>
    <row r="6129" spans="8:12">
      <c r="H6129"/>
      <c r="I6129"/>
      <c r="J6129"/>
      <c r="K6129"/>
      <c r="L6129"/>
    </row>
    <row r="6130" spans="8:12">
      <c r="H6130"/>
      <c r="I6130"/>
      <c r="J6130"/>
      <c r="K6130"/>
      <c r="L6130"/>
    </row>
    <row r="6131" spans="8:12">
      <c r="H6131"/>
      <c r="I6131"/>
      <c r="J6131"/>
      <c r="K6131"/>
      <c r="L6131"/>
    </row>
    <row r="6132" spans="8:12">
      <c r="H6132"/>
      <c r="I6132"/>
      <c r="J6132"/>
      <c r="K6132"/>
      <c r="L6132"/>
    </row>
    <row r="6133" spans="8:12">
      <c r="H6133"/>
      <c r="I6133"/>
      <c r="J6133"/>
      <c r="K6133"/>
      <c r="L6133"/>
    </row>
    <row r="6134" spans="8:12">
      <c r="H6134"/>
      <c r="I6134"/>
      <c r="J6134"/>
      <c r="K6134"/>
      <c r="L6134"/>
    </row>
    <row r="6135" spans="8:12">
      <c r="H6135"/>
      <c r="I6135"/>
      <c r="J6135"/>
      <c r="K6135"/>
      <c r="L6135"/>
    </row>
    <row r="6136" spans="8:12">
      <c r="H6136"/>
      <c r="I6136"/>
      <c r="J6136"/>
      <c r="K6136"/>
      <c r="L6136"/>
    </row>
    <row r="6137" spans="8:12">
      <c r="H6137"/>
      <c r="I6137"/>
      <c r="J6137"/>
      <c r="K6137"/>
      <c r="L6137"/>
    </row>
    <row r="6138" spans="8:12">
      <c r="H6138"/>
      <c r="I6138"/>
      <c r="J6138"/>
      <c r="K6138"/>
      <c r="L6138"/>
    </row>
    <row r="6139" spans="8:12">
      <c r="H6139"/>
      <c r="I6139"/>
      <c r="J6139"/>
      <c r="K6139"/>
      <c r="L6139"/>
    </row>
    <row r="6140" spans="8:12">
      <c r="H6140"/>
      <c r="I6140"/>
      <c r="J6140"/>
      <c r="K6140"/>
      <c r="L6140"/>
    </row>
    <row r="6141" spans="8:12">
      <c r="H6141"/>
      <c r="I6141"/>
      <c r="J6141"/>
      <c r="K6141"/>
      <c r="L6141"/>
    </row>
    <row r="6142" spans="8:12">
      <c r="H6142"/>
      <c r="I6142"/>
      <c r="J6142"/>
      <c r="K6142"/>
      <c r="L6142"/>
    </row>
    <row r="6143" spans="8:12">
      <c r="H6143"/>
      <c r="I6143"/>
      <c r="J6143"/>
      <c r="K6143"/>
      <c r="L6143"/>
    </row>
    <row r="6144" spans="8:12">
      <c r="H6144"/>
      <c r="I6144"/>
      <c r="J6144"/>
      <c r="K6144"/>
      <c r="L6144"/>
    </row>
    <row r="6145" spans="8:12">
      <c r="H6145"/>
      <c r="I6145"/>
      <c r="J6145"/>
      <c r="K6145"/>
      <c r="L6145"/>
    </row>
    <row r="6146" spans="8:12">
      <c r="H6146"/>
      <c r="I6146"/>
      <c r="J6146"/>
      <c r="K6146"/>
      <c r="L6146"/>
    </row>
    <row r="6147" spans="8:12">
      <c r="H6147"/>
      <c r="I6147"/>
      <c r="J6147"/>
      <c r="K6147"/>
      <c r="L6147"/>
    </row>
    <row r="6148" spans="8:12">
      <c r="H6148"/>
      <c r="I6148"/>
      <c r="J6148"/>
      <c r="K6148"/>
      <c r="L6148"/>
    </row>
    <row r="6149" spans="8:12">
      <c r="H6149"/>
      <c r="I6149"/>
      <c r="J6149"/>
      <c r="K6149"/>
      <c r="L6149"/>
    </row>
    <row r="6150" spans="8:12">
      <c r="H6150"/>
      <c r="I6150"/>
      <c r="J6150"/>
      <c r="K6150"/>
      <c r="L6150"/>
    </row>
    <row r="6151" spans="8:12">
      <c r="H6151"/>
      <c r="I6151"/>
      <c r="J6151"/>
      <c r="K6151"/>
      <c r="L6151"/>
    </row>
    <row r="6152" spans="8:12">
      <c r="H6152"/>
      <c r="I6152"/>
      <c r="J6152"/>
      <c r="K6152"/>
      <c r="L6152"/>
    </row>
    <row r="6153" spans="8:12">
      <c r="H6153"/>
      <c r="I6153"/>
      <c r="J6153"/>
      <c r="K6153"/>
      <c r="L6153"/>
    </row>
    <row r="6154" spans="8:12">
      <c r="H6154"/>
      <c r="I6154"/>
      <c r="J6154"/>
      <c r="K6154"/>
      <c r="L6154"/>
    </row>
    <row r="6155" spans="8:12">
      <c r="H6155"/>
      <c r="I6155"/>
      <c r="J6155"/>
      <c r="K6155"/>
      <c r="L6155"/>
    </row>
    <row r="6156" spans="8:12">
      <c r="H6156"/>
      <c r="I6156"/>
      <c r="J6156"/>
      <c r="K6156"/>
      <c r="L6156"/>
    </row>
    <row r="6157" spans="8:12">
      <c r="H6157"/>
      <c r="I6157"/>
      <c r="J6157"/>
      <c r="K6157"/>
      <c r="L6157"/>
    </row>
    <row r="6158" spans="8:12">
      <c r="H6158"/>
      <c r="I6158"/>
      <c r="J6158"/>
      <c r="K6158"/>
      <c r="L6158"/>
    </row>
    <row r="6159" spans="8:12">
      <c r="H6159"/>
      <c r="I6159"/>
      <c r="J6159"/>
      <c r="K6159"/>
      <c r="L6159"/>
    </row>
    <row r="6160" spans="8:12">
      <c r="H6160"/>
      <c r="I6160"/>
      <c r="J6160"/>
      <c r="K6160"/>
      <c r="L6160"/>
    </row>
    <row r="6161" spans="8:12">
      <c r="H6161"/>
      <c r="I6161"/>
      <c r="J6161"/>
      <c r="K6161"/>
      <c r="L6161"/>
    </row>
    <row r="6162" spans="8:12">
      <c r="H6162"/>
      <c r="I6162"/>
      <c r="J6162"/>
      <c r="K6162"/>
      <c r="L6162"/>
    </row>
    <row r="6163" spans="8:12">
      <c r="H6163"/>
      <c r="I6163"/>
      <c r="J6163"/>
      <c r="K6163"/>
      <c r="L6163"/>
    </row>
    <row r="6164" spans="8:12">
      <c r="H6164"/>
      <c r="I6164"/>
      <c r="J6164"/>
      <c r="K6164"/>
      <c r="L6164"/>
    </row>
    <row r="6165" spans="8:12">
      <c r="H6165"/>
      <c r="I6165"/>
      <c r="J6165"/>
      <c r="K6165"/>
      <c r="L6165"/>
    </row>
    <row r="6166" spans="8:12">
      <c r="H6166"/>
      <c r="I6166"/>
      <c r="J6166"/>
      <c r="K6166"/>
      <c r="L6166"/>
    </row>
    <row r="6167" spans="8:12">
      <c r="H6167"/>
      <c r="I6167"/>
      <c r="J6167"/>
      <c r="K6167"/>
      <c r="L6167"/>
    </row>
    <row r="6168" spans="8:12">
      <c r="H6168"/>
      <c r="I6168"/>
      <c r="J6168"/>
      <c r="K6168"/>
      <c r="L6168"/>
    </row>
    <row r="6169" spans="8:12">
      <c r="H6169"/>
      <c r="I6169"/>
      <c r="J6169"/>
      <c r="K6169"/>
      <c r="L6169"/>
    </row>
    <row r="6170" spans="8:12">
      <c r="H6170"/>
      <c r="I6170"/>
      <c r="J6170"/>
      <c r="K6170"/>
      <c r="L6170"/>
    </row>
    <row r="6171" spans="8:12">
      <c r="H6171"/>
      <c r="I6171"/>
      <c r="J6171"/>
      <c r="K6171"/>
      <c r="L6171"/>
    </row>
    <row r="6172" spans="8:12">
      <c r="H6172"/>
      <c r="I6172"/>
      <c r="J6172"/>
      <c r="K6172"/>
      <c r="L6172"/>
    </row>
    <row r="6173" spans="8:12">
      <c r="H6173"/>
      <c r="I6173"/>
      <c r="J6173"/>
      <c r="K6173"/>
      <c r="L6173"/>
    </row>
    <row r="6174" spans="8:12">
      <c r="H6174"/>
      <c r="I6174"/>
      <c r="J6174"/>
      <c r="K6174"/>
      <c r="L6174"/>
    </row>
    <row r="6175" spans="8:12">
      <c r="H6175"/>
      <c r="I6175"/>
      <c r="J6175"/>
      <c r="K6175"/>
      <c r="L6175"/>
    </row>
    <row r="6176" spans="8:12">
      <c r="H6176"/>
      <c r="I6176"/>
      <c r="J6176"/>
      <c r="K6176"/>
      <c r="L6176"/>
    </row>
    <row r="6177" spans="8:12">
      <c r="H6177"/>
      <c r="I6177"/>
      <c r="J6177"/>
      <c r="K6177"/>
      <c r="L6177"/>
    </row>
    <row r="6178" spans="8:12">
      <c r="H6178"/>
      <c r="I6178"/>
      <c r="J6178"/>
      <c r="K6178"/>
      <c r="L6178"/>
    </row>
    <row r="6179" spans="8:12">
      <c r="H6179"/>
      <c r="I6179"/>
      <c r="J6179"/>
      <c r="K6179"/>
      <c r="L6179"/>
    </row>
    <row r="6180" spans="8:12">
      <c r="H6180"/>
      <c r="I6180"/>
      <c r="J6180"/>
      <c r="K6180"/>
      <c r="L6180"/>
    </row>
    <row r="6181" spans="8:12">
      <c r="H6181"/>
      <c r="I6181"/>
      <c r="J6181"/>
      <c r="K6181"/>
      <c r="L6181"/>
    </row>
    <row r="6182" spans="8:12">
      <c r="H6182"/>
      <c r="I6182"/>
      <c r="J6182"/>
      <c r="K6182"/>
      <c r="L6182"/>
    </row>
    <row r="6183" spans="8:12">
      <c r="H6183"/>
      <c r="I6183"/>
      <c r="J6183"/>
      <c r="K6183"/>
      <c r="L6183"/>
    </row>
    <row r="6184" spans="8:12">
      <c r="H6184"/>
      <c r="I6184"/>
      <c r="J6184"/>
      <c r="K6184"/>
      <c r="L6184"/>
    </row>
    <row r="6185" spans="8:12">
      <c r="H6185"/>
      <c r="I6185"/>
      <c r="J6185"/>
      <c r="K6185"/>
      <c r="L6185"/>
    </row>
    <row r="6186" spans="8:12">
      <c r="H6186"/>
      <c r="I6186"/>
      <c r="J6186"/>
      <c r="K6186"/>
      <c r="L6186"/>
    </row>
    <row r="6187" spans="8:12">
      <c r="H6187"/>
      <c r="I6187"/>
      <c r="J6187"/>
      <c r="K6187"/>
      <c r="L6187"/>
    </row>
    <row r="6188" spans="8:12">
      <c r="H6188"/>
      <c r="I6188"/>
      <c r="J6188"/>
      <c r="K6188"/>
      <c r="L6188"/>
    </row>
    <row r="6189" spans="8:12">
      <c r="H6189"/>
      <c r="I6189"/>
      <c r="J6189"/>
      <c r="K6189"/>
      <c r="L6189"/>
    </row>
    <row r="6190" spans="8:12">
      <c r="H6190"/>
      <c r="I6190"/>
      <c r="J6190"/>
      <c r="K6190"/>
      <c r="L6190"/>
    </row>
    <row r="6191" spans="8:12">
      <c r="H6191"/>
      <c r="I6191"/>
      <c r="J6191"/>
      <c r="K6191"/>
      <c r="L6191"/>
    </row>
    <row r="6192" spans="8:12">
      <c r="H6192"/>
      <c r="I6192"/>
      <c r="J6192"/>
      <c r="K6192"/>
      <c r="L6192"/>
    </row>
    <row r="6193" spans="8:12">
      <c r="H6193"/>
      <c r="I6193"/>
      <c r="J6193"/>
      <c r="K6193"/>
      <c r="L6193"/>
    </row>
    <row r="6194" spans="8:12">
      <c r="H6194"/>
      <c r="I6194"/>
      <c r="J6194"/>
      <c r="K6194"/>
      <c r="L6194"/>
    </row>
    <row r="6195" spans="8:12">
      <c r="H6195"/>
      <c r="I6195"/>
      <c r="J6195"/>
      <c r="K6195"/>
      <c r="L6195"/>
    </row>
    <row r="6196" spans="8:12">
      <c r="H6196"/>
      <c r="I6196"/>
      <c r="J6196"/>
      <c r="K6196"/>
      <c r="L6196"/>
    </row>
    <row r="6197" spans="8:12">
      <c r="H6197"/>
      <c r="I6197"/>
      <c r="J6197"/>
      <c r="K6197"/>
      <c r="L6197"/>
    </row>
    <row r="6198" spans="8:12">
      <c r="H6198"/>
      <c r="I6198"/>
      <c r="J6198"/>
      <c r="K6198"/>
      <c r="L6198"/>
    </row>
    <row r="6199" spans="8:12">
      <c r="H6199"/>
      <c r="I6199"/>
      <c r="J6199"/>
      <c r="K6199"/>
      <c r="L6199"/>
    </row>
    <row r="6200" spans="8:12">
      <c r="H6200"/>
      <c r="I6200"/>
      <c r="J6200"/>
      <c r="K6200"/>
      <c r="L6200"/>
    </row>
    <row r="6201" spans="8:12">
      <c r="H6201"/>
      <c r="I6201"/>
      <c r="J6201"/>
      <c r="K6201"/>
      <c r="L6201"/>
    </row>
    <row r="6202" spans="8:12">
      <c r="H6202"/>
      <c r="I6202"/>
      <c r="J6202"/>
      <c r="K6202"/>
      <c r="L6202"/>
    </row>
    <row r="6203" spans="8:12">
      <c r="H6203"/>
      <c r="I6203"/>
      <c r="J6203"/>
      <c r="K6203"/>
      <c r="L6203"/>
    </row>
    <row r="6204" spans="8:12">
      <c r="H6204"/>
      <c r="I6204"/>
      <c r="J6204"/>
      <c r="K6204"/>
      <c r="L6204"/>
    </row>
    <row r="6205" spans="8:12">
      <c r="H6205"/>
      <c r="I6205"/>
      <c r="J6205"/>
      <c r="K6205"/>
      <c r="L6205"/>
    </row>
    <row r="6206" spans="8:12">
      <c r="H6206"/>
      <c r="I6206"/>
      <c r="J6206"/>
      <c r="K6206"/>
      <c r="L6206"/>
    </row>
    <row r="6207" spans="8:12">
      <c r="H6207"/>
      <c r="I6207"/>
      <c r="J6207"/>
      <c r="K6207"/>
      <c r="L6207"/>
    </row>
    <row r="6208" spans="8:12">
      <c r="H6208"/>
      <c r="I6208"/>
      <c r="J6208"/>
      <c r="K6208"/>
      <c r="L6208"/>
    </row>
    <row r="6209" spans="8:12">
      <c r="H6209"/>
      <c r="I6209"/>
      <c r="J6209"/>
      <c r="K6209"/>
      <c r="L6209"/>
    </row>
    <row r="6210" spans="8:12">
      <c r="H6210"/>
      <c r="I6210"/>
      <c r="J6210"/>
      <c r="K6210"/>
      <c r="L6210"/>
    </row>
    <row r="6211" spans="8:12">
      <c r="H6211"/>
      <c r="I6211"/>
      <c r="J6211"/>
      <c r="K6211"/>
      <c r="L6211"/>
    </row>
    <row r="6212" spans="8:12">
      <c r="H6212"/>
      <c r="I6212"/>
      <c r="J6212"/>
      <c r="K6212"/>
      <c r="L6212"/>
    </row>
    <row r="6213" spans="8:12">
      <c r="H6213"/>
      <c r="I6213"/>
      <c r="J6213"/>
      <c r="K6213"/>
      <c r="L6213"/>
    </row>
    <row r="6214" spans="8:12">
      <c r="H6214"/>
      <c r="I6214"/>
      <c r="J6214"/>
      <c r="K6214"/>
      <c r="L6214"/>
    </row>
    <row r="6215" spans="8:12">
      <c r="H6215"/>
      <c r="I6215"/>
      <c r="J6215"/>
      <c r="K6215"/>
      <c r="L6215"/>
    </row>
    <row r="6216" spans="8:12">
      <c r="H6216"/>
      <c r="I6216"/>
      <c r="J6216"/>
      <c r="K6216"/>
      <c r="L6216"/>
    </row>
    <row r="6217" spans="8:12">
      <c r="H6217"/>
      <c r="I6217"/>
      <c r="J6217"/>
      <c r="K6217"/>
      <c r="L6217"/>
    </row>
    <row r="6218" spans="8:12">
      <c r="H6218"/>
      <c r="I6218"/>
      <c r="J6218"/>
      <c r="K6218"/>
      <c r="L6218"/>
    </row>
    <row r="6219" spans="8:12">
      <c r="H6219"/>
      <c r="I6219"/>
      <c r="J6219"/>
      <c r="K6219"/>
      <c r="L6219"/>
    </row>
    <row r="6220" spans="8:12">
      <c r="H6220"/>
      <c r="I6220"/>
      <c r="J6220"/>
      <c r="K6220"/>
      <c r="L6220"/>
    </row>
    <row r="6221" spans="8:12">
      <c r="H6221"/>
      <c r="I6221"/>
      <c r="J6221"/>
      <c r="K6221"/>
      <c r="L6221"/>
    </row>
    <row r="6222" spans="8:12">
      <c r="H6222"/>
      <c r="I6222"/>
      <c r="J6222"/>
      <c r="K6222"/>
      <c r="L6222"/>
    </row>
    <row r="6223" spans="8:12">
      <c r="H6223"/>
      <c r="I6223"/>
      <c r="J6223"/>
      <c r="K6223"/>
      <c r="L6223"/>
    </row>
    <row r="6224" spans="8:12">
      <c r="H6224"/>
      <c r="I6224"/>
      <c r="J6224"/>
      <c r="K6224"/>
      <c r="L6224"/>
    </row>
    <row r="6225" spans="8:12">
      <c r="H6225"/>
      <c r="I6225"/>
      <c r="J6225"/>
      <c r="K6225"/>
      <c r="L6225"/>
    </row>
    <row r="6226" spans="8:12">
      <c r="H6226"/>
      <c r="I6226"/>
      <c r="J6226"/>
      <c r="K6226"/>
      <c r="L6226"/>
    </row>
    <row r="6227" spans="8:12">
      <c r="H6227"/>
      <c r="I6227"/>
      <c r="J6227"/>
      <c r="K6227"/>
      <c r="L6227"/>
    </row>
    <row r="6228" spans="8:12">
      <c r="H6228"/>
      <c r="I6228"/>
      <c r="J6228"/>
      <c r="K6228"/>
      <c r="L6228"/>
    </row>
    <row r="6229" spans="8:12">
      <c r="H6229"/>
      <c r="I6229"/>
      <c r="J6229"/>
      <c r="K6229"/>
      <c r="L6229"/>
    </row>
    <row r="6230" spans="8:12">
      <c r="H6230"/>
      <c r="I6230"/>
      <c r="J6230"/>
      <c r="K6230"/>
      <c r="L6230"/>
    </row>
    <row r="6231" spans="8:12">
      <c r="H6231"/>
      <c r="I6231"/>
      <c r="J6231"/>
      <c r="K6231"/>
      <c r="L6231"/>
    </row>
    <row r="6232" spans="8:12">
      <c r="H6232"/>
      <c r="I6232"/>
      <c r="J6232"/>
      <c r="K6232"/>
      <c r="L6232"/>
    </row>
    <row r="6233" spans="8:12">
      <c r="H6233"/>
      <c r="I6233"/>
      <c r="J6233"/>
      <c r="K6233"/>
      <c r="L6233"/>
    </row>
    <row r="6234" spans="8:12">
      <c r="H6234"/>
      <c r="I6234"/>
      <c r="J6234"/>
      <c r="K6234"/>
      <c r="L6234"/>
    </row>
    <row r="6235" spans="8:12">
      <c r="H6235"/>
      <c r="I6235"/>
      <c r="J6235"/>
      <c r="K6235"/>
      <c r="L6235"/>
    </row>
    <row r="6236" spans="8:12">
      <c r="H6236"/>
      <c r="I6236"/>
      <c r="J6236"/>
      <c r="K6236"/>
      <c r="L6236"/>
    </row>
    <row r="6237" spans="8:12">
      <c r="H6237"/>
      <c r="I6237"/>
      <c r="J6237"/>
      <c r="K6237"/>
      <c r="L6237"/>
    </row>
    <row r="6238" spans="8:12">
      <c r="H6238"/>
      <c r="I6238"/>
      <c r="J6238"/>
      <c r="K6238"/>
      <c r="L6238"/>
    </row>
    <row r="6239" spans="8:12">
      <c r="H6239"/>
      <c r="I6239"/>
      <c r="J6239"/>
      <c r="K6239"/>
      <c r="L6239"/>
    </row>
    <row r="6240" spans="8:12">
      <c r="H6240"/>
      <c r="I6240"/>
      <c r="J6240"/>
      <c r="K6240"/>
      <c r="L6240"/>
    </row>
    <row r="6241" spans="8:12">
      <c r="H6241"/>
      <c r="I6241"/>
      <c r="J6241"/>
      <c r="K6241"/>
      <c r="L6241"/>
    </row>
    <row r="6242" spans="8:12">
      <c r="H6242"/>
      <c r="I6242"/>
      <c r="J6242"/>
      <c r="K6242"/>
      <c r="L6242"/>
    </row>
    <row r="6243" spans="8:12">
      <c r="H6243"/>
      <c r="I6243"/>
      <c r="J6243"/>
      <c r="K6243"/>
      <c r="L6243"/>
    </row>
    <row r="6244" spans="8:12">
      <c r="H6244"/>
      <c r="I6244"/>
      <c r="J6244"/>
      <c r="K6244"/>
      <c r="L6244"/>
    </row>
    <row r="6245" spans="8:12">
      <c r="H6245"/>
      <c r="I6245"/>
      <c r="J6245"/>
      <c r="K6245"/>
      <c r="L6245"/>
    </row>
    <row r="6246" spans="8:12">
      <c r="H6246"/>
      <c r="I6246"/>
      <c r="J6246"/>
      <c r="K6246"/>
      <c r="L6246"/>
    </row>
    <row r="6247" spans="8:12">
      <c r="H6247"/>
      <c r="I6247"/>
      <c r="J6247"/>
      <c r="K6247"/>
      <c r="L6247"/>
    </row>
    <row r="6248" spans="8:12">
      <c r="H6248"/>
      <c r="I6248"/>
      <c r="J6248"/>
      <c r="K6248"/>
      <c r="L6248"/>
    </row>
    <row r="6249" spans="8:12">
      <c r="H6249"/>
      <c r="I6249"/>
      <c r="J6249"/>
      <c r="K6249"/>
      <c r="L6249"/>
    </row>
    <row r="6250" spans="8:12">
      <c r="H6250"/>
      <c r="I6250"/>
      <c r="J6250"/>
      <c r="K6250"/>
      <c r="L6250"/>
    </row>
    <row r="6251" spans="8:12">
      <c r="H6251"/>
      <c r="I6251"/>
      <c r="J6251"/>
      <c r="K6251"/>
      <c r="L6251"/>
    </row>
    <row r="6252" spans="8:12">
      <c r="H6252"/>
      <c r="I6252"/>
      <c r="J6252"/>
      <c r="K6252"/>
      <c r="L6252"/>
    </row>
    <row r="6253" spans="8:12">
      <c r="H6253"/>
      <c r="I6253"/>
      <c r="J6253"/>
      <c r="K6253"/>
      <c r="L6253"/>
    </row>
    <row r="6254" spans="8:12">
      <c r="H6254"/>
      <c r="I6254"/>
      <c r="J6254"/>
      <c r="K6254"/>
      <c r="L6254"/>
    </row>
    <row r="6255" spans="8:12">
      <c r="H6255"/>
      <c r="I6255"/>
      <c r="J6255"/>
      <c r="K6255"/>
      <c r="L6255"/>
    </row>
    <row r="6256" spans="8:12">
      <c r="H6256"/>
      <c r="I6256"/>
      <c r="J6256"/>
      <c r="K6256"/>
      <c r="L6256"/>
    </row>
    <row r="6257" spans="8:12">
      <c r="H6257"/>
      <c r="I6257"/>
      <c r="J6257"/>
      <c r="K6257"/>
      <c r="L6257"/>
    </row>
    <row r="6258" spans="8:12">
      <c r="H6258"/>
      <c r="I6258"/>
      <c r="J6258"/>
      <c r="K6258"/>
      <c r="L6258"/>
    </row>
    <row r="6259" spans="8:12">
      <c r="H6259"/>
      <c r="I6259"/>
      <c r="J6259"/>
      <c r="K6259"/>
      <c r="L6259"/>
    </row>
    <row r="6260" spans="8:12">
      <c r="H6260"/>
      <c r="I6260"/>
      <c r="J6260"/>
      <c r="K6260"/>
      <c r="L6260"/>
    </row>
    <row r="6261" spans="8:12">
      <c r="H6261"/>
      <c r="I6261"/>
      <c r="J6261"/>
      <c r="K6261"/>
      <c r="L6261"/>
    </row>
    <row r="6262" spans="8:12">
      <c r="H6262"/>
      <c r="I6262"/>
      <c r="J6262"/>
      <c r="K6262"/>
      <c r="L6262"/>
    </row>
    <row r="6263" spans="8:12">
      <c r="H6263"/>
      <c r="I6263"/>
      <c r="J6263"/>
      <c r="K6263"/>
      <c r="L6263"/>
    </row>
    <row r="6264" spans="8:12">
      <c r="H6264"/>
      <c r="I6264"/>
      <c r="J6264"/>
      <c r="K6264"/>
      <c r="L6264"/>
    </row>
    <row r="6265" spans="8:12">
      <c r="H6265"/>
      <c r="I6265"/>
      <c r="J6265"/>
      <c r="K6265"/>
      <c r="L6265"/>
    </row>
    <row r="6266" spans="8:12">
      <c r="H6266"/>
      <c r="I6266"/>
      <c r="J6266"/>
      <c r="K6266"/>
      <c r="L6266"/>
    </row>
    <row r="6267" spans="8:12">
      <c r="H6267"/>
      <c r="I6267"/>
      <c r="J6267"/>
      <c r="K6267"/>
      <c r="L6267"/>
    </row>
    <row r="6268" spans="8:12">
      <c r="H6268"/>
      <c r="I6268"/>
      <c r="J6268"/>
      <c r="K6268"/>
      <c r="L6268"/>
    </row>
    <row r="6269" spans="8:12">
      <c r="H6269"/>
      <c r="I6269"/>
      <c r="J6269"/>
      <c r="K6269"/>
      <c r="L6269"/>
    </row>
    <row r="6270" spans="8:12">
      <c r="H6270"/>
      <c r="I6270"/>
      <c r="J6270"/>
      <c r="K6270"/>
      <c r="L6270"/>
    </row>
    <row r="6271" spans="8:12">
      <c r="H6271"/>
      <c r="I6271"/>
      <c r="J6271"/>
      <c r="K6271"/>
      <c r="L6271"/>
    </row>
    <row r="6272" spans="8:12">
      <c r="H6272"/>
      <c r="I6272"/>
      <c r="J6272"/>
      <c r="K6272"/>
      <c r="L6272"/>
    </row>
    <row r="6273" spans="8:12">
      <c r="H6273"/>
      <c r="I6273"/>
      <c r="J6273"/>
      <c r="K6273"/>
      <c r="L6273"/>
    </row>
    <row r="6274" spans="8:12">
      <c r="H6274"/>
      <c r="I6274"/>
      <c r="J6274"/>
      <c r="K6274"/>
      <c r="L6274"/>
    </row>
    <row r="6275" spans="8:12">
      <c r="H6275"/>
      <c r="I6275"/>
      <c r="J6275"/>
      <c r="K6275"/>
      <c r="L6275"/>
    </row>
    <row r="6276" spans="8:12">
      <c r="H6276"/>
      <c r="I6276"/>
      <c r="J6276"/>
      <c r="K6276"/>
      <c r="L6276"/>
    </row>
    <row r="6277" spans="8:12">
      <c r="H6277"/>
      <c r="I6277"/>
      <c r="J6277"/>
      <c r="K6277"/>
      <c r="L6277"/>
    </row>
    <row r="6278" spans="8:12">
      <c r="H6278"/>
      <c r="I6278"/>
      <c r="J6278"/>
      <c r="K6278"/>
      <c r="L6278"/>
    </row>
    <row r="6279" spans="8:12">
      <c r="H6279"/>
      <c r="I6279"/>
      <c r="J6279"/>
      <c r="K6279"/>
      <c r="L6279"/>
    </row>
    <row r="6280" spans="8:12">
      <c r="H6280"/>
      <c r="I6280"/>
      <c r="J6280"/>
      <c r="K6280"/>
      <c r="L6280"/>
    </row>
    <row r="6281" spans="8:12">
      <c r="H6281"/>
      <c r="I6281"/>
      <c r="J6281"/>
      <c r="K6281"/>
      <c r="L6281"/>
    </row>
    <row r="6282" spans="8:12">
      <c r="H6282"/>
      <c r="I6282"/>
      <c r="J6282"/>
      <c r="K6282"/>
      <c r="L6282"/>
    </row>
    <row r="6283" spans="8:12">
      <c r="H6283"/>
      <c r="I6283"/>
      <c r="J6283"/>
      <c r="K6283"/>
      <c r="L6283"/>
    </row>
    <row r="6284" spans="8:12">
      <c r="H6284"/>
      <c r="I6284"/>
      <c r="J6284"/>
      <c r="K6284"/>
      <c r="L6284"/>
    </row>
    <row r="6285" spans="8:12">
      <c r="H6285"/>
      <c r="I6285"/>
      <c r="J6285"/>
      <c r="K6285"/>
      <c r="L6285"/>
    </row>
    <row r="6286" spans="8:12">
      <c r="H6286"/>
      <c r="I6286"/>
      <c r="J6286"/>
      <c r="K6286"/>
      <c r="L6286"/>
    </row>
    <row r="6287" spans="8:12">
      <c r="H6287"/>
      <c r="I6287"/>
      <c r="J6287"/>
      <c r="K6287"/>
      <c r="L6287"/>
    </row>
    <row r="6288" spans="8:12">
      <c r="H6288"/>
      <c r="I6288"/>
      <c r="J6288"/>
      <c r="K6288"/>
      <c r="L6288"/>
    </row>
    <row r="6289" spans="8:12">
      <c r="H6289"/>
      <c r="I6289"/>
      <c r="J6289"/>
      <c r="K6289"/>
      <c r="L6289"/>
    </row>
    <row r="6290" spans="8:12">
      <c r="H6290"/>
      <c r="I6290"/>
      <c r="J6290"/>
      <c r="K6290"/>
      <c r="L6290"/>
    </row>
    <row r="6291" spans="8:12">
      <c r="H6291"/>
      <c r="I6291"/>
      <c r="J6291"/>
      <c r="K6291"/>
      <c r="L6291"/>
    </row>
    <row r="6292" spans="8:12">
      <c r="H6292"/>
      <c r="I6292"/>
      <c r="J6292"/>
      <c r="K6292"/>
      <c r="L6292"/>
    </row>
    <row r="6293" spans="8:12">
      <c r="H6293"/>
      <c r="I6293"/>
      <c r="J6293"/>
      <c r="K6293"/>
      <c r="L6293"/>
    </row>
    <row r="6294" spans="8:12">
      <c r="H6294"/>
      <c r="I6294"/>
      <c r="J6294"/>
      <c r="K6294"/>
      <c r="L6294"/>
    </row>
    <row r="6295" spans="8:12">
      <c r="H6295"/>
      <c r="I6295"/>
      <c r="J6295"/>
      <c r="K6295"/>
      <c r="L6295"/>
    </row>
    <row r="6296" spans="8:12">
      <c r="H6296"/>
      <c r="I6296"/>
      <c r="J6296"/>
      <c r="K6296"/>
      <c r="L6296"/>
    </row>
    <row r="6297" spans="8:12">
      <c r="H6297"/>
      <c r="I6297"/>
      <c r="J6297"/>
      <c r="K6297"/>
      <c r="L6297"/>
    </row>
    <row r="6298" spans="8:12">
      <c r="H6298"/>
      <c r="I6298"/>
      <c r="J6298"/>
      <c r="K6298"/>
      <c r="L6298"/>
    </row>
    <row r="6299" spans="8:12">
      <c r="H6299"/>
      <c r="I6299"/>
      <c r="J6299"/>
      <c r="K6299"/>
      <c r="L6299"/>
    </row>
    <row r="6300" spans="8:12">
      <c r="H6300"/>
      <c r="I6300"/>
      <c r="J6300"/>
      <c r="K6300"/>
      <c r="L6300"/>
    </row>
    <row r="6301" spans="8:12">
      <c r="H6301"/>
      <c r="I6301"/>
      <c r="J6301"/>
      <c r="K6301"/>
      <c r="L6301"/>
    </row>
    <row r="6302" spans="8:12">
      <c r="H6302"/>
      <c r="I6302"/>
      <c r="J6302"/>
      <c r="K6302"/>
      <c r="L6302"/>
    </row>
    <row r="6303" spans="8:12">
      <c r="H6303"/>
      <c r="I6303"/>
      <c r="J6303"/>
      <c r="K6303"/>
      <c r="L6303"/>
    </row>
    <row r="6304" spans="8:12">
      <c r="H6304"/>
      <c r="I6304"/>
      <c r="J6304"/>
      <c r="K6304"/>
      <c r="L6304"/>
    </row>
    <row r="6305" spans="8:12">
      <c r="H6305"/>
      <c r="I6305"/>
      <c r="J6305"/>
      <c r="K6305"/>
      <c r="L6305"/>
    </row>
    <row r="6306" spans="8:12">
      <c r="H6306"/>
      <c r="I6306"/>
      <c r="J6306"/>
      <c r="K6306"/>
      <c r="L6306"/>
    </row>
    <row r="6307" spans="8:12">
      <c r="H6307"/>
      <c r="I6307"/>
      <c r="J6307"/>
      <c r="K6307"/>
      <c r="L6307"/>
    </row>
    <row r="6308" spans="8:12">
      <c r="H6308"/>
      <c r="I6308"/>
      <c r="J6308"/>
      <c r="K6308"/>
      <c r="L6308"/>
    </row>
    <row r="6309" spans="8:12">
      <c r="H6309"/>
      <c r="I6309"/>
      <c r="J6309"/>
      <c r="K6309"/>
      <c r="L6309"/>
    </row>
    <row r="6310" spans="8:12">
      <c r="H6310"/>
      <c r="I6310"/>
      <c r="J6310"/>
      <c r="K6310"/>
      <c r="L6310"/>
    </row>
    <row r="6311" spans="8:12">
      <c r="H6311"/>
      <c r="I6311"/>
      <c r="J6311"/>
      <c r="K6311"/>
      <c r="L6311"/>
    </row>
    <row r="6312" spans="8:12">
      <c r="H6312"/>
      <c r="I6312"/>
      <c r="J6312"/>
      <c r="K6312"/>
      <c r="L6312"/>
    </row>
    <row r="6313" spans="8:12">
      <c r="H6313"/>
      <c r="I6313"/>
      <c r="J6313"/>
      <c r="K6313"/>
      <c r="L6313"/>
    </row>
    <row r="6314" spans="8:12">
      <c r="H6314"/>
      <c r="I6314"/>
      <c r="J6314"/>
      <c r="K6314"/>
      <c r="L6314"/>
    </row>
    <row r="6315" spans="8:12">
      <c r="H6315"/>
      <c r="I6315"/>
      <c r="J6315"/>
      <c r="K6315"/>
      <c r="L6315"/>
    </row>
    <row r="6316" spans="8:12">
      <c r="H6316"/>
      <c r="I6316"/>
      <c r="J6316"/>
      <c r="K6316"/>
      <c r="L6316"/>
    </row>
    <row r="6317" spans="8:12">
      <c r="H6317"/>
      <c r="I6317"/>
      <c r="J6317"/>
      <c r="K6317"/>
      <c r="L6317"/>
    </row>
    <row r="6318" spans="8:12">
      <c r="H6318"/>
      <c r="I6318"/>
      <c r="J6318"/>
      <c r="K6318"/>
      <c r="L6318"/>
    </row>
    <row r="6319" spans="8:12">
      <c r="H6319"/>
      <c r="I6319"/>
      <c r="J6319"/>
      <c r="K6319"/>
      <c r="L6319"/>
    </row>
    <row r="6320" spans="8:12">
      <c r="H6320"/>
      <c r="I6320"/>
      <c r="J6320"/>
      <c r="K6320"/>
      <c r="L6320"/>
    </row>
    <row r="6321" spans="8:12">
      <c r="H6321"/>
      <c r="I6321"/>
      <c r="J6321"/>
      <c r="K6321"/>
      <c r="L6321"/>
    </row>
    <row r="6322" spans="8:12">
      <c r="H6322"/>
      <c r="I6322"/>
      <c r="J6322"/>
      <c r="K6322"/>
      <c r="L6322"/>
    </row>
    <row r="6323" spans="8:12">
      <c r="H6323"/>
      <c r="I6323"/>
      <c r="J6323"/>
      <c r="K6323"/>
      <c r="L6323"/>
    </row>
    <row r="6324" spans="8:12">
      <c r="H6324"/>
      <c r="I6324"/>
      <c r="J6324"/>
      <c r="K6324"/>
      <c r="L6324"/>
    </row>
    <row r="6325" spans="8:12">
      <c r="H6325"/>
      <c r="I6325"/>
      <c r="J6325"/>
      <c r="K6325"/>
      <c r="L6325"/>
    </row>
    <row r="6326" spans="8:12">
      <c r="H6326"/>
      <c r="I6326"/>
      <c r="J6326"/>
      <c r="K6326"/>
      <c r="L6326"/>
    </row>
    <row r="6327" spans="8:12">
      <c r="H6327"/>
      <c r="I6327"/>
      <c r="J6327"/>
      <c r="K6327"/>
      <c r="L6327"/>
    </row>
    <row r="6328" spans="8:12">
      <c r="H6328"/>
      <c r="I6328"/>
      <c r="J6328"/>
      <c r="K6328"/>
      <c r="L6328"/>
    </row>
    <row r="6329" spans="8:12">
      <c r="H6329"/>
      <c r="I6329"/>
      <c r="J6329"/>
      <c r="K6329"/>
      <c r="L6329"/>
    </row>
    <row r="6330" spans="8:12">
      <c r="H6330"/>
      <c r="I6330"/>
      <c r="J6330"/>
      <c r="K6330"/>
      <c r="L6330"/>
    </row>
    <row r="6331" spans="8:12">
      <c r="H6331"/>
      <c r="I6331"/>
      <c r="J6331"/>
      <c r="K6331"/>
      <c r="L6331"/>
    </row>
    <row r="6332" spans="8:12">
      <c r="H6332"/>
      <c r="I6332"/>
      <c r="J6332"/>
      <c r="K6332"/>
      <c r="L6332"/>
    </row>
    <row r="6333" spans="8:12">
      <c r="H6333"/>
      <c r="I6333"/>
      <c r="J6333"/>
      <c r="K6333"/>
      <c r="L6333"/>
    </row>
    <row r="6334" spans="8:12">
      <c r="H6334"/>
      <c r="I6334"/>
      <c r="J6334"/>
      <c r="K6334"/>
      <c r="L6334"/>
    </row>
    <row r="6335" spans="8:12">
      <c r="H6335"/>
      <c r="I6335"/>
      <c r="J6335"/>
      <c r="K6335"/>
      <c r="L6335"/>
    </row>
    <row r="6336" spans="8:12">
      <c r="H6336"/>
      <c r="I6336"/>
      <c r="J6336"/>
      <c r="K6336"/>
      <c r="L6336"/>
    </row>
    <row r="6337" spans="8:12">
      <c r="H6337"/>
      <c r="I6337"/>
      <c r="J6337"/>
      <c r="K6337"/>
      <c r="L6337"/>
    </row>
    <row r="6338" spans="8:12">
      <c r="H6338"/>
      <c r="I6338"/>
      <c r="J6338"/>
      <c r="K6338"/>
      <c r="L6338"/>
    </row>
    <row r="6339" spans="8:12">
      <c r="H6339"/>
      <c r="I6339"/>
      <c r="J6339"/>
      <c r="K6339"/>
      <c r="L6339"/>
    </row>
    <row r="6340" spans="8:12">
      <c r="H6340"/>
      <c r="I6340"/>
      <c r="J6340"/>
      <c r="K6340"/>
      <c r="L6340"/>
    </row>
    <row r="6341" spans="8:12">
      <c r="H6341"/>
      <c r="I6341"/>
      <c r="J6341"/>
      <c r="K6341"/>
      <c r="L6341"/>
    </row>
    <row r="6342" spans="8:12">
      <c r="H6342"/>
      <c r="I6342"/>
      <c r="J6342"/>
      <c r="K6342"/>
      <c r="L6342"/>
    </row>
    <row r="6343" spans="8:12">
      <c r="H6343"/>
      <c r="I6343"/>
      <c r="J6343"/>
      <c r="K6343"/>
      <c r="L6343"/>
    </row>
    <row r="6344" spans="8:12">
      <c r="H6344"/>
      <c r="I6344"/>
      <c r="J6344"/>
      <c r="K6344"/>
      <c r="L6344"/>
    </row>
    <row r="6345" spans="8:12">
      <c r="H6345"/>
      <c r="I6345"/>
      <c r="J6345"/>
      <c r="K6345"/>
      <c r="L6345"/>
    </row>
    <row r="6346" spans="8:12">
      <c r="H6346"/>
      <c r="I6346"/>
      <c r="J6346"/>
      <c r="K6346"/>
      <c r="L6346"/>
    </row>
    <row r="6347" spans="8:12">
      <c r="H6347"/>
      <c r="I6347"/>
      <c r="J6347"/>
      <c r="K6347"/>
      <c r="L6347"/>
    </row>
    <row r="6348" spans="8:12">
      <c r="H6348"/>
      <c r="I6348"/>
      <c r="J6348"/>
      <c r="K6348"/>
      <c r="L6348"/>
    </row>
    <row r="6349" spans="8:12">
      <c r="H6349"/>
      <c r="I6349"/>
      <c r="J6349"/>
      <c r="K6349"/>
      <c r="L6349"/>
    </row>
    <row r="6350" spans="8:12">
      <c r="H6350"/>
      <c r="I6350"/>
      <c r="J6350"/>
      <c r="K6350"/>
      <c r="L6350"/>
    </row>
    <row r="6351" spans="8:12">
      <c r="H6351"/>
      <c r="I6351"/>
      <c r="J6351"/>
      <c r="K6351"/>
      <c r="L6351"/>
    </row>
    <row r="6352" spans="8:12">
      <c r="H6352"/>
      <c r="I6352"/>
      <c r="J6352"/>
      <c r="K6352"/>
      <c r="L6352"/>
    </row>
    <row r="6353" spans="8:12">
      <c r="H6353"/>
      <c r="I6353"/>
      <c r="J6353"/>
      <c r="K6353"/>
      <c r="L6353"/>
    </row>
    <row r="6354" spans="8:12">
      <c r="H6354"/>
      <c r="I6354"/>
      <c r="J6354"/>
      <c r="K6354"/>
      <c r="L6354"/>
    </row>
    <row r="6355" spans="8:12">
      <c r="H6355"/>
      <c r="I6355"/>
      <c r="J6355"/>
      <c r="K6355"/>
      <c r="L6355"/>
    </row>
    <row r="6356" spans="8:12">
      <c r="H6356"/>
      <c r="I6356"/>
      <c r="J6356"/>
      <c r="K6356"/>
      <c r="L6356"/>
    </row>
    <row r="6357" spans="8:12">
      <c r="H6357"/>
      <c r="I6357"/>
      <c r="J6357"/>
      <c r="K6357"/>
      <c r="L6357"/>
    </row>
    <row r="6358" spans="8:12">
      <c r="H6358"/>
      <c r="I6358"/>
      <c r="J6358"/>
      <c r="K6358"/>
      <c r="L6358"/>
    </row>
    <row r="6359" spans="8:12">
      <c r="H6359"/>
      <c r="I6359"/>
      <c r="J6359"/>
      <c r="K6359"/>
      <c r="L6359"/>
    </row>
    <row r="6360" spans="8:12">
      <c r="H6360"/>
      <c r="I6360"/>
      <c r="J6360"/>
      <c r="K6360"/>
      <c r="L6360"/>
    </row>
    <row r="6361" spans="8:12">
      <c r="H6361"/>
      <c r="I6361"/>
      <c r="J6361"/>
      <c r="K6361"/>
      <c r="L6361"/>
    </row>
    <row r="6362" spans="8:12">
      <c r="H6362"/>
      <c r="I6362"/>
      <c r="J6362"/>
      <c r="K6362"/>
      <c r="L6362"/>
    </row>
    <row r="6363" spans="8:12">
      <c r="H6363"/>
      <c r="I6363"/>
      <c r="J6363"/>
      <c r="K6363"/>
      <c r="L6363"/>
    </row>
    <row r="6364" spans="8:12">
      <c r="H6364"/>
      <c r="I6364"/>
      <c r="J6364"/>
      <c r="K6364"/>
      <c r="L6364"/>
    </row>
    <row r="6365" spans="8:12">
      <c r="H6365"/>
      <c r="I6365"/>
      <c r="J6365"/>
      <c r="K6365"/>
      <c r="L6365"/>
    </row>
    <row r="6366" spans="8:12">
      <c r="H6366"/>
      <c r="I6366"/>
      <c r="J6366"/>
      <c r="K6366"/>
      <c r="L6366"/>
    </row>
    <row r="6367" spans="8:12">
      <c r="H6367"/>
      <c r="I6367"/>
      <c r="J6367"/>
      <c r="K6367"/>
      <c r="L6367"/>
    </row>
    <row r="6368" spans="8:12">
      <c r="H6368"/>
      <c r="I6368"/>
      <c r="J6368"/>
      <c r="K6368"/>
      <c r="L6368"/>
    </row>
    <row r="6369" spans="8:12">
      <c r="H6369"/>
      <c r="I6369"/>
      <c r="J6369"/>
      <c r="K6369"/>
      <c r="L6369"/>
    </row>
    <row r="6370" spans="8:12">
      <c r="H6370"/>
      <c r="I6370"/>
      <c r="J6370"/>
      <c r="K6370"/>
      <c r="L6370"/>
    </row>
    <row r="6371" spans="8:12">
      <c r="H6371"/>
      <c r="I6371"/>
      <c r="J6371"/>
      <c r="K6371"/>
      <c r="L6371"/>
    </row>
    <row r="6372" spans="8:12">
      <c r="H6372"/>
      <c r="I6372"/>
      <c r="J6372"/>
      <c r="K6372"/>
      <c r="L6372"/>
    </row>
    <row r="6373" spans="8:12">
      <c r="H6373"/>
      <c r="I6373"/>
      <c r="J6373"/>
      <c r="K6373"/>
      <c r="L6373"/>
    </row>
    <row r="6374" spans="8:12">
      <c r="H6374"/>
      <c r="I6374"/>
      <c r="J6374"/>
      <c r="K6374"/>
      <c r="L6374"/>
    </row>
    <row r="6375" spans="8:12">
      <c r="H6375"/>
      <c r="I6375"/>
      <c r="J6375"/>
      <c r="K6375"/>
      <c r="L6375"/>
    </row>
    <row r="6376" spans="8:12">
      <c r="H6376"/>
      <c r="I6376"/>
      <c r="J6376"/>
      <c r="K6376"/>
      <c r="L6376"/>
    </row>
    <row r="6377" spans="8:12">
      <c r="H6377"/>
      <c r="I6377"/>
      <c r="J6377"/>
      <c r="K6377"/>
      <c r="L6377"/>
    </row>
    <row r="6378" spans="8:12">
      <c r="H6378"/>
      <c r="I6378"/>
      <c r="J6378"/>
      <c r="K6378"/>
      <c r="L6378"/>
    </row>
    <row r="6379" spans="8:12">
      <c r="H6379"/>
      <c r="I6379"/>
      <c r="J6379"/>
      <c r="K6379"/>
      <c r="L6379"/>
    </row>
    <row r="6380" spans="8:12">
      <c r="H6380"/>
      <c r="I6380"/>
      <c r="J6380"/>
      <c r="K6380"/>
      <c r="L6380"/>
    </row>
    <row r="6381" spans="8:12">
      <c r="H6381"/>
      <c r="I6381"/>
      <c r="J6381"/>
      <c r="K6381"/>
      <c r="L6381"/>
    </row>
    <row r="6382" spans="8:12">
      <c r="H6382"/>
      <c r="I6382"/>
      <c r="J6382"/>
      <c r="K6382"/>
      <c r="L6382"/>
    </row>
    <row r="6383" spans="8:12">
      <c r="H6383"/>
      <c r="I6383"/>
      <c r="J6383"/>
      <c r="K6383"/>
      <c r="L6383"/>
    </row>
    <row r="6384" spans="8:12">
      <c r="H6384"/>
      <c r="I6384"/>
      <c r="J6384"/>
      <c r="K6384"/>
      <c r="L6384"/>
    </row>
    <row r="6385" spans="8:12">
      <c r="H6385"/>
      <c r="I6385"/>
      <c r="J6385"/>
      <c r="K6385"/>
      <c r="L6385"/>
    </row>
    <row r="6386" spans="8:12">
      <c r="H6386"/>
      <c r="I6386"/>
      <c r="J6386"/>
      <c r="K6386"/>
      <c r="L6386"/>
    </row>
    <row r="6387" spans="8:12">
      <c r="H6387"/>
      <c r="I6387"/>
      <c r="J6387"/>
      <c r="K6387"/>
      <c r="L6387"/>
    </row>
    <row r="6388" spans="8:12">
      <c r="H6388"/>
      <c r="I6388"/>
      <c r="J6388"/>
      <c r="K6388"/>
      <c r="L6388"/>
    </row>
    <row r="6389" spans="8:12">
      <c r="H6389"/>
      <c r="I6389"/>
      <c r="J6389"/>
      <c r="K6389"/>
      <c r="L6389"/>
    </row>
    <row r="6390" spans="8:12">
      <c r="H6390"/>
      <c r="I6390"/>
      <c r="J6390"/>
      <c r="K6390"/>
      <c r="L6390"/>
    </row>
    <row r="6391" spans="8:12">
      <c r="H6391"/>
      <c r="I6391"/>
      <c r="J6391"/>
      <c r="K6391"/>
      <c r="L6391"/>
    </row>
    <row r="6392" spans="8:12">
      <c r="H6392"/>
      <c r="I6392"/>
      <c r="J6392"/>
      <c r="K6392"/>
      <c r="L6392"/>
    </row>
    <row r="6393" spans="8:12">
      <c r="H6393"/>
      <c r="I6393"/>
      <c r="J6393"/>
      <c r="K6393"/>
      <c r="L6393"/>
    </row>
    <row r="6394" spans="8:12">
      <c r="H6394"/>
      <c r="I6394"/>
      <c r="J6394"/>
      <c r="K6394"/>
      <c r="L6394"/>
    </row>
    <row r="6395" spans="8:12">
      <c r="H6395"/>
      <c r="I6395"/>
      <c r="J6395"/>
      <c r="K6395"/>
      <c r="L6395"/>
    </row>
    <row r="6396" spans="8:12">
      <c r="H6396"/>
      <c r="I6396"/>
      <c r="J6396"/>
      <c r="K6396"/>
      <c r="L6396"/>
    </row>
    <row r="6397" spans="8:12">
      <c r="H6397"/>
      <c r="I6397"/>
      <c r="J6397"/>
      <c r="K6397"/>
      <c r="L6397"/>
    </row>
    <row r="6398" spans="8:12">
      <c r="H6398"/>
      <c r="I6398"/>
      <c r="J6398"/>
      <c r="K6398"/>
      <c r="L6398"/>
    </row>
    <row r="6399" spans="8:12">
      <c r="H6399"/>
      <c r="I6399"/>
      <c r="J6399"/>
      <c r="K6399"/>
      <c r="L6399"/>
    </row>
    <row r="6400" spans="8:12">
      <c r="H6400"/>
      <c r="I6400"/>
      <c r="J6400"/>
      <c r="K6400"/>
      <c r="L6400"/>
    </row>
    <row r="6401" spans="8:12">
      <c r="H6401"/>
      <c r="I6401"/>
      <c r="J6401"/>
      <c r="K6401"/>
      <c r="L6401"/>
    </row>
    <row r="6402" spans="8:12">
      <c r="H6402"/>
      <c r="I6402"/>
      <c r="J6402"/>
      <c r="K6402"/>
      <c r="L6402"/>
    </row>
    <row r="6403" spans="8:12">
      <c r="H6403"/>
      <c r="I6403"/>
      <c r="J6403"/>
      <c r="K6403"/>
      <c r="L6403"/>
    </row>
    <row r="6404" spans="8:12">
      <c r="H6404"/>
      <c r="I6404"/>
      <c r="J6404"/>
      <c r="K6404"/>
      <c r="L6404"/>
    </row>
    <row r="6405" spans="8:12">
      <c r="H6405"/>
      <c r="I6405"/>
      <c r="J6405"/>
      <c r="K6405"/>
      <c r="L6405"/>
    </row>
    <row r="6406" spans="8:12">
      <c r="H6406"/>
      <c r="I6406"/>
      <c r="J6406"/>
      <c r="K6406"/>
      <c r="L6406"/>
    </row>
    <row r="6407" spans="8:12">
      <c r="H6407"/>
      <c r="I6407"/>
      <c r="J6407"/>
      <c r="K6407"/>
      <c r="L6407"/>
    </row>
    <row r="6408" spans="8:12">
      <c r="H6408"/>
      <c r="I6408"/>
      <c r="J6408"/>
      <c r="K6408"/>
      <c r="L6408"/>
    </row>
    <row r="6409" spans="8:12">
      <c r="H6409"/>
      <c r="I6409"/>
      <c r="J6409"/>
      <c r="K6409"/>
      <c r="L6409"/>
    </row>
    <row r="6410" spans="8:12">
      <c r="H6410"/>
      <c r="I6410"/>
      <c r="J6410"/>
      <c r="K6410"/>
      <c r="L6410"/>
    </row>
    <row r="6411" spans="8:12">
      <c r="H6411"/>
      <c r="I6411"/>
      <c r="J6411"/>
      <c r="K6411"/>
      <c r="L6411"/>
    </row>
    <row r="6412" spans="8:12">
      <c r="H6412"/>
      <c r="I6412"/>
      <c r="J6412"/>
      <c r="K6412"/>
      <c r="L6412"/>
    </row>
    <row r="6413" spans="8:12">
      <c r="H6413"/>
      <c r="I6413"/>
      <c r="J6413"/>
      <c r="K6413"/>
      <c r="L6413"/>
    </row>
    <row r="6414" spans="8:12">
      <c r="H6414"/>
      <c r="I6414"/>
      <c r="J6414"/>
      <c r="K6414"/>
      <c r="L6414"/>
    </row>
    <row r="6415" spans="8:12">
      <c r="H6415"/>
      <c r="I6415"/>
      <c r="J6415"/>
      <c r="K6415"/>
      <c r="L6415"/>
    </row>
    <row r="6416" spans="8:12">
      <c r="H6416"/>
      <c r="I6416"/>
      <c r="J6416"/>
      <c r="K6416"/>
      <c r="L6416"/>
    </row>
    <row r="6417" spans="8:12">
      <c r="H6417"/>
      <c r="I6417"/>
      <c r="J6417"/>
      <c r="K6417"/>
      <c r="L6417"/>
    </row>
    <row r="6418" spans="8:12">
      <c r="H6418"/>
      <c r="I6418"/>
      <c r="J6418"/>
      <c r="K6418"/>
      <c r="L6418"/>
    </row>
    <row r="6419" spans="8:12">
      <c r="H6419"/>
      <c r="I6419"/>
      <c r="J6419"/>
      <c r="K6419"/>
      <c r="L6419"/>
    </row>
    <row r="6420" spans="8:12">
      <c r="H6420"/>
      <c r="I6420"/>
      <c r="J6420"/>
      <c r="K6420"/>
      <c r="L6420"/>
    </row>
    <row r="6421" spans="8:12">
      <c r="H6421"/>
      <c r="I6421"/>
      <c r="J6421"/>
      <c r="K6421"/>
      <c r="L6421"/>
    </row>
    <row r="6422" spans="8:12">
      <c r="H6422"/>
      <c r="I6422"/>
      <c r="J6422"/>
      <c r="K6422"/>
      <c r="L6422"/>
    </row>
    <row r="6423" spans="8:12">
      <c r="H6423"/>
      <c r="I6423"/>
      <c r="J6423"/>
      <c r="K6423"/>
      <c r="L6423"/>
    </row>
    <row r="6424" spans="8:12">
      <c r="H6424"/>
      <c r="I6424"/>
      <c r="J6424"/>
      <c r="K6424"/>
      <c r="L6424"/>
    </row>
    <row r="6425" spans="8:12">
      <c r="H6425"/>
      <c r="I6425"/>
      <c r="J6425"/>
      <c r="K6425"/>
      <c r="L6425"/>
    </row>
    <row r="6426" spans="8:12">
      <c r="H6426"/>
      <c r="I6426"/>
      <c r="J6426"/>
      <c r="K6426"/>
      <c r="L6426"/>
    </row>
    <row r="6427" spans="8:12">
      <c r="H6427"/>
      <c r="I6427"/>
      <c r="J6427"/>
      <c r="K6427"/>
      <c r="L6427"/>
    </row>
    <row r="6428" spans="8:12">
      <c r="H6428"/>
      <c r="I6428"/>
      <c r="J6428"/>
      <c r="K6428"/>
      <c r="L6428"/>
    </row>
    <row r="6429" spans="8:12">
      <c r="H6429"/>
      <c r="I6429"/>
      <c r="J6429"/>
      <c r="K6429"/>
      <c r="L6429"/>
    </row>
    <row r="6430" spans="8:12">
      <c r="H6430"/>
      <c r="I6430"/>
      <c r="J6430"/>
      <c r="K6430"/>
      <c r="L6430"/>
    </row>
    <row r="6431" spans="8:12">
      <c r="H6431"/>
      <c r="I6431"/>
      <c r="J6431"/>
      <c r="K6431"/>
      <c r="L6431"/>
    </row>
    <row r="6432" spans="8:12">
      <c r="H6432"/>
      <c r="I6432"/>
      <c r="J6432"/>
      <c r="K6432"/>
      <c r="L6432"/>
    </row>
    <row r="6433" spans="8:12">
      <c r="H6433"/>
      <c r="I6433"/>
      <c r="J6433"/>
      <c r="K6433"/>
      <c r="L6433"/>
    </row>
    <row r="6434" spans="8:12">
      <c r="H6434"/>
      <c r="I6434"/>
      <c r="J6434"/>
      <c r="K6434"/>
      <c r="L6434"/>
    </row>
    <row r="6435" spans="8:12">
      <c r="H6435"/>
      <c r="I6435"/>
      <c r="J6435"/>
      <c r="K6435"/>
      <c r="L6435"/>
    </row>
    <row r="6436" spans="8:12">
      <c r="H6436"/>
      <c r="I6436"/>
      <c r="J6436"/>
      <c r="K6436"/>
      <c r="L6436"/>
    </row>
    <row r="6437" spans="8:12">
      <c r="H6437"/>
      <c r="I6437"/>
      <c r="J6437"/>
      <c r="K6437"/>
      <c r="L6437"/>
    </row>
    <row r="6438" spans="8:12">
      <c r="H6438"/>
      <c r="I6438"/>
      <c r="J6438"/>
      <c r="K6438"/>
      <c r="L6438"/>
    </row>
    <row r="6439" spans="8:12">
      <c r="H6439"/>
      <c r="I6439"/>
      <c r="J6439"/>
      <c r="K6439"/>
      <c r="L6439"/>
    </row>
    <row r="6440" spans="8:12">
      <c r="H6440"/>
      <c r="I6440"/>
      <c r="J6440"/>
      <c r="K6440"/>
      <c r="L6440"/>
    </row>
    <row r="6441" spans="8:12">
      <c r="H6441"/>
      <c r="I6441"/>
      <c r="J6441"/>
      <c r="K6441"/>
      <c r="L6441"/>
    </row>
    <row r="6442" spans="8:12">
      <c r="H6442"/>
      <c r="I6442"/>
      <c r="J6442"/>
      <c r="K6442"/>
      <c r="L6442"/>
    </row>
    <row r="6443" spans="8:12">
      <c r="H6443"/>
      <c r="I6443"/>
      <c r="J6443"/>
      <c r="K6443"/>
      <c r="L6443"/>
    </row>
    <row r="6444" spans="8:12">
      <c r="H6444"/>
      <c r="I6444"/>
      <c r="J6444"/>
      <c r="K6444"/>
      <c r="L6444"/>
    </row>
    <row r="6445" spans="8:12">
      <c r="H6445"/>
      <c r="I6445"/>
      <c r="J6445"/>
      <c r="K6445"/>
      <c r="L6445"/>
    </row>
    <row r="6446" spans="8:12">
      <c r="H6446"/>
      <c r="I6446"/>
      <c r="J6446"/>
      <c r="K6446"/>
      <c r="L6446"/>
    </row>
    <row r="6447" spans="8:12">
      <c r="H6447"/>
      <c r="I6447"/>
      <c r="J6447"/>
      <c r="K6447"/>
      <c r="L6447"/>
    </row>
    <row r="6448" spans="8:12">
      <c r="H6448"/>
      <c r="I6448"/>
      <c r="J6448"/>
      <c r="K6448"/>
      <c r="L6448"/>
    </row>
    <row r="6449" spans="8:12">
      <c r="H6449"/>
      <c r="I6449"/>
      <c r="J6449"/>
      <c r="K6449"/>
      <c r="L6449"/>
    </row>
    <row r="6450" spans="8:12">
      <c r="H6450"/>
      <c r="I6450"/>
      <c r="J6450"/>
      <c r="K6450"/>
      <c r="L6450"/>
    </row>
    <row r="6451" spans="8:12">
      <c r="H6451"/>
      <c r="I6451"/>
      <c r="J6451"/>
      <c r="K6451"/>
      <c r="L6451"/>
    </row>
    <row r="6452" spans="8:12">
      <c r="H6452"/>
      <c r="I6452"/>
      <c r="J6452"/>
      <c r="K6452"/>
      <c r="L6452"/>
    </row>
    <row r="6453" spans="8:12">
      <c r="H6453"/>
      <c r="I6453"/>
      <c r="J6453"/>
      <c r="K6453"/>
      <c r="L6453"/>
    </row>
    <row r="6454" spans="8:12">
      <c r="H6454"/>
      <c r="I6454"/>
      <c r="J6454"/>
      <c r="K6454"/>
      <c r="L6454"/>
    </row>
    <row r="6455" spans="8:12">
      <c r="H6455"/>
      <c r="I6455"/>
      <c r="J6455"/>
      <c r="K6455"/>
      <c r="L6455"/>
    </row>
    <row r="6456" spans="8:12">
      <c r="H6456"/>
      <c r="I6456"/>
      <c r="J6456"/>
      <c r="K6456"/>
      <c r="L6456"/>
    </row>
    <row r="6457" spans="8:12">
      <c r="H6457"/>
      <c r="I6457"/>
      <c r="J6457"/>
      <c r="K6457"/>
      <c r="L6457"/>
    </row>
    <row r="6458" spans="8:12">
      <c r="H6458"/>
      <c r="I6458"/>
      <c r="J6458"/>
      <c r="K6458"/>
      <c r="L6458"/>
    </row>
    <row r="6459" spans="8:12">
      <c r="H6459"/>
      <c r="I6459"/>
      <c r="J6459"/>
      <c r="K6459"/>
      <c r="L6459"/>
    </row>
    <row r="6460" spans="8:12">
      <c r="H6460"/>
      <c r="I6460"/>
      <c r="J6460"/>
      <c r="K6460"/>
      <c r="L6460"/>
    </row>
    <row r="6461" spans="8:12">
      <c r="H6461"/>
      <c r="I6461"/>
      <c r="J6461"/>
      <c r="K6461"/>
      <c r="L6461"/>
    </row>
    <row r="6462" spans="8:12">
      <c r="H6462"/>
      <c r="I6462"/>
      <c r="J6462"/>
      <c r="K6462"/>
      <c r="L6462"/>
    </row>
    <row r="6463" spans="8:12">
      <c r="H6463"/>
      <c r="I6463"/>
      <c r="J6463"/>
      <c r="K6463"/>
      <c r="L6463"/>
    </row>
    <row r="6464" spans="8:12">
      <c r="H6464"/>
      <c r="I6464"/>
      <c r="J6464"/>
      <c r="K6464"/>
      <c r="L6464"/>
    </row>
    <row r="6465" spans="8:12">
      <c r="H6465"/>
      <c r="I6465"/>
      <c r="J6465"/>
      <c r="K6465"/>
      <c r="L6465"/>
    </row>
    <row r="6466" spans="8:12">
      <c r="H6466"/>
      <c r="I6466"/>
      <c r="J6466"/>
      <c r="K6466"/>
      <c r="L6466"/>
    </row>
    <row r="6467" spans="8:12">
      <c r="H6467"/>
      <c r="I6467"/>
      <c r="J6467"/>
      <c r="K6467"/>
      <c r="L6467"/>
    </row>
    <row r="6468" spans="8:12">
      <c r="H6468"/>
      <c r="I6468"/>
      <c r="J6468"/>
      <c r="K6468"/>
      <c r="L6468"/>
    </row>
    <row r="6469" spans="8:12">
      <c r="H6469"/>
      <c r="I6469"/>
      <c r="J6469"/>
      <c r="K6469"/>
      <c r="L6469"/>
    </row>
    <row r="6470" spans="8:12">
      <c r="H6470"/>
      <c r="I6470"/>
      <c r="J6470"/>
      <c r="K6470"/>
      <c r="L6470"/>
    </row>
    <row r="6471" spans="8:12">
      <c r="H6471"/>
      <c r="I6471"/>
      <c r="J6471"/>
      <c r="K6471"/>
      <c r="L6471"/>
    </row>
    <row r="6472" spans="8:12">
      <c r="H6472"/>
      <c r="I6472"/>
      <c r="J6472"/>
      <c r="K6472"/>
      <c r="L6472"/>
    </row>
    <row r="6473" spans="8:12">
      <c r="H6473"/>
      <c r="I6473"/>
      <c r="J6473"/>
      <c r="K6473"/>
      <c r="L6473"/>
    </row>
    <row r="6474" spans="8:12">
      <c r="H6474"/>
      <c r="I6474"/>
      <c r="J6474"/>
      <c r="K6474"/>
      <c r="L6474"/>
    </row>
    <row r="6475" spans="8:12">
      <c r="H6475"/>
      <c r="I6475"/>
      <c r="J6475"/>
      <c r="K6475"/>
      <c r="L6475"/>
    </row>
    <row r="6476" spans="8:12">
      <c r="H6476"/>
      <c r="I6476"/>
      <c r="J6476"/>
      <c r="K6476"/>
      <c r="L6476"/>
    </row>
    <row r="6477" spans="8:12">
      <c r="H6477"/>
      <c r="I6477"/>
      <c r="J6477"/>
      <c r="K6477"/>
      <c r="L6477"/>
    </row>
    <row r="6478" spans="8:12">
      <c r="H6478"/>
      <c r="I6478"/>
      <c r="J6478"/>
      <c r="K6478"/>
      <c r="L6478"/>
    </row>
    <row r="6479" spans="8:12">
      <c r="H6479"/>
      <c r="I6479"/>
      <c r="J6479"/>
      <c r="K6479"/>
      <c r="L6479"/>
    </row>
    <row r="6480" spans="8:12">
      <c r="H6480"/>
      <c r="I6480"/>
      <c r="J6480"/>
      <c r="K6480"/>
      <c r="L6480"/>
    </row>
    <row r="6481" spans="8:12">
      <c r="H6481"/>
      <c r="I6481"/>
      <c r="J6481"/>
      <c r="K6481"/>
      <c r="L6481"/>
    </row>
    <row r="6482" spans="8:12">
      <c r="H6482"/>
      <c r="I6482"/>
      <c r="J6482"/>
      <c r="K6482"/>
      <c r="L6482"/>
    </row>
    <row r="6483" spans="8:12">
      <c r="H6483"/>
      <c r="I6483"/>
      <c r="J6483"/>
      <c r="K6483"/>
      <c r="L6483"/>
    </row>
    <row r="6484" spans="8:12">
      <c r="H6484"/>
      <c r="I6484"/>
      <c r="J6484"/>
      <c r="K6484"/>
      <c r="L6484"/>
    </row>
    <row r="6485" spans="8:12">
      <c r="H6485"/>
      <c r="I6485"/>
      <c r="J6485"/>
      <c r="K6485"/>
      <c r="L6485"/>
    </row>
    <row r="6486" spans="8:12">
      <c r="H6486"/>
      <c r="I6486"/>
      <c r="J6486"/>
      <c r="K6486"/>
      <c r="L6486"/>
    </row>
    <row r="6487" spans="8:12">
      <c r="H6487"/>
      <c r="I6487"/>
      <c r="J6487"/>
      <c r="K6487"/>
      <c r="L6487"/>
    </row>
    <row r="6488" spans="8:12">
      <c r="H6488"/>
      <c r="I6488"/>
      <c r="J6488"/>
      <c r="K6488"/>
      <c r="L6488"/>
    </row>
    <row r="6489" spans="8:12">
      <c r="H6489"/>
      <c r="I6489"/>
      <c r="J6489"/>
      <c r="K6489"/>
      <c r="L6489"/>
    </row>
    <row r="6490" spans="8:12">
      <c r="H6490"/>
      <c r="I6490"/>
      <c r="J6490"/>
      <c r="K6490"/>
      <c r="L6490"/>
    </row>
    <row r="6491" spans="8:12">
      <c r="H6491"/>
      <c r="I6491"/>
      <c r="J6491"/>
      <c r="K6491"/>
      <c r="L6491"/>
    </row>
    <row r="6492" spans="8:12">
      <c r="H6492"/>
      <c r="I6492"/>
      <c r="J6492"/>
      <c r="K6492"/>
      <c r="L6492"/>
    </row>
    <row r="6493" spans="8:12">
      <c r="H6493"/>
      <c r="I6493"/>
      <c r="J6493"/>
      <c r="K6493"/>
      <c r="L6493"/>
    </row>
    <row r="6494" spans="8:12">
      <c r="H6494"/>
      <c r="I6494"/>
      <c r="J6494"/>
      <c r="K6494"/>
      <c r="L6494"/>
    </row>
    <row r="6495" spans="8:12">
      <c r="H6495"/>
      <c r="I6495"/>
      <c r="J6495"/>
      <c r="K6495"/>
      <c r="L6495"/>
    </row>
    <row r="6496" spans="8:12">
      <c r="H6496"/>
      <c r="I6496"/>
      <c r="J6496"/>
      <c r="K6496"/>
      <c r="L6496"/>
    </row>
    <row r="6497" spans="8:12">
      <c r="H6497"/>
      <c r="I6497"/>
      <c r="J6497"/>
      <c r="K6497"/>
      <c r="L6497"/>
    </row>
    <row r="6498" spans="8:12">
      <c r="H6498"/>
      <c r="I6498"/>
      <c r="J6498"/>
      <c r="K6498"/>
      <c r="L6498"/>
    </row>
    <row r="6499" spans="8:12">
      <c r="H6499"/>
      <c r="I6499"/>
      <c r="J6499"/>
      <c r="K6499"/>
      <c r="L6499"/>
    </row>
    <row r="6500" spans="8:12">
      <c r="H6500"/>
      <c r="I6500"/>
      <c r="J6500"/>
      <c r="K6500"/>
      <c r="L6500"/>
    </row>
    <row r="6501" spans="8:12">
      <c r="H6501"/>
      <c r="I6501"/>
      <c r="J6501"/>
      <c r="K6501"/>
      <c r="L6501"/>
    </row>
    <row r="6502" spans="8:12">
      <c r="H6502"/>
      <c r="I6502"/>
      <c r="J6502"/>
      <c r="K6502"/>
      <c r="L6502"/>
    </row>
    <row r="6503" spans="8:12">
      <c r="H6503"/>
      <c r="I6503"/>
      <c r="J6503"/>
      <c r="K6503"/>
      <c r="L6503"/>
    </row>
    <row r="6504" spans="8:12">
      <c r="H6504"/>
      <c r="I6504"/>
      <c r="J6504"/>
      <c r="K6504"/>
      <c r="L6504"/>
    </row>
    <row r="6505" spans="8:12">
      <c r="H6505"/>
      <c r="I6505"/>
      <c r="J6505"/>
      <c r="K6505"/>
      <c r="L6505"/>
    </row>
    <row r="6506" spans="8:12">
      <c r="H6506"/>
      <c r="I6506"/>
      <c r="J6506"/>
      <c r="K6506"/>
      <c r="L6506"/>
    </row>
    <row r="6507" spans="8:12">
      <c r="H6507"/>
      <c r="I6507"/>
      <c r="J6507"/>
      <c r="K6507"/>
      <c r="L6507"/>
    </row>
    <row r="6508" spans="8:12">
      <c r="H6508"/>
      <c r="I6508"/>
      <c r="J6508"/>
      <c r="K6508"/>
      <c r="L6508"/>
    </row>
    <row r="6509" spans="8:12">
      <c r="H6509"/>
      <c r="I6509"/>
      <c r="J6509"/>
      <c r="K6509"/>
      <c r="L6509"/>
    </row>
    <row r="6510" spans="8:12">
      <c r="H6510"/>
      <c r="I6510"/>
      <c r="J6510"/>
      <c r="K6510"/>
      <c r="L6510"/>
    </row>
    <row r="6511" spans="8:12">
      <c r="H6511"/>
      <c r="I6511"/>
      <c r="J6511"/>
      <c r="K6511"/>
      <c r="L6511"/>
    </row>
    <row r="6512" spans="8:12">
      <c r="H6512"/>
      <c r="I6512"/>
      <c r="J6512"/>
      <c r="K6512"/>
      <c r="L6512"/>
    </row>
    <row r="6513" spans="8:12">
      <c r="H6513"/>
      <c r="I6513"/>
      <c r="J6513"/>
      <c r="K6513"/>
      <c r="L6513"/>
    </row>
    <row r="6514" spans="8:12">
      <c r="H6514"/>
      <c r="I6514"/>
      <c r="J6514"/>
      <c r="K6514"/>
      <c r="L6514"/>
    </row>
    <row r="6515" spans="8:12">
      <c r="H6515"/>
      <c r="I6515"/>
      <c r="J6515"/>
      <c r="K6515"/>
      <c r="L6515"/>
    </row>
    <row r="6516" spans="8:12">
      <c r="H6516"/>
      <c r="I6516"/>
      <c r="J6516"/>
      <c r="K6516"/>
      <c r="L6516"/>
    </row>
    <row r="6517" spans="8:12">
      <c r="H6517"/>
      <c r="I6517"/>
      <c r="J6517"/>
      <c r="K6517"/>
      <c r="L6517"/>
    </row>
    <row r="6518" spans="8:12">
      <c r="H6518"/>
      <c r="I6518"/>
      <c r="J6518"/>
      <c r="K6518"/>
      <c r="L6518"/>
    </row>
    <row r="6519" spans="8:12">
      <c r="H6519"/>
      <c r="I6519"/>
      <c r="J6519"/>
      <c r="K6519"/>
      <c r="L6519"/>
    </row>
    <row r="6520" spans="8:12">
      <c r="H6520"/>
      <c r="I6520"/>
      <c r="J6520"/>
      <c r="K6520"/>
      <c r="L6520"/>
    </row>
    <row r="6521" spans="8:12">
      <c r="H6521"/>
      <c r="I6521"/>
      <c r="J6521"/>
      <c r="K6521"/>
      <c r="L6521"/>
    </row>
    <row r="6522" spans="8:12">
      <c r="H6522"/>
      <c r="I6522"/>
      <c r="J6522"/>
      <c r="K6522"/>
      <c r="L6522"/>
    </row>
    <row r="6523" spans="8:12">
      <c r="H6523"/>
      <c r="I6523"/>
      <c r="J6523"/>
      <c r="K6523"/>
      <c r="L6523"/>
    </row>
    <row r="6524" spans="8:12">
      <c r="H6524"/>
      <c r="I6524"/>
      <c r="J6524"/>
      <c r="K6524"/>
      <c r="L6524"/>
    </row>
    <row r="6525" spans="8:12">
      <c r="H6525"/>
      <c r="I6525"/>
      <c r="J6525"/>
      <c r="K6525"/>
      <c r="L6525"/>
    </row>
    <row r="6526" spans="8:12">
      <c r="H6526"/>
      <c r="I6526"/>
      <c r="J6526"/>
      <c r="K6526"/>
      <c r="L6526"/>
    </row>
    <row r="6527" spans="8:12">
      <c r="H6527"/>
      <c r="I6527"/>
      <c r="J6527"/>
      <c r="K6527"/>
      <c r="L6527"/>
    </row>
    <row r="6528" spans="8:12">
      <c r="H6528"/>
      <c r="I6528"/>
      <c r="J6528"/>
      <c r="K6528"/>
      <c r="L6528"/>
    </row>
    <row r="6529" spans="8:12">
      <c r="H6529"/>
      <c r="I6529"/>
      <c r="J6529"/>
      <c r="K6529"/>
      <c r="L6529"/>
    </row>
    <row r="6530" spans="8:12">
      <c r="H6530"/>
      <c r="I6530"/>
      <c r="J6530"/>
      <c r="K6530"/>
      <c r="L6530"/>
    </row>
    <row r="6531" spans="8:12">
      <c r="H6531"/>
      <c r="I6531"/>
      <c r="J6531"/>
      <c r="K6531"/>
      <c r="L6531"/>
    </row>
    <row r="6532" spans="8:12">
      <c r="H6532"/>
      <c r="I6532"/>
      <c r="J6532"/>
      <c r="K6532"/>
      <c r="L6532"/>
    </row>
    <row r="6533" spans="8:12">
      <c r="H6533"/>
      <c r="I6533"/>
      <c r="J6533"/>
      <c r="K6533"/>
      <c r="L6533"/>
    </row>
    <row r="6534" spans="8:12">
      <c r="H6534"/>
      <c r="I6534"/>
      <c r="J6534"/>
      <c r="K6534"/>
      <c r="L6534"/>
    </row>
    <row r="6535" spans="8:12">
      <c r="H6535"/>
      <c r="I6535"/>
      <c r="J6535"/>
      <c r="K6535"/>
      <c r="L6535"/>
    </row>
    <row r="6536" spans="8:12">
      <c r="H6536"/>
      <c r="I6536"/>
      <c r="J6536"/>
      <c r="K6536"/>
      <c r="L6536"/>
    </row>
    <row r="6537" spans="8:12">
      <c r="H6537"/>
      <c r="I6537"/>
      <c r="J6537"/>
      <c r="K6537"/>
      <c r="L6537"/>
    </row>
    <row r="6538" spans="8:12">
      <c r="H6538"/>
      <c r="I6538"/>
      <c r="J6538"/>
      <c r="K6538"/>
      <c r="L6538"/>
    </row>
    <row r="6539" spans="8:12">
      <c r="H6539"/>
      <c r="I6539"/>
      <c r="J6539"/>
      <c r="K6539"/>
      <c r="L6539"/>
    </row>
    <row r="6540" spans="8:12">
      <c r="H6540"/>
      <c r="I6540"/>
      <c r="J6540"/>
      <c r="K6540"/>
      <c r="L6540"/>
    </row>
    <row r="6541" spans="8:12">
      <c r="H6541"/>
      <c r="I6541"/>
      <c r="J6541"/>
      <c r="K6541"/>
      <c r="L6541"/>
    </row>
    <row r="6542" spans="8:12">
      <c r="H6542"/>
      <c r="I6542"/>
      <c r="J6542"/>
      <c r="K6542"/>
      <c r="L6542"/>
    </row>
    <row r="6543" spans="8:12">
      <c r="H6543"/>
      <c r="I6543"/>
      <c r="J6543"/>
      <c r="K6543"/>
      <c r="L6543"/>
    </row>
    <row r="6544" spans="8:12">
      <c r="H6544"/>
      <c r="I6544"/>
      <c r="J6544"/>
      <c r="K6544"/>
      <c r="L6544"/>
    </row>
    <row r="6545" spans="8:12">
      <c r="H6545"/>
      <c r="I6545"/>
      <c r="J6545"/>
      <c r="K6545"/>
      <c r="L6545"/>
    </row>
    <row r="6546" spans="8:12">
      <c r="H6546"/>
      <c r="I6546"/>
      <c r="J6546"/>
      <c r="K6546"/>
      <c r="L6546"/>
    </row>
    <row r="6547" spans="8:12">
      <c r="H6547"/>
      <c r="I6547"/>
      <c r="J6547"/>
      <c r="K6547"/>
      <c r="L6547"/>
    </row>
    <row r="6548" spans="8:12">
      <c r="H6548"/>
      <c r="I6548"/>
      <c r="J6548"/>
      <c r="K6548"/>
      <c r="L6548"/>
    </row>
    <row r="6549" spans="8:12">
      <c r="H6549"/>
      <c r="I6549"/>
      <c r="J6549"/>
      <c r="K6549"/>
      <c r="L6549"/>
    </row>
    <row r="6550" spans="8:12">
      <c r="H6550"/>
      <c r="I6550"/>
      <c r="J6550"/>
      <c r="K6550"/>
      <c r="L6550"/>
    </row>
    <row r="6551" spans="8:12">
      <c r="H6551"/>
      <c r="I6551"/>
      <c r="J6551"/>
      <c r="K6551"/>
      <c r="L6551"/>
    </row>
    <row r="6552" spans="8:12">
      <c r="H6552"/>
      <c r="I6552"/>
      <c r="J6552"/>
      <c r="K6552"/>
      <c r="L6552"/>
    </row>
    <row r="6553" spans="8:12">
      <c r="H6553"/>
      <c r="I6553"/>
      <c r="J6553"/>
      <c r="K6553"/>
      <c r="L6553"/>
    </row>
    <row r="6554" spans="8:12">
      <c r="H6554"/>
      <c r="I6554"/>
      <c r="J6554"/>
      <c r="K6554"/>
      <c r="L6554"/>
    </row>
    <row r="6555" spans="8:12">
      <c r="H6555"/>
      <c r="I6555"/>
      <c r="J6555"/>
      <c r="K6555"/>
      <c r="L6555"/>
    </row>
    <row r="6556" spans="8:12">
      <c r="H6556"/>
      <c r="I6556"/>
      <c r="J6556"/>
      <c r="K6556"/>
      <c r="L6556"/>
    </row>
    <row r="6557" spans="8:12">
      <c r="H6557"/>
      <c r="I6557"/>
      <c r="J6557"/>
      <c r="K6557"/>
      <c r="L6557"/>
    </row>
    <row r="6558" spans="8:12">
      <c r="H6558"/>
      <c r="I6558"/>
      <c r="J6558"/>
      <c r="K6558"/>
      <c r="L6558"/>
    </row>
    <row r="6559" spans="8:12">
      <c r="H6559"/>
      <c r="I6559"/>
      <c r="J6559"/>
      <c r="K6559"/>
      <c r="L6559"/>
    </row>
    <row r="6560" spans="8:12">
      <c r="H6560"/>
      <c r="I6560"/>
      <c r="J6560"/>
      <c r="K6560"/>
      <c r="L6560"/>
    </row>
    <row r="6561" spans="8:12">
      <c r="H6561"/>
      <c r="I6561"/>
      <c r="J6561"/>
      <c r="K6561"/>
      <c r="L6561"/>
    </row>
    <row r="6562" spans="8:12">
      <c r="H6562"/>
      <c r="I6562"/>
      <c r="J6562"/>
      <c r="K6562"/>
      <c r="L6562"/>
    </row>
    <row r="6563" spans="8:12">
      <c r="H6563"/>
      <c r="I6563"/>
      <c r="J6563"/>
      <c r="K6563"/>
      <c r="L6563"/>
    </row>
    <row r="6564" spans="8:12">
      <c r="H6564"/>
      <c r="I6564"/>
      <c r="J6564"/>
      <c r="K6564"/>
      <c r="L6564"/>
    </row>
    <row r="6565" spans="8:12">
      <c r="H6565"/>
      <c r="I6565"/>
      <c r="J6565"/>
      <c r="K6565"/>
      <c r="L6565"/>
    </row>
    <row r="6566" spans="8:12">
      <c r="H6566"/>
      <c r="I6566"/>
      <c r="J6566"/>
      <c r="K6566"/>
      <c r="L6566"/>
    </row>
    <row r="6567" spans="8:12">
      <c r="H6567"/>
      <c r="I6567"/>
      <c r="J6567"/>
      <c r="K6567"/>
      <c r="L6567"/>
    </row>
    <row r="6568" spans="8:12">
      <c r="H6568"/>
      <c r="I6568"/>
      <c r="J6568"/>
      <c r="K6568"/>
      <c r="L6568"/>
    </row>
    <row r="6569" spans="8:12">
      <c r="H6569"/>
      <c r="I6569"/>
      <c r="J6569"/>
      <c r="K6569"/>
      <c r="L6569"/>
    </row>
    <row r="6570" spans="8:12">
      <c r="H6570"/>
      <c r="I6570"/>
      <c r="J6570"/>
      <c r="K6570"/>
      <c r="L6570"/>
    </row>
    <row r="6571" spans="8:12">
      <c r="H6571"/>
      <c r="I6571"/>
      <c r="J6571"/>
      <c r="K6571"/>
      <c r="L6571"/>
    </row>
    <row r="6572" spans="8:12">
      <c r="H6572"/>
      <c r="I6572"/>
      <c r="J6572"/>
      <c r="K6572"/>
      <c r="L6572"/>
    </row>
    <row r="6573" spans="8:12">
      <c r="H6573"/>
      <c r="I6573"/>
      <c r="J6573"/>
      <c r="K6573"/>
      <c r="L6573"/>
    </row>
    <row r="6574" spans="8:12">
      <c r="H6574"/>
      <c r="I6574"/>
      <c r="J6574"/>
      <c r="K6574"/>
      <c r="L6574"/>
    </row>
    <row r="6575" spans="8:12">
      <c r="H6575"/>
      <c r="I6575"/>
      <c r="J6575"/>
      <c r="K6575"/>
      <c r="L6575"/>
    </row>
    <row r="6576" spans="8:12">
      <c r="H6576"/>
      <c r="I6576"/>
      <c r="J6576"/>
      <c r="K6576"/>
      <c r="L6576"/>
    </row>
    <row r="6577" spans="8:12">
      <c r="H6577"/>
      <c r="I6577"/>
      <c r="J6577"/>
      <c r="K6577"/>
      <c r="L6577"/>
    </row>
    <row r="6578" spans="8:12">
      <c r="H6578"/>
      <c r="I6578"/>
      <c r="J6578"/>
      <c r="K6578"/>
      <c r="L6578"/>
    </row>
    <row r="6579" spans="8:12">
      <c r="H6579"/>
      <c r="I6579"/>
      <c r="J6579"/>
      <c r="K6579"/>
      <c r="L6579"/>
    </row>
    <row r="6580" spans="8:12">
      <c r="H6580"/>
      <c r="I6580"/>
      <c r="J6580"/>
      <c r="K6580"/>
      <c r="L6580"/>
    </row>
    <row r="6581" spans="8:12">
      <c r="H6581"/>
      <c r="I6581"/>
      <c r="J6581"/>
      <c r="K6581"/>
      <c r="L6581"/>
    </row>
    <row r="6582" spans="8:12">
      <c r="H6582"/>
      <c r="I6582"/>
      <c r="J6582"/>
      <c r="K6582"/>
      <c r="L6582"/>
    </row>
    <row r="6583" spans="8:12">
      <c r="H6583"/>
      <c r="I6583"/>
      <c r="J6583"/>
      <c r="K6583"/>
      <c r="L6583"/>
    </row>
    <row r="6584" spans="8:12">
      <c r="H6584"/>
      <c r="I6584"/>
      <c r="J6584"/>
      <c r="K6584"/>
      <c r="L6584"/>
    </row>
    <row r="6585" spans="8:12">
      <c r="H6585"/>
      <c r="I6585"/>
      <c r="J6585"/>
      <c r="K6585"/>
      <c r="L6585"/>
    </row>
    <row r="6586" spans="8:12">
      <c r="H6586"/>
      <c r="I6586"/>
      <c r="J6586"/>
      <c r="K6586"/>
      <c r="L6586"/>
    </row>
    <row r="6587" spans="8:12">
      <c r="H6587"/>
      <c r="I6587"/>
      <c r="J6587"/>
      <c r="K6587"/>
      <c r="L6587"/>
    </row>
    <row r="6588" spans="8:12">
      <c r="H6588"/>
      <c r="I6588"/>
      <c r="J6588"/>
      <c r="K6588"/>
      <c r="L6588"/>
    </row>
    <row r="6589" spans="8:12">
      <c r="H6589"/>
      <c r="I6589"/>
      <c r="J6589"/>
      <c r="K6589"/>
      <c r="L6589"/>
    </row>
    <row r="6590" spans="8:12">
      <c r="H6590"/>
      <c r="I6590"/>
      <c r="J6590"/>
      <c r="K6590"/>
      <c r="L6590"/>
    </row>
    <row r="6591" spans="8:12">
      <c r="H6591"/>
      <c r="I6591"/>
      <c r="J6591"/>
      <c r="K6591"/>
      <c r="L6591"/>
    </row>
    <row r="6592" spans="8:12">
      <c r="H6592"/>
      <c r="I6592"/>
      <c r="J6592"/>
      <c r="K6592"/>
      <c r="L6592"/>
    </row>
    <row r="6593" spans="8:12">
      <c r="H6593"/>
      <c r="I6593"/>
      <c r="J6593"/>
      <c r="K6593"/>
      <c r="L6593"/>
    </row>
    <row r="6594" spans="8:12">
      <c r="H6594"/>
      <c r="I6594"/>
      <c r="J6594"/>
      <c r="K6594"/>
      <c r="L6594"/>
    </row>
    <row r="6595" spans="8:12">
      <c r="H6595"/>
      <c r="I6595"/>
      <c r="J6595"/>
      <c r="K6595"/>
      <c r="L6595"/>
    </row>
    <row r="6596" spans="8:12">
      <c r="H6596"/>
      <c r="I6596"/>
      <c r="J6596"/>
      <c r="K6596"/>
      <c r="L6596"/>
    </row>
    <row r="6597" spans="8:12">
      <c r="H6597"/>
      <c r="I6597"/>
      <c r="J6597"/>
      <c r="K6597"/>
      <c r="L6597"/>
    </row>
    <row r="6598" spans="8:12">
      <c r="H6598"/>
      <c r="I6598"/>
      <c r="J6598"/>
      <c r="K6598"/>
      <c r="L6598"/>
    </row>
    <row r="6599" spans="8:12">
      <c r="H6599"/>
      <c r="I6599"/>
      <c r="J6599"/>
      <c r="K6599"/>
      <c r="L6599"/>
    </row>
    <row r="6600" spans="8:12">
      <c r="H6600"/>
      <c r="I6600"/>
      <c r="J6600"/>
      <c r="K6600"/>
      <c r="L6600"/>
    </row>
    <row r="6601" spans="8:12">
      <c r="H6601"/>
      <c r="I6601"/>
      <c r="J6601"/>
      <c r="K6601"/>
      <c r="L6601"/>
    </row>
    <row r="6602" spans="8:12">
      <c r="H6602"/>
      <c r="I6602"/>
      <c r="J6602"/>
      <c r="K6602"/>
      <c r="L6602"/>
    </row>
    <row r="6603" spans="8:12">
      <c r="H6603"/>
      <c r="I6603"/>
      <c r="J6603"/>
      <c r="K6603"/>
      <c r="L6603"/>
    </row>
    <row r="6604" spans="8:12">
      <c r="H6604"/>
      <c r="I6604"/>
      <c r="J6604"/>
      <c r="K6604"/>
      <c r="L6604"/>
    </row>
    <row r="6605" spans="8:12">
      <c r="H6605"/>
      <c r="I6605"/>
      <c r="J6605"/>
      <c r="K6605"/>
      <c r="L6605"/>
    </row>
    <row r="6606" spans="8:12">
      <c r="H6606"/>
      <c r="I6606"/>
      <c r="J6606"/>
      <c r="K6606"/>
      <c r="L6606"/>
    </row>
    <row r="6607" spans="8:12">
      <c r="H6607"/>
      <c r="I6607"/>
      <c r="J6607"/>
      <c r="K6607"/>
      <c r="L6607"/>
    </row>
    <row r="6608" spans="8:12">
      <c r="H6608"/>
      <c r="I6608"/>
      <c r="J6608"/>
      <c r="K6608"/>
      <c r="L6608"/>
    </row>
    <row r="6609" spans="8:12">
      <c r="H6609"/>
      <c r="I6609"/>
      <c r="J6609"/>
      <c r="K6609"/>
      <c r="L6609"/>
    </row>
    <row r="6610" spans="8:12">
      <c r="H6610"/>
      <c r="I6610"/>
      <c r="J6610"/>
      <c r="K6610"/>
      <c r="L6610"/>
    </row>
    <row r="6611" spans="8:12">
      <c r="H6611"/>
      <c r="I6611"/>
      <c r="J6611"/>
      <c r="K6611"/>
      <c r="L6611"/>
    </row>
    <row r="6612" spans="8:12">
      <c r="H6612"/>
      <c r="I6612"/>
      <c r="J6612"/>
      <c r="K6612"/>
      <c r="L6612"/>
    </row>
    <row r="6613" spans="8:12">
      <c r="H6613"/>
      <c r="I6613"/>
      <c r="J6613"/>
      <c r="K6613"/>
      <c r="L6613"/>
    </row>
    <row r="6614" spans="8:12">
      <c r="H6614"/>
      <c r="I6614"/>
      <c r="J6614"/>
      <c r="K6614"/>
      <c r="L6614"/>
    </row>
    <row r="6615" spans="8:12">
      <c r="H6615"/>
      <c r="I6615"/>
      <c r="J6615"/>
      <c r="K6615"/>
      <c r="L6615"/>
    </row>
    <row r="6616" spans="8:12">
      <c r="H6616"/>
      <c r="I6616"/>
      <c r="J6616"/>
      <c r="K6616"/>
      <c r="L6616"/>
    </row>
    <row r="6617" spans="8:12">
      <c r="H6617"/>
      <c r="I6617"/>
      <c r="J6617"/>
      <c r="K6617"/>
      <c r="L6617"/>
    </row>
    <row r="6618" spans="8:12">
      <c r="H6618"/>
      <c r="I6618"/>
      <c r="J6618"/>
      <c r="K6618"/>
      <c r="L6618"/>
    </row>
    <row r="6619" spans="8:12">
      <c r="H6619"/>
      <c r="I6619"/>
      <c r="J6619"/>
      <c r="K6619"/>
      <c r="L6619"/>
    </row>
    <row r="6620" spans="8:12">
      <c r="H6620"/>
      <c r="I6620"/>
      <c r="J6620"/>
      <c r="K6620"/>
      <c r="L6620"/>
    </row>
    <row r="6621" spans="8:12">
      <c r="H6621"/>
      <c r="I6621"/>
      <c r="J6621"/>
      <c r="K6621"/>
      <c r="L6621"/>
    </row>
    <row r="6622" spans="8:12">
      <c r="H6622"/>
      <c r="I6622"/>
      <c r="J6622"/>
      <c r="K6622"/>
      <c r="L6622"/>
    </row>
    <row r="6623" spans="8:12">
      <c r="H6623"/>
      <c r="I6623"/>
      <c r="J6623"/>
      <c r="K6623"/>
      <c r="L6623"/>
    </row>
    <row r="6624" spans="8:12">
      <c r="H6624"/>
      <c r="I6624"/>
      <c r="J6624"/>
      <c r="K6624"/>
      <c r="L6624"/>
    </row>
    <row r="6625" spans="8:12">
      <c r="H6625"/>
      <c r="I6625"/>
      <c r="J6625"/>
      <c r="K6625"/>
      <c r="L6625"/>
    </row>
    <row r="6626" spans="8:12">
      <c r="H6626"/>
      <c r="I6626"/>
      <c r="J6626"/>
      <c r="K6626"/>
      <c r="L6626"/>
    </row>
    <row r="6627" spans="8:12">
      <c r="H6627"/>
      <c r="I6627"/>
      <c r="J6627"/>
      <c r="K6627"/>
      <c r="L6627"/>
    </row>
    <row r="6628" spans="8:12">
      <c r="H6628"/>
      <c r="I6628"/>
      <c r="J6628"/>
      <c r="K6628"/>
      <c r="L6628"/>
    </row>
    <row r="6629" spans="8:12">
      <c r="H6629"/>
      <c r="I6629"/>
      <c r="J6629"/>
      <c r="K6629"/>
      <c r="L6629"/>
    </row>
    <row r="6630" spans="8:12">
      <c r="H6630"/>
      <c r="I6630"/>
      <c r="J6630"/>
      <c r="K6630"/>
      <c r="L6630"/>
    </row>
    <row r="6631" spans="8:12">
      <c r="H6631"/>
      <c r="I6631"/>
      <c r="J6631"/>
      <c r="K6631"/>
      <c r="L6631"/>
    </row>
    <row r="6632" spans="8:12">
      <c r="H6632"/>
      <c r="I6632"/>
      <c r="J6632"/>
      <c r="K6632"/>
      <c r="L6632"/>
    </row>
    <row r="6633" spans="8:12">
      <c r="H6633"/>
      <c r="I6633"/>
      <c r="J6633"/>
      <c r="K6633"/>
      <c r="L6633"/>
    </row>
    <row r="6634" spans="8:12">
      <c r="H6634"/>
      <c r="I6634"/>
      <c r="J6634"/>
      <c r="K6634"/>
      <c r="L6634"/>
    </row>
    <row r="6635" spans="8:12">
      <c r="H6635"/>
      <c r="I6635"/>
      <c r="J6635"/>
      <c r="K6635"/>
      <c r="L6635"/>
    </row>
    <row r="6636" spans="8:12">
      <c r="H6636"/>
      <c r="I6636"/>
      <c r="J6636"/>
      <c r="K6636"/>
      <c r="L6636"/>
    </row>
    <row r="6637" spans="8:12">
      <c r="H6637"/>
      <c r="I6637"/>
      <c r="J6637"/>
      <c r="K6637"/>
      <c r="L6637"/>
    </row>
    <row r="6638" spans="8:12">
      <c r="H6638"/>
      <c r="I6638"/>
      <c r="J6638"/>
      <c r="K6638"/>
      <c r="L6638"/>
    </row>
    <row r="6639" spans="8:12">
      <c r="H6639"/>
      <c r="I6639"/>
      <c r="J6639"/>
      <c r="K6639"/>
      <c r="L6639"/>
    </row>
    <row r="6640" spans="8:12">
      <c r="H6640"/>
      <c r="I6640"/>
      <c r="J6640"/>
      <c r="K6640"/>
      <c r="L6640"/>
    </row>
    <row r="6641" spans="8:12">
      <c r="H6641"/>
      <c r="I6641"/>
      <c r="J6641"/>
      <c r="K6641"/>
      <c r="L6641"/>
    </row>
    <row r="6642" spans="8:12">
      <c r="H6642"/>
      <c r="I6642"/>
      <c r="J6642"/>
      <c r="K6642"/>
      <c r="L6642"/>
    </row>
    <row r="6643" spans="8:12">
      <c r="H6643"/>
      <c r="I6643"/>
      <c r="J6643"/>
      <c r="K6643"/>
      <c r="L6643"/>
    </row>
    <row r="6644" spans="8:12">
      <c r="H6644"/>
      <c r="I6644"/>
      <c r="J6644"/>
      <c r="K6644"/>
      <c r="L6644"/>
    </row>
    <row r="6645" spans="8:12">
      <c r="H6645"/>
      <c r="I6645"/>
      <c r="J6645"/>
      <c r="K6645"/>
      <c r="L6645"/>
    </row>
    <row r="6646" spans="8:12">
      <c r="H6646"/>
      <c r="I6646"/>
      <c r="J6646"/>
      <c r="K6646"/>
      <c r="L6646"/>
    </row>
    <row r="6647" spans="8:12">
      <c r="H6647"/>
      <c r="I6647"/>
      <c r="J6647"/>
      <c r="K6647"/>
      <c r="L6647"/>
    </row>
    <row r="6648" spans="8:12">
      <c r="H6648"/>
      <c r="I6648"/>
      <c r="J6648"/>
      <c r="K6648"/>
      <c r="L6648"/>
    </row>
    <row r="6649" spans="8:12">
      <c r="H6649"/>
      <c r="I6649"/>
      <c r="J6649"/>
      <c r="K6649"/>
      <c r="L6649"/>
    </row>
    <row r="6650" spans="8:12">
      <c r="H6650"/>
      <c r="I6650"/>
      <c r="J6650"/>
      <c r="K6650"/>
      <c r="L6650"/>
    </row>
    <row r="6651" spans="8:12">
      <c r="H6651"/>
      <c r="I6651"/>
      <c r="J6651"/>
      <c r="K6651"/>
      <c r="L6651"/>
    </row>
    <row r="6652" spans="8:12">
      <c r="H6652"/>
      <c r="I6652"/>
      <c r="J6652"/>
      <c r="K6652"/>
      <c r="L6652"/>
    </row>
    <row r="6653" spans="8:12">
      <c r="H6653"/>
      <c r="I6653"/>
      <c r="J6653"/>
      <c r="K6653"/>
      <c r="L6653"/>
    </row>
    <row r="6654" spans="8:12">
      <c r="H6654"/>
      <c r="I6654"/>
      <c r="J6654"/>
      <c r="K6654"/>
      <c r="L6654"/>
    </row>
    <row r="6655" spans="8:12">
      <c r="H6655"/>
      <c r="I6655"/>
      <c r="J6655"/>
      <c r="K6655"/>
      <c r="L6655"/>
    </row>
    <row r="6656" spans="8:12">
      <c r="H6656"/>
      <c r="I6656"/>
      <c r="J6656"/>
      <c r="K6656"/>
      <c r="L6656"/>
    </row>
    <row r="6657" spans="8:12">
      <c r="H6657"/>
      <c r="I6657"/>
      <c r="J6657"/>
      <c r="K6657"/>
      <c r="L6657"/>
    </row>
    <row r="6658" spans="8:12">
      <c r="H6658"/>
      <c r="I6658"/>
      <c r="J6658"/>
      <c r="K6658"/>
      <c r="L6658"/>
    </row>
    <row r="6659" spans="8:12">
      <c r="H6659"/>
      <c r="I6659"/>
      <c r="J6659"/>
      <c r="K6659"/>
      <c r="L6659"/>
    </row>
    <row r="6660" spans="8:12">
      <c r="H6660"/>
      <c r="I6660"/>
      <c r="J6660"/>
      <c r="K6660"/>
      <c r="L6660"/>
    </row>
    <row r="6661" spans="8:12">
      <c r="H6661"/>
      <c r="I6661"/>
      <c r="J6661"/>
      <c r="K6661"/>
      <c r="L6661"/>
    </row>
    <row r="6662" spans="8:12">
      <c r="H6662"/>
      <c r="I6662"/>
      <c r="J6662"/>
      <c r="K6662"/>
      <c r="L6662"/>
    </row>
    <row r="6663" spans="8:12">
      <c r="H6663"/>
      <c r="I6663"/>
      <c r="J6663"/>
      <c r="K6663"/>
      <c r="L6663"/>
    </row>
    <row r="6664" spans="8:12">
      <c r="H6664"/>
      <c r="I6664"/>
      <c r="J6664"/>
      <c r="K6664"/>
      <c r="L6664"/>
    </row>
    <row r="6665" spans="8:12">
      <c r="H6665"/>
      <c r="I6665"/>
      <c r="J6665"/>
      <c r="K6665"/>
      <c r="L6665"/>
    </row>
    <row r="6666" spans="8:12">
      <c r="H6666"/>
      <c r="I6666"/>
      <c r="J6666"/>
      <c r="K6666"/>
      <c r="L6666"/>
    </row>
    <row r="6667" spans="8:12">
      <c r="H6667"/>
      <c r="I6667"/>
      <c r="J6667"/>
      <c r="K6667"/>
      <c r="L6667"/>
    </row>
    <row r="6668" spans="8:12">
      <c r="H6668"/>
      <c r="I6668"/>
      <c r="J6668"/>
      <c r="K6668"/>
      <c r="L6668"/>
    </row>
    <row r="6669" spans="8:12">
      <c r="H6669"/>
      <c r="I6669"/>
      <c r="J6669"/>
      <c r="K6669"/>
      <c r="L6669"/>
    </row>
    <row r="6670" spans="8:12">
      <c r="H6670"/>
      <c r="I6670"/>
      <c r="J6670"/>
      <c r="K6670"/>
      <c r="L6670"/>
    </row>
    <row r="6671" spans="8:12">
      <c r="H6671"/>
      <c r="I6671"/>
      <c r="J6671"/>
      <c r="K6671"/>
      <c r="L6671"/>
    </row>
    <row r="6672" spans="8:12">
      <c r="H6672"/>
      <c r="I6672"/>
      <c r="J6672"/>
      <c r="K6672"/>
      <c r="L6672"/>
    </row>
    <row r="6673" spans="8:12">
      <c r="H6673"/>
      <c r="I6673"/>
      <c r="J6673"/>
      <c r="K6673"/>
      <c r="L6673"/>
    </row>
    <row r="6674" spans="8:12">
      <c r="H6674"/>
      <c r="I6674"/>
      <c r="J6674"/>
      <c r="K6674"/>
      <c r="L6674"/>
    </row>
    <row r="6675" spans="8:12">
      <c r="H6675"/>
      <c r="I6675"/>
      <c r="J6675"/>
      <c r="K6675"/>
      <c r="L6675"/>
    </row>
    <row r="6676" spans="8:12">
      <c r="H6676"/>
      <c r="I6676"/>
      <c r="J6676"/>
      <c r="K6676"/>
      <c r="L6676"/>
    </row>
    <row r="6677" spans="8:12">
      <c r="H6677"/>
      <c r="I6677"/>
      <c r="J6677"/>
      <c r="K6677"/>
      <c r="L6677"/>
    </row>
    <row r="6678" spans="8:12">
      <c r="H6678"/>
      <c r="I6678"/>
      <c r="J6678"/>
      <c r="K6678"/>
      <c r="L6678"/>
    </row>
    <row r="6679" spans="8:12">
      <c r="H6679"/>
      <c r="I6679"/>
      <c r="J6679"/>
      <c r="K6679"/>
      <c r="L6679"/>
    </row>
    <row r="6680" spans="8:12">
      <c r="H6680"/>
      <c r="I6680"/>
      <c r="J6680"/>
      <c r="K6680"/>
      <c r="L6680"/>
    </row>
    <row r="6681" spans="8:12">
      <c r="H6681"/>
      <c r="I6681"/>
      <c r="J6681"/>
      <c r="K6681"/>
      <c r="L6681"/>
    </row>
    <row r="6682" spans="8:12">
      <c r="H6682"/>
      <c r="I6682"/>
      <c r="J6682"/>
      <c r="K6682"/>
      <c r="L6682"/>
    </row>
    <row r="6683" spans="8:12">
      <c r="H6683"/>
      <c r="I6683"/>
      <c r="J6683"/>
      <c r="K6683"/>
      <c r="L6683"/>
    </row>
    <row r="6684" spans="8:12">
      <c r="H6684"/>
      <c r="I6684"/>
      <c r="J6684"/>
      <c r="K6684"/>
      <c r="L6684"/>
    </row>
    <row r="6685" spans="8:12">
      <c r="H6685"/>
      <c r="I6685"/>
      <c r="J6685"/>
      <c r="K6685"/>
      <c r="L6685"/>
    </row>
    <row r="6686" spans="8:12">
      <c r="H6686"/>
      <c r="I6686"/>
      <c r="J6686"/>
      <c r="K6686"/>
      <c r="L6686"/>
    </row>
    <row r="6687" spans="8:12">
      <c r="H6687"/>
      <c r="I6687"/>
      <c r="J6687"/>
      <c r="K6687"/>
      <c r="L6687"/>
    </row>
    <row r="6688" spans="8:12">
      <c r="H6688"/>
      <c r="I6688"/>
      <c r="J6688"/>
      <c r="K6688"/>
      <c r="L6688"/>
    </row>
    <row r="6689" spans="8:12">
      <c r="H6689"/>
      <c r="I6689"/>
      <c r="J6689"/>
      <c r="K6689"/>
      <c r="L6689"/>
    </row>
    <row r="6690" spans="8:12">
      <c r="H6690"/>
      <c r="I6690"/>
      <c r="J6690"/>
      <c r="K6690"/>
      <c r="L6690"/>
    </row>
    <row r="6691" spans="8:12">
      <c r="H6691"/>
      <c r="I6691"/>
      <c r="J6691"/>
      <c r="K6691"/>
      <c r="L6691"/>
    </row>
    <row r="6692" spans="8:12">
      <c r="H6692"/>
      <c r="I6692"/>
      <c r="J6692"/>
      <c r="K6692"/>
      <c r="L6692"/>
    </row>
    <row r="6693" spans="8:12">
      <c r="H6693"/>
      <c r="I6693"/>
      <c r="J6693"/>
      <c r="K6693"/>
      <c r="L6693"/>
    </row>
    <row r="6694" spans="8:12">
      <c r="H6694"/>
      <c r="I6694"/>
      <c r="J6694"/>
      <c r="K6694"/>
      <c r="L6694"/>
    </row>
    <row r="6695" spans="8:12">
      <c r="H6695"/>
      <c r="I6695"/>
      <c r="J6695"/>
      <c r="K6695"/>
      <c r="L6695"/>
    </row>
    <row r="6696" spans="8:12">
      <c r="H6696"/>
      <c r="I6696"/>
      <c r="J6696"/>
      <c r="K6696"/>
      <c r="L6696"/>
    </row>
    <row r="6697" spans="8:12">
      <c r="H6697"/>
      <c r="I6697"/>
      <c r="J6697"/>
      <c r="K6697"/>
      <c r="L6697"/>
    </row>
    <row r="6698" spans="8:12">
      <c r="H6698"/>
      <c r="I6698"/>
      <c r="J6698"/>
      <c r="K6698"/>
      <c r="L6698"/>
    </row>
    <row r="6699" spans="8:12">
      <c r="H6699"/>
      <c r="I6699"/>
      <c r="J6699"/>
      <c r="K6699"/>
      <c r="L6699"/>
    </row>
    <row r="6700" spans="8:12">
      <c r="H6700"/>
      <c r="I6700"/>
      <c r="J6700"/>
      <c r="K6700"/>
      <c r="L6700"/>
    </row>
    <row r="6701" spans="8:12">
      <c r="H6701"/>
      <c r="I6701"/>
      <c r="J6701"/>
      <c r="K6701"/>
      <c r="L6701"/>
    </row>
    <row r="6702" spans="8:12">
      <c r="H6702"/>
      <c r="I6702"/>
      <c r="J6702"/>
      <c r="K6702"/>
      <c r="L6702"/>
    </row>
    <row r="6703" spans="8:12">
      <c r="H6703"/>
      <c r="I6703"/>
      <c r="J6703"/>
      <c r="K6703"/>
      <c r="L6703"/>
    </row>
    <row r="6704" spans="8:12">
      <c r="H6704"/>
      <c r="I6704"/>
      <c r="J6704"/>
      <c r="K6704"/>
      <c r="L6704"/>
    </row>
    <row r="6705" spans="8:12">
      <c r="H6705"/>
      <c r="I6705"/>
      <c r="J6705"/>
      <c r="K6705"/>
      <c r="L6705"/>
    </row>
    <row r="6706" spans="8:12">
      <c r="H6706"/>
      <c r="I6706"/>
      <c r="J6706"/>
      <c r="K6706"/>
      <c r="L6706"/>
    </row>
    <row r="6707" spans="8:12">
      <c r="H6707"/>
      <c r="I6707"/>
      <c r="J6707"/>
      <c r="K6707"/>
      <c r="L6707"/>
    </row>
    <row r="6708" spans="8:12">
      <c r="H6708"/>
      <c r="I6708"/>
      <c r="J6708"/>
      <c r="K6708"/>
      <c r="L6708"/>
    </row>
    <row r="6709" spans="8:12">
      <c r="H6709"/>
      <c r="I6709"/>
      <c r="J6709"/>
      <c r="K6709"/>
      <c r="L6709"/>
    </row>
    <row r="6710" spans="8:12">
      <c r="H6710"/>
      <c r="I6710"/>
      <c r="J6710"/>
      <c r="K6710"/>
      <c r="L6710"/>
    </row>
    <row r="6711" spans="8:12">
      <c r="H6711"/>
      <c r="I6711"/>
      <c r="J6711"/>
      <c r="K6711"/>
      <c r="L6711"/>
    </row>
    <row r="6712" spans="8:12">
      <c r="H6712"/>
      <c r="I6712"/>
      <c r="J6712"/>
      <c r="K6712"/>
      <c r="L6712"/>
    </row>
    <row r="6713" spans="8:12">
      <c r="H6713"/>
      <c r="I6713"/>
      <c r="J6713"/>
      <c r="K6713"/>
      <c r="L6713"/>
    </row>
    <row r="6714" spans="8:12">
      <c r="H6714"/>
      <c r="I6714"/>
      <c r="J6714"/>
      <c r="K6714"/>
      <c r="L6714"/>
    </row>
    <row r="6715" spans="8:12">
      <c r="H6715"/>
      <c r="I6715"/>
      <c r="J6715"/>
      <c r="K6715"/>
      <c r="L6715"/>
    </row>
    <row r="6716" spans="8:12">
      <c r="H6716"/>
      <c r="I6716"/>
      <c r="J6716"/>
      <c r="K6716"/>
      <c r="L6716"/>
    </row>
    <row r="6717" spans="8:12">
      <c r="H6717"/>
      <c r="I6717"/>
      <c r="J6717"/>
      <c r="K6717"/>
      <c r="L6717"/>
    </row>
    <row r="6718" spans="8:12">
      <c r="H6718"/>
      <c r="I6718"/>
      <c r="J6718"/>
      <c r="K6718"/>
      <c r="L6718"/>
    </row>
    <row r="6719" spans="8:12">
      <c r="H6719"/>
      <c r="I6719"/>
      <c r="J6719"/>
      <c r="K6719"/>
      <c r="L6719"/>
    </row>
    <row r="6720" spans="8:12">
      <c r="H6720"/>
      <c r="I6720"/>
      <c r="J6720"/>
      <c r="K6720"/>
      <c r="L6720"/>
    </row>
    <row r="6721" spans="8:12">
      <c r="H6721"/>
      <c r="I6721"/>
      <c r="J6721"/>
      <c r="K6721"/>
      <c r="L6721"/>
    </row>
    <row r="6722" spans="8:12">
      <c r="H6722"/>
      <c r="I6722"/>
      <c r="J6722"/>
      <c r="K6722"/>
      <c r="L6722"/>
    </row>
    <row r="6723" spans="8:12">
      <c r="H6723"/>
      <c r="I6723"/>
      <c r="J6723"/>
      <c r="K6723"/>
      <c r="L6723"/>
    </row>
    <row r="6724" spans="8:12">
      <c r="H6724"/>
      <c r="I6724"/>
      <c r="J6724"/>
      <c r="K6724"/>
      <c r="L6724"/>
    </row>
    <row r="6725" spans="8:12">
      <c r="H6725"/>
      <c r="I6725"/>
      <c r="J6725"/>
      <c r="K6725"/>
      <c r="L6725"/>
    </row>
    <row r="6726" spans="8:12">
      <c r="H6726"/>
      <c r="I6726"/>
      <c r="J6726"/>
      <c r="K6726"/>
      <c r="L6726"/>
    </row>
    <row r="6727" spans="8:12">
      <c r="H6727"/>
      <c r="I6727"/>
      <c r="J6727"/>
      <c r="K6727"/>
      <c r="L6727"/>
    </row>
    <row r="6728" spans="8:12">
      <c r="H6728"/>
      <c r="I6728"/>
      <c r="J6728"/>
      <c r="K6728"/>
      <c r="L6728"/>
    </row>
    <row r="6729" spans="8:12">
      <c r="H6729"/>
      <c r="I6729"/>
      <c r="J6729"/>
      <c r="K6729"/>
      <c r="L6729"/>
    </row>
    <row r="6730" spans="8:12">
      <c r="H6730"/>
      <c r="I6730"/>
      <c r="J6730"/>
      <c r="K6730"/>
      <c r="L6730"/>
    </row>
    <row r="6731" spans="8:12">
      <c r="H6731"/>
      <c r="I6731"/>
      <c r="J6731"/>
      <c r="K6731"/>
      <c r="L6731"/>
    </row>
    <row r="6732" spans="8:12">
      <c r="H6732"/>
      <c r="I6732"/>
      <c r="J6732"/>
      <c r="K6732"/>
      <c r="L6732"/>
    </row>
    <row r="6733" spans="8:12">
      <c r="H6733"/>
      <c r="I6733"/>
      <c r="J6733"/>
      <c r="K6733"/>
      <c r="L6733"/>
    </row>
    <row r="6734" spans="8:12">
      <c r="H6734"/>
      <c r="I6734"/>
      <c r="J6734"/>
      <c r="K6734"/>
      <c r="L6734"/>
    </row>
    <row r="6735" spans="8:12">
      <c r="H6735"/>
      <c r="I6735"/>
      <c r="J6735"/>
      <c r="K6735"/>
      <c r="L6735"/>
    </row>
    <row r="6736" spans="8:12">
      <c r="H6736"/>
      <c r="I6736"/>
      <c r="J6736"/>
      <c r="K6736"/>
      <c r="L6736"/>
    </row>
    <row r="6737" spans="8:12">
      <c r="H6737"/>
      <c r="I6737"/>
      <c r="J6737"/>
      <c r="K6737"/>
      <c r="L6737"/>
    </row>
    <row r="6738" spans="8:12">
      <c r="H6738"/>
      <c r="I6738"/>
      <c r="J6738"/>
      <c r="K6738"/>
      <c r="L6738"/>
    </row>
    <row r="6739" spans="8:12">
      <c r="H6739"/>
      <c r="I6739"/>
      <c r="J6739"/>
      <c r="K6739"/>
      <c r="L6739"/>
    </row>
    <row r="6740" spans="8:12">
      <c r="H6740"/>
      <c r="I6740"/>
      <c r="J6740"/>
      <c r="K6740"/>
      <c r="L6740"/>
    </row>
    <row r="6741" spans="8:12">
      <c r="H6741"/>
      <c r="I6741"/>
      <c r="J6741"/>
      <c r="K6741"/>
      <c r="L6741"/>
    </row>
    <row r="6742" spans="8:12">
      <c r="H6742"/>
      <c r="I6742"/>
      <c r="J6742"/>
      <c r="K6742"/>
      <c r="L6742"/>
    </row>
    <row r="6743" spans="8:12">
      <c r="H6743"/>
      <c r="I6743"/>
      <c r="J6743"/>
      <c r="K6743"/>
      <c r="L6743"/>
    </row>
    <row r="6744" spans="8:12">
      <c r="H6744"/>
      <c r="I6744"/>
      <c r="J6744"/>
      <c r="K6744"/>
      <c r="L6744"/>
    </row>
    <row r="6745" spans="8:12">
      <c r="H6745"/>
      <c r="I6745"/>
      <c r="J6745"/>
      <c r="K6745"/>
      <c r="L6745"/>
    </row>
    <row r="6746" spans="8:12">
      <c r="H6746"/>
      <c r="I6746"/>
      <c r="J6746"/>
      <c r="K6746"/>
      <c r="L6746"/>
    </row>
    <row r="6747" spans="8:12">
      <c r="H6747"/>
      <c r="I6747"/>
      <c r="J6747"/>
      <c r="K6747"/>
      <c r="L6747"/>
    </row>
    <row r="6748" spans="8:12">
      <c r="H6748"/>
      <c r="I6748"/>
      <c r="J6748"/>
      <c r="K6748"/>
      <c r="L6748"/>
    </row>
    <row r="6749" spans="8:12">
      <c r="H6749"/>
      <c r="I6749"/>
      <c r="J6749"/>
      <c r="K6749"/>
      <c r="L6749"/>
    </row>
    <row r="6750" spans="8:12">
      <c r="H6750"/>
      <c r="I6750"/>
      <c r="J6750"/>
      <c r="K6750"/>
      <c r="L6750"/>
    </row>
    <row r="6751" spans="8:12">
      <c r="H6751"/>
      <c r="I6751"/>
      <c r="J6751"/>
      <c r="K6751"/>
      <c r="L6751"/>
    </row>
    <row r="6752" spans="8:12">
      <c r="H6752"/>
      <c r="I6752"/>
      <c r="J6752"/>
      <c r="K6752"/>
      <c r="L6752"/>
    </row>
    <row r="6753" spans="8:12">
      <c r="H6753"/>
      <c r="I6753"/>
      <c r="J6753"/>
      <c r="K6753"/>
      <c r="L6753"/>
    </row>
    <row r="6754" spans="8:12">
      <c r="H6754"/>
      <c r="I6754"/>
      <c r="J6754"/>
      <c r="K6754"/>
      <c r="L6754"/>
    </row>
    <row r="6755" spans="8:12">
      <c r="H6755"/>
      <c r="I6755"/>
      <c r="J6755"/>
      <c r="K6755"/>
      <c r="L6755"/>
    </row>
    <row r="6756" spans="8:12">
      <c r="H6756"/>
      <c r="I6756"/>
      <c r="J6756"/>
      <c r="K6756"/>
      <c r="L6756"/>
    </row>
    <row r="6757" spans="8:12">
      <c r="H6757"/>
      <c r="I6757"/>
      <c r="J6757"/>
      <c r="K6757"/>
      <c r="L6757"/>
    </row>
    <row r="6758" spans="8:12">
      <c r="H6758"/>
      <c r="I6758"/>
      <c r="J6758"/>
      <c r="K6758"/>
      <c r="L6758"/>
    </row>
    <row r="6759" spans="8:12">
      <c r="H6759"/>
      <c r="I6759"/>
      <c r="J6759"/>
      <c r="K6759"/>
      <c r="L6759"/>
    </row>
    <row r="6760" spans="8:12">
      <c r="H6760"/>
      <c r="I6760"/>
      <c r="J6760"/>
      <c r="K6760"/>
      <c r="L6760"/>
    </row>
    <row r="6761" spans="8:12">
      <c r="H6761"/>
      <c r="I6761"/>
      <c r="J6761"/>
      <c r="K6761"/>
      <c r="L6761"/>
    </row>
    <row r="6762" spans="8:12">
      <c r="H6762"/>
      <c r="I6762"/>
      <c r="J6762"/>
      <c r="K6762"/>
      <c r="L6762"/>
    </row>
    <row r="6763" spans="8:12">
      <c r="H6763"/>
      <c r="I6763"/>
      <c r="J6763"/>
      <c r="K6763"/>
      <c r="L6763"/>
    </row>
    <row r="6764" spans="8:12">
      <c r="H6764"/>
      <c r="I6764"/>
      <c r="J6764"/>
      <c r="K6764"/>
      <c r="L6764"/>
    </row>
    <row r="6765" spans="8:12">
      <c r="H6765"/>
      <c r="I6765"/>
      <c r="J6765"/>
      <c r="K6765"/>
      <c r="L6765"/>
    </row>
    <row r="6766" spans="8:12">
      <c r="H6766"/>
      <c r="I6766"/>
      <c r="J6766"/>
      <c r="K6766"/>
      <c r="L6766"/>
    </row>
    <row r="6767" spans="8:12">
      <c r="H6767"/>
      <c r="I6767"/>
      <c r="J6767"/>
      <c r="K6767"/>
      <c r="L6767"/>
    </row>
    <row r="6768" spans="8:12">
      <c r="H6768"/>
      <c r="I6768"/>
      <c r="J6768"/>
      <c r="K6768"/>
      <c r="L6768"/>
    </row>
    <row r="6769" spans="8:12">
      <c r="H6769"/>
      <c r="I6769"/>
      <c r="J6769"/>
      <c r="K6769"/>
      <c r="L6769"/>
    </row>
    <row r="6770" spans="8:12">
      <c r="H6770"/>
      <c r="I6770"/>
      <c r="J6770"/>
      <c r="K6770"/>
      <c r="L6770"/>
    </row>
    <row r="6771" spans="8:12">
      <c r="H6771"/>
      <c r="I6771"/>
      <c r="J6771"/>
      <c r="K6771"/>
      <c r="L6771"/>
    </row>
    <row r="6772" spans="8:12">
      <c r="H6772"/>
      <c r="I6772"/>
      <c r="J6772"/>
      <c r="K6772"/>
      <c r="L6772"/>
    </row>
    <row r="6773" spans="8:12">
      <c r="H6773"/>
      <c r="I6773"/>
      <c r="J6773"/>
      <c r="K6773"/>
      <c r="L6773"/>
    </row>
    <row r="6774" spans="8:12">
      <c r="H6774"/>
      <c r="I6774"/>
      <c r="J6774"/>
      <c r="K6774"/>
      <c r="L6774"/>
    </row>
    <row r="6775" spans="8:12">
      <c r="H6775"/>
      <c r="I6775"/>
      <c r="J6775"/>
      <c r="K6775"/>
      <c r="L6775"/>
    </row>
    <row r="6776" spans="8:12">
      <c r="H6776"/>
      <c r="I6776"/>
      <c r="J6776"/>
      <c r="K6776"/>
      <c r="L6776"/>
    </row>
    <row r="6777" spans="8:12">
      <c r="H6777"/>
      <c r="I6777"/>
      <c r="J6777"/>
      <c r="K6777"/>
      <c r="L6777"/>
    </row>
    <row r="6778" spans="8:12">
      <c r="H6778"/>
      <c r="I6778"/>
      <c r="J6778"/>
      <c r="K6778"/>
      <c r="L6778"/>
    </row>
    <row r="6779" spans="8:12">
      <c r="H6779"/>
      <c r="I6779"/>
      <c r="J6779"/>
      <c r="K6779"/>
      <c r="L6779"/>
    </row>
    <row r="6780" spans="8:12">
      <c r="H6780"/>
      <c r="I6780"/>
      <c r="J6780"/>
      <c r="K6780"/>
      <c r="L6780"/>
    </row>
    <row r="6781" spans="8:12">
      <c r="H6781"/>
      <c r="I6781"/>
      <c r="J6781"/>
      <c r="K6781"/>
      <c r="L6781"/>
    </row>
    <row r="6782" spans="8:12">
      <c r="H6782"/>
      <c r="I6782"/>
      <c r="J6782"/>
      <c r="K6782"/>
      <c r="L6782"/>
    </row>
    <row r="6783" spans="8:12">
      <c r="H6783"/>
      <c r="I6783"/>
      <c r="J6783"/>
      <c r="K6783"/>
      <c r="L6783"/>
    </row>
    <row r="6784" spans="8:12">
      <c r="H6784"/>
      <c r="I6784"/>
      <c r="J6784"/>
      <c r="K6784"/>
      <c r="L6784"/>
    </row>
    <row r="6785" spans="8:12">
      <c r="H6785"/>
      <c r="I6785"/>
      <c r="J6785"/>
      <c r="K6785"/>
      <c r="L6785"/>
    </row>
    <row r="6786" spans="8:12">
      <c r="H6786"/>
      <c r="I6786"/>
      <c r="J6786"/>
      <c r="K6786"/>
      <c r="L6786"/>
    </row>
    <row r="6787" spans="8:12">
      <c r="H6787"/>
      <c r="I6787"/>
      <c r="J6787"/>
      <c r="K6787"/>
      <c r="L6787"/>
    </row>
    <row r="6788" spans="8:12">
      <c r="H6788"/>
      <c r="I6788"/>
      <c r="J6788"/>
      <c r="K6788"/>
      <c r="L6788"/>
    </row>
    <row r="6789" spans="8:12">
      <c r="H6789"/>
      <c r="I6789"/>
      <c r="J6789"/>
      <c r="K6789"/>
      <c r="L6789"/>
    </row>
    <row r="6790" spans="8:12">
      <c r="H6790"/>
      <c r="I6790"/>
      <c r="J6790"/>
      <c r="K6790"/>
      <c r="L6790"/>
    </row>
    <row r="6791" spans="8:12">
      <c r="H6791"/>
      <c r="I6791"/>
      <c r="J6791"/>
      <c r="K6791"/>
      <c r="L6791"/>
    </row>
    <row r="6792" spans="8:12">
      <c r="H6792"/>
      <c r="I6792"/>
      <c r="J6792"/>
      <c r="K6792"/>
      <c r="L6792"/>
    </row>
    <row r="6793" spans="8:12">
      <c r="H6793"/>
      <c r="I6793"/>
      <c r="J6793"/>
      <c r="K6793"/>
      <c r="L6793"/>
    </row>
    <row r="6794" spans="8:12">
      <c r="H6794"/>
      <c r="I6794"/>
      <c r="J6794"/>
      <c r="K6794"/>
      <c r="L6794"/>
    </row>
    <row r="6795" spans="8:12">
      <c r="H6795"/>
      <c r="I6795"/>
      <c r="J6795"/>
      <c r="K6795"/>
      <c r="L6795"/>
    </row>
    <row r="6796" spans="8:12">
      <c r="H6796"/>
      <c r="I6796"/>
      <c r="J6796"/>
      <c r="K6796"/>
      <c r="L6796"/>
    </row>
    <row r="6797" spans="8:12">
      <c r="H6797"/>
      <c r="I6797"/>
      <c r="J6797"/>
      <c r="K6797"/>
      <c r="L6797"/>
    </row>
    <row r="6798" spans="8:12">
      <c r="H6798"/>
      <c r="I6798"/>
      <c r="J6798"/>
      <c r="K6798"/>
      <c r="L6798"/>
    </row>
    <row r="6799" spans="8:12">
      <c r="H6799"/>
      <c r="I6799"/>
      <c r="J6799"/>
      <c r="K6799"/>
      <c r="L6799"/>
    </row>
    <row r="6800" spans="8:12">
      <c r="H6800"/>
      <c r="I6800"/>
      <c r="J6800"/>
      <c r="K6800"/>
      <c r="L6800"/>
    </row>
    <row r="6801" spans="8:12">
      <c r="H6801"/>
      <c r="I6801"/>
      <c r="J6801"/>
      <c r="K6801"/>
      <c r="L6801"/>
    </row>
    <row r="6802" spans="8:12">
      <c r="H6802"/>
      <c r="I6802"/>
      <c r="J6802"/>
      <c r="K6802"/>
      <c r="L6802"/>
    </row>
    <row r="6803" spans="8:12">
      <c r="H6803"/>
      <c r="I6803"/>
      <c r="J6803"/>
      <c r="K6803"/>
      <c r="L6803"/>
    </row>
    <row r="6804" spans="8:12">
      <c r="H6804"/>
      <c r="I6804"/>
      <c r="J6804"/>
      <c r="K6804"/>
      <c r="L6804"/>
    </row>
    <row r="6805" spans="8:12">
      <c r="H6805"/>
      <c r="I6805"/>
      <c r="J6805"/>
      <c r="K6805"/>
      <c r="L6805"/>
    </row>
    <row r="6806" spans="8:12">
      <c r="H6806"/>
      <c r="I6806"/>
      <c r="J6806"/>
      <c r="K6806"/>
      <c r="L6806"/>
    </row>
    <row r="6807" spans="8:12">
      <c r="H6807"/>
      <c r="I6807"/>
      <c r="J6807"/>
      <c r="K6807"/>
      <c r="L6807"/>
    </row>
    <row r="6808" spans="8:12">
      <c r="H6808"/>
      <c r="I6808"/>
      <c r="J6808"/>
      <c r="K6808"/>
      <c r="L6808"/>
    </row>
    <row r="6809" spans="8:12">
      <c r="H6809"/>
      <c r="I6809"/>
      <c r="J6809"/>
      <c r="K6809"/>
      <c r="L6809"/>
    </row>
    <row r="6810" spans="8:12">
      <c r="H6810"/>
      <c r="I6810"/>
      <c r="J6810"/>
      <c r="K6810"/>
      <c r="L6810"/>
    </row>
    <row r="6811" spans="8:12">
      <c r="H6811"/>
      <c r="I6811"/>
      <c r="J6811"/>
      <c r="K6811"/>
      <c r="L6811"/>
    </row>
    <row r="6812" spans="8:12">
      <c r="H6812"/>
      <c r="I6812"/>
      <c r="J6812"/>
      <c r="K6812"/>
      <c r="L6812"/>
    </row>
    <row r="6813" spans="8:12">
      <c r="H6813"/>
      <c r="I6813"/>
      <c r="J6813"/>
      <c r="K6813"/>
      <c r="L6813"/>
    </row>
    <row r="6814" spans="8:12">
      <c r="H6814"/>
      <c r="I6814"/>
      <c r="J6814"/>
      <c r="K6814"/>
      <c r="L6814"/>
    </row>
    <row r="6815" spans="8:12">
      <c r="H6815"/>
      <c r="I6815"/>
      <c r="J6815"/>
      <c r="K6815"/>
      <c r="L6815"/>
    </row>
    <row r="6816" spans="8:12">
      <c r="H6816"/>
      <c r="I6816"/>
      <c r="J6816"/>
      <c r="K6816"/>
      <c r="L6816"/>
    </row>
    <row r="6817" spans="8:12">
      <c r="H6817"/>
      <c r="I6817"/>
      <c r="J6817"/>
      <c r="K6817"/>
      <c r="L6817"/>
    </row>
    <row r="6818" spans="8:12">
      <c r="H6818"/>
      <c r="I6818"/>
      <c r="J6818"/>
      <c r="K6818"/>
      <c r="L6818"/>
    </row>
    <row r="6819" spans="8:12">
      <c r="H6819"/>
      <c r="I6819"/>
      <c r="J6819"/>
      <c r="K6819"/>
      <c r="L6819"/>
    </row>
    <row r="6820" spans="8:12">
      <c r="H6820"/>
      <c r="I6820"/>
      <c r="J6820"/>
      <c r="K6820"/>
      <c r="L6820"/>
    </row>
    <row r="6821" spans="8:12">
      <c r="H6821"/>
      <c r="I6821"/>
      <c r="J6821"/>
      <c r="K6821"/>
      <c r="L6821"/>
    </row>
    <row r="6822" spans="8:12">
      <c r="H6822"/>
      <c r="I6822"/>
      <c r="J6822"/>
      <c r="K6822"/>
      <c r="L6822"/>
    </row>
    <row r="6823" spans="8:12">
      <c r="H6823"/>
      <c r="I6823"/>
      <c r="J6823"/>
      <c r="K6823"/>
      <c r="L6823"/>
    </row>
    <row r="6824" spans="8:12">
      <c r="H6824"/>
      <c r="I6824"/>
      <c r="J6824"/>
      <c r="K6824"/>
      <c r="L6824"/>
    </row>
    <row r="6825" spans="8:12">
      <c r="H6825"/>
      <c r="I6825"/>
      <c r="J6825"/>
      <c r="K6825"/>
      <c r="L6825"/>
    </row>
    <row r="6826" spans="8:12">
      <c r="H6826"/>
      <c r="I6826"/>
      <c r="J6826"/>
      <c r="K6826"/>
      <c r="L6826"/>
    </row>
    <row r="6827" spans="8:12">
      <c r="H6827"/>
      <c r="I6827"/>
      <c r="J6827"/>
      <c r="K6827"/>
      <c r="L6827"/>
    </row>
    <row r="6828" spans="8:12">
      <c r="H6828"/>
      <c r="I6828"/>
      <c r="J6828"/>
      <c r="K6828"/>
      <c r="L6828"/>
    </row>
    <row r="6829" spans="8:12">
      <c r="H6829"/>
      <c r="I6829"/>
      <c r="J6829"/>
      <c r="K6829"/>
      <c r="L6829"/>
    </row>
    <row r="6830" spans="8:12">
      <c r="H6830"/>
      <c r="I6830"/>
      <c r="J6830"/>
      <c r="K6830"/>
      <c r="L6830"/>
    </row>
    <row r="6831" spans="8:12">
      <c r="H6831"/>
      <c r="I6831"/>
      <c r="J6831"/>
      <c r="K6831"/>
      <c r="L6831"/>
    </row>
    <row r="6832" spans="8:12">
      <c r="H6832"/>
      <c r="I6832"/>
      <c r="J6832"/>
      <c r="K6832"/>
      <c r="L6832"/>
    </row>
    <row r="6833" spans="8:12">
      <c r="H6833"/>
      <c r="I6833"/>
      <c r="J6833"/>
      <c r="K6833"/>
      <c r="L6833"/>
    </row>
    <row r="6834" spans="8:12">
      <c r="H6834"/>
      <c r="I6834"/>
      <c r="J6834"/>
      <c r="K6834"/>
      <c r="L6834"/>
    </row>
    <row r="6835" spans="8:12">
      <c r="H6835"/>
      <c r="I6835"/>
      <c r="J6835"/>
      <c r="K6835"/>
      <c r="L6835"/>
    </row>
    <row r="6836" spans="8:12">
      <c r="H6836"/>
      <c r="I6836"/>
      <c r="J6836"/>
      <c r="K6836"/>
      <c r="L6836"/>
    </row>
    <row r="6837" spans="8:12">
      <c r="H6837"/>
      <c r="I6837"/>
      <c r="J6837"/>
      <c r="K6837"/>
      <c r="L6837"/>
    </row>
    <row r="6838" spans="8:12">
      <c r="H6838"/>
      <c r="I6838"/>
      <c r="J6838"/>
      <c r="K6838"/>
      <c r="L6838"/>
    </row>
    <row r="6839" spans="8:12">
      <c r="H6839"/>
      <c r="I6839"/>
      <c r="J6839"/>
      <c r="K6839"/>
      <c r="L6839"/>
    </row>
    <row r="6840" spans="8:12">
      <c r="H6840"/>
      <c r="I6840"/>
      <c r="J6840"/>
      <c r="K6840"/>
      <c r="L6840"/>
    </row>
    <row r="6841" spans="8:12">
      <c r="H6841"/>
      <c r="I6841"/>
      <c r="J6841"/>
      <c r="K6841"/>
      <c r="L6841"/>
    </row>
    <row r="6842" spans="8:12">
      <c r="H6842"/>
      <c r="I6842"/>
      <c r="J6842"/>
      <c r="K6842"/>
      <c r="L6842"/>
    </row>
    <row r="6843" spans="8:12">
      <c r="H6843"/>
      <c r="I6843"/>
      <c r="J6843"/>
      <c r="K6843"/>
      <c r="L6843"/>
    </row>
    <row r="6844" spans="8:12">
      <c r="H6844"/>
      <c r="I6844"/>
      <c r="J6844"/>
      <c r="K6844"/>
      <c r="L6844"/>
    </row>
    <row r="6845" spans="8:12">
      <c r="H6845"/>
      <c r="I6845"/>
      <c r="J6845"/>
      <c r="K6845"/>
      <c r="L6845"/>
    </row>
    <row r="6846" spans="8:12">
      <c r="H6846"/>
      <c r="I6846"/>
      <c r="J6846"/>
      <c r="K6846"/>
      <c r="L6846"/>
    </row>
    <row r="6847" spans="8:12">
      <c r="H6847"/>
      <c r="I6847"/>
      <c r="J6847"/>
      <c r="K6847"/>
      <c r="L6847"/>
    </row>
    <row r="6848" spans="8:12">
      <c r="H6848"/>
      <c r="I6848"/>
      <c r="J6848"/>
      <c r="K6848"/>
      <c r="L6848"/>
    </row>
    <row r="6849" spans="8:12">
      <c r="H6849"/>
      <c r="I6849"/>
      <c r="J6849"/>
      <c r="K6849"/>
      <c r="L6849"/>
    </row>
    <row r="6850" spans="8:12">
      <c r="H6850"/>
      <c r="I6850"/>
      <c r="J6850"/>
      <c r="K6850"/>
      <c r="L6850"/>
    </row>
    <row r="6851" spans="8:12">
      <c r="H6851"/>
      <c r="I6851"/>
      <c r="J6851"/>
      <c r="K6851"/>
      <c r="L6851"/>
    </row>
    <row r="6852" spans="8:12">
      <c r="H6852"/>
      <c r="I6852"/>
      <c r="J6852"/>
      <c r="K6852"/>
      <c r="L6852"/>
    </row>
    <row r="6853" spans="8:12">
      <c r="H6853"/>
      <c r="I6853"/>
      <c r="J6853"/>
      <c r="K6853"/>
      <c r="L6853"/>
    </row>
    <row r="6854" spans="8:12">
      <c r="H6854"/>
      <c r="I6854"/>
      <c r="J6854"/>
      <c r="K6854"/>
      <c r="L6854"/>
    </row>
    <row r="6855" spans="8:12">
      <c r="H6855"/>
      <c r="I6855"/>
      <c r="J6855"/>
      <c r="K6855"/>
      <c r="L6855"/>
    </row>
    <row r="6856" spans="8:12">
      <c r="H6856"/>
      <c r="I6856"/>
      <c r="J6856"/>
      <c r="K6856"/>
      <c r="L6856"/>
    </row>
    <row r="6857" spans="8:12">
      <c r="H6857"/>
      <c r="I6857"/>
      <c r="J6857"/>
      <c r="K6857"/>
      <c r="L6857"/>
    </row>
    <row r="6858" spans="8:12">
      <c r="H6858"/>
      <c r="I6858"/>
      <c r="J6858"/>
      <c r="K6858"/>
      <c r="L6858"/>
    </row>
    <row r="6859" spans="8:12">
      <c r="H6859"/>
      <c r="I6859"/>
      <c r="J6859"/>
      <c r="K6859"/>
      <c r="L6859"/>
    </row>
    <row r="6860" spans="8:12">
      <c r="H6860"/>
      <c r="I6860"/>
      <c r="J6860"/>
      <c r="K6860"/>
      <c r="L6860"/>
    </row>
    <row r="6861" spans="8:12">
      <c r="H6861"/>
      <c r="I6861"/>
      <c r="J6861"/>
      <c r="K6861"/>
      <c r="L6861"/>
    </row>
    <row r="6862" spans="8:12">
      <c r="H6862"/>
      <c r="I6862"/>
      <c r="J6862"/>
      <c r="K6862"/>
      <c r="L6862"/>
    </row>
    <row r="6863" spans="8:12">
      <c r="H6863"/>
      <c r="I6863"/>
      <c r="J6863"/>
      <c r="K6863"/>
      <c r="L6863"/>
    </row>
    <row r="6864" spans="8:12">
      <c r="H6864"/>
      <c r="I6864"/>
      <c r="J6864"/>
      <c r="K6864"/>
      <c r="L6864"/>
    </row>
    <row r="6865" spans="8:12">
      <c r="H6865"/>
      <c r="I6865"/>
      <c r="J6865"/>
      <c r="K6865"/>
      <c r="L6865"/>
    </row>
    <row r="6866" spans="8:12">
      <c r="H6866"/>
      <c r="I6866"/>
      <c r="J6866"/>
      <c r="K6866"/>
      <c r="L6866"/>
    </row>
    <row r="6867" spans="8:12">
      <c r="H6867"/>
      <c r="I6867"/>
      <c r="J6867"/>
      <c r="K6867"/>
      <c r="L6867"/>
    </row>
    <row r="6868" spans="8:12">
      <c r="H6868"/>
      <c r="I6868"/>
      <c r="J6868"/>
      <c r="K6868"/>
      <c r="L6868"/>
    </row>
    <row r="6869" spans="8:12">
      <c r="H6869"/>
      <c r="I6869"/>
      <c r="J6869"/>
      <c r="K6869"/>
      <c r="L6869"/>
    </row>
    <row r="6870" spans="8:12">
      <c r="H6870"/>
      <c r="I6870"/>
      <c r="J6870"/>
      <c r="K6870"/>
      <c r="L6870"/>
    </row>
    <row r="6871" spans="8:12">
      <c r="H6871"/>
      <c r="I6871"/>
      <c r="J6871"/>
      <c r="K6871"/>
      <c r="L6871"/>
    </row>
    <row r="6872" spans="8:12">
      <c r="H6872"/>
      <c r="I6872"/>
      <c r="J6872"/>
      <c r="K6872"/>
      <c r="L6872"/>
    </row>
    <row r="6873" spans="8:12">
      <c r="H6873"/>
      <c r="I6873"/>
      <c r="J6873"/>
      <c r="K6873"/>
      <c r="L6873"/>
    </row>
    <row r="6874" spans="8:12">
      <c r="H6874"/>
      <c r="I6874"/>
      <c r="J6874"/>
      <c r="K6874"/>
      <c r="L6874"/>
    </row>
    <row r="6875" spans="8:12">
      <c r="H6875"/>
      <c r="I6875"/>
      <c r="J6875"/>
      <c r="K6875"/>
      <c r="L6875"/>
    </row>
    <row r="6876" spans="8:12">
      <c r="H6876"/>
      <c r="I6876"/>
      <c r="J6876"/>
      <c r="K6876"/>
      <c r="L6876"/>
    </row>
    <row r="6877" spans="8:12">
      <c r="H6877"/>
      <c r="I6877"/>
      <c r="J6877"/>
      <c r="K6877"/>
      <c r="L6877"/>
    </row>
    <row r="6878" spans="8:12">
      <c r="H6878"/>
      <c r="I6878"/>
      <c r="J6878"/>
      <c r="K6878"/>
      <c r="L6878"/>
    </row>
    <row r="6879" spans="8:12">
      <c r="H6879"/>
      <c r="I6879"/>
      <c r="J6879"/>
      <c r="K6879"/>
      <c r="L6879"/>
    </row>
    <row r="6880" spans="8:12">
      <c r="H6880"/>
      <c r="I6880"/>
      <c r="J6880"/>
      <c r="K6880"/>
      <c r="L6880"/>
    </row>
    <row r="6881" spans="8:12">
      <c r="H6881"/>
      <c r="I6881"/>
      <c r="J6881"/>
      <c r="K6881"/>
      <c r="L6881"/>
    </row>
    <row r="6882" spans="8:12">
      <c r="H6882"/>
      <c r="I6882"/>
      <c r="J6882"/>
      <c r="K6882"/>
      <c r="L6882"/>
    </row>
    <row r="6883" spans="8:12">
      <c r="H6883"/>
      <c r="I6883"/>
      <c r="J6883"/>
      <c r="K6883"/>
      <c r="L6883"/>
    </row>
    <row r="6884" spans="8:12">
      <c r="H6884"/>
      <c r="I6884"/>
      <c r="J6884"/>
      <c r="K6884"/>
      <c r="L6884"/>
    </row>
    <row r="6885" spans="8:12">
      <c r="H6885"/>
      <c r="I6885"/>
      <c r="J6885"/>
      <c r="K6885"/>
      <c r="L6885"/>
    </row>
    <row r="6886" spans="8:12">
      <c r="H6886"/>
      <c r="I6886"/>
      <c r="J6886"/>
      <c r="K6886"/>
      <c r="L6886"/>
    </row>
    <row r="6887" spans="8:12">
      <c r="H6887"/>
      <c r="I6887"/>
      <c r="J6887"/>
      <c r="K6887"/>
      <c r="L6887"/>
    </row>
    <row r="6888" spans="8:12">
      <c r="H6888"/>
      <c r="I6888"/>
      <c r="J6888"/>
      <c r="K6888"/>
      <c r="L6888"/>
    </row>
    <row r="6889" spans="8:12">
      <c r="H6889"/>
      <c r="I6889"/>
      <c r="J6889"/>
      <c r="K6889"/>
      <c r="L6889"/>
    </row>
    <row r="6890" spans="8:12">
      <c r="H6890"/>
      <c r="I6890"/>
      <c r="J6890"/>
      <c r="K6890"/>
      <c r="L6890"/>
    </row>
    <row r="6891" spans="8:12">
      <c r="H6891"/>
      <c r="I6891"/>
      <c r="J6891"/>
      <c r="K6891"/>
      <c r="L6891"/>
    </row>
    <row r="6892" spans="8:12">
      <c r="H6892"/>
      <c r="I6892"/>
      <c r="J6892"/>
      <c r="K6892"/>
      <c r="L6892"/>
    </row>
    <row r="6893" spans="8:12">
      <c r="H6893"/>
      <c r="I6893"/>
      <c r="J6893"/>
      <c r="K6893"/>
      <c r="L6893"/>
    </row>
    <row r="6894" spans="8:12">
      <c r="H6894"/>
      <c r="I6894"/>
      <c r="J6894"/>
      <c r="K6894"/>
      <c r="L6894"/>
    </row>
    <row r="6895" spans="8:12">
      <c r="H6895"/>
      <c r="I6895"/>
      <c r="J6895"/>
      <c r="K6895"/>
      <c r="L6895"/>
    </row>
    <row r="6896" spans="8:12">
      <c r="H6896"/>
      <c r="I6896"/>
      <c r="J6896"/>
      <c r="K6896"/>
      <c r="L6896"/>
    </row>
    <row r="6897" spans="8:12">
      <c r="H6897"/>
      <c r="I6897"/>
      <c r="J6897"/>
      <c r="K6897"/>
      <c r="L6897"/>
    </row>
    <row r="6898" spans="8:12">
      <c r="H6898"/>
      <c r="I6898"/>
      <c r="J6898"/>
      <c r="K6898"/>
      <c r="L6898"/>
    </row>
    <row r="6899" spans="8:12">
      <c r="H6899"/>
      <c r="I6899"/>
      <c r="J6899"/>
      <c r="K6899"/>
      <c r="L6899"/>
    </row>
    <row r="6900" spans="8:12">
      <c r="H6900"/>
      <c r="I6900"/>
      <c r="J6900"/>
      <c r="K6900"/>
      <c r="L6900"/>
    </row>
    <row r="6901" spans="8:12">
      <c r="H6901"/>
      <c r="I6901"/>
      <c r="J6901"/>
      <c r="K6901"/>
      <c r="L6901"/>
    </row>
    <row r="6902" spans="8:12">
      <c r="H6902"/>
      <c r="I6902"/>
      <c r="J6902"/>
      <c r="K6902"/>
      <c r="L6902"/>
    </row>
    <row r="6903" spans="8:12">
      <c r="H6903"/>
      <c r="I6903"/>
      <c r="J6903"/>
      <c r="K6903"/>
      <c r="L6903"/>
    </row>
    <row r="6904" spans="8:12">
      <c r="H6904"/>
      <c r="I6904"/>
      <c r="J6904"/>
      <c r="K6904"/>
      <c r="L6904"/>
    </row>
    <row r="6905" spans="8:12">
      <c r="H6905"/>
      <c r="I6905"/>
      <c r="J6905"/>
      <c r="K6905"/>
      <c r="L6905"/>
    </row>
    <row r="6906" spans="8:12">
      <c r="H6906"/>
      <c r="I6906"/>
      <c r="J6906"/>
      <c r="K6906"/>
      <c r="L6906"/>
    </row>
    <row r="6907" spans="8:12">
      <c r="H6907"/>
      <c r="I6907"/>
      <c r="J6907"/>
      <c r="K6907"/>
      <c r="L6907"/>
    </row>
    <row r="6908" spans="8:12">
      <c r="H6908"/>
      <c r="I6908"/>
      <c r="J6908"/>
      <c r="K6908"/>
      <c r="L6908"/>
    </row>
    <row r="6909" spans="8:12">
      <c r="H6909"/>
      <c r="I6909"/>
      <c r="J6909"/>
      <c r="K6909"/>
      <c r="L6909"/>
    </row>
    <row r="6910" spans="8:12">
      <c r="H6910"/>
      <c r="I6910"/>
      <c r="J6910"/>
      <c r="K6910"/>
      <c r="L6910"/>
    </row>
    <row r="6911" spans="8:12">
      <c r="H6911"/>
      <c r="I6911"/>
      <c r="J6911"/>
      <c r="K6911"/>
      <c r="L6911"/>
    </row>
    <row r="6912" spans="8:12">
      <c r="H6912"/>
      <c r="I6912"/>
      <c r="J6912"/>
      <c r="K6912"/>
      <c r="L6912"/>
    </row>
    <row r="6913" spans="8:12">
      <c r="H6913"/>
      <c r="I6913"/>
      <c r="J6913"/>
      <c r="K6913"/>
      <c r="L6913"/>
    </row>
    <row r="6914" spans="8:12">
      <c r="H6914"/>
      <c r="I6914"/>
      <c r="J6914"/>
      <c r="K6914"/>
      <c r="L6914"/>
    </row>
    <row r="6915" spans="8:12">
      <c r="H6915"/>
      <c r="I6915"/>
      <c r="J6915"/>
      <c r="K6915"/>
      <c r="L6915"/>
    </row>
    <row r="6916" spans="8:12">
      <c r="H6916"/>
      <c r="I6916"/>
      <c r="J6916"/>
      <c r="K6916"/>
      <c r="L6916"/>
    </row>
    <row r="6917" spans="8:12">
      <c r="H6917"/>
      <c r="I6917"/>
      <c r="J6917"/>
      <c r="K6917"/>
      <c r="L6917"/>
    </row>
    <row r="6918" spans="8:12">
      <c r="H6918"/>
      <c r="I6918"/>
      <c r="J6918"/>
      <c r="K6918"/>
      <c r="L6918"/>
    </row>
    <row r="6919" spans="8:12">
      <c r="H6919"/>
      <c r="I6919"/>
      <c r="J6919"/>
      <c r="K6919"/>
      <c r="L6919"/>
    </row>
    <row r="6920" spans="8:12">
      <c r="H6920"/>
      <c r="I6920"/>
      <c r="J6920"/>
      <c r="K6920"/>
      <c r="L6920"/>
    </row>
    <row r="6921" spans="8:12">
      <c r="H6921"/>
      <c r="I6921"/>
      <c r="J6921"/>
      <c r="K6921"/>
      <c r="L6921"/>
    </row>
    <row r="6922" spans="8:12">
      <c r="H6922"/>
      <c r="I6922"/>
      <c r="J6922"/>
      <c r="K6922"/>
      <c r="L6922"/>
    </row>
    <row r="6923" spans="8:12">
      <c r="H6923"/>
      <c r="I6923"/>
      <c r="J6923"/>
      <c r="K6923"/>
      <c r="L6923"/>
    </row>
    <row r="6924" spans="8:12">
      <c r="H6924"/>
      <c r="I6924"/>
      <c r="J6924"/>
      <c r="K6924"/>
      <c r="L6924"/>
    </row>
    <row r="6925" spans="8:12">
      <c r="H6925"/>
      <c r="I6925"/>
      <c r="J6925"/>
      <c r="K6925"/>
      <c r="L6925"/>
    </row>
    <row r="6926" spans="8:12">
      <c r="H6926"/>
      <c r="I6926"/>
      <c r="J6926"/>
      <c r="K6926"/>
      <c r="L6926"/>
    </row>
    <row r="6927" spans="8:12">
      <c r="H6927"/>
      <c r="I6927"/>
      <c r="J6927"/>
      <c r="K6927"/>
      <c r="L6927"/>
    </row>
    <row r="6928" spans="8:12">
      <c r="H6928"/>
      <c r="I6928"/>
      <c r="J6928"/>
      <c r="K6928"/>
      <c r="L6928"/>
    </row>
    <row r="6929" spans="8:12">
      <c r="H6929"/>
      <c r="I6929"/>
      <c r="J6929"/>
      <c r="K6929"/>
      <c r="L6929"/>
    </row>
    <row r="6930" spans="8:12">
      <c r="H6930"/>
      <c r="I6930"/>
      <c r="J6930"/>
      <c r="K6930"/>
      <c r="L6930"/>
    </row>
    <row r="6931" spans="8:12">
      <c r="H6931"/>
      <c r="I6931"/>
      <c r="J6931"/>
      <c r="K6931"/>
      <c r="L6931"/>
    </row>
    <row r="6932" spans="8:12">
      <c r="H6932"/>
      <c r="I6932"/>
      <c r="J6932"/>
      <c r="K6932"/>
      <c r="L6932"/>
    </row>
    <row r="6933" spans="8:12">
      <c r="H6933"/>
      <c r="I6933"/>
      <c r="J6933"/>
      <c r="K6933"/>
      <c r="L6933"/>
    </row>
    <row r="6934" spans="8:12">
      <c r="H6934"/>
      <c r="I6934"/>
      <c r="J6934"/>
      <c r="K6934"/>
      <c r="L6934"/>
    </row>
    <row r="6935" spans="8:12">
      <c r="H6935"/>
      <c r="I6935"/>
      <c r="J6935"/>
      <c r="K6935"/>
      <c r="L6935"/>
    </row>
    <row r="6936" spans="8:12">
      <c r="H6936"/>
      <c r="I6936"/>
      <c r="J6936"/>
      <c r="K6936"/>
      <c r="L6936"/>
    </row>
    <row r="6937" spans="8:12">
      <c r="H6937"/>
      <c r="I6937"/>
      <c r="J6937"/>
      <c r="K6937"/>
      <c r="L6937"/>
    </row>
    <row r="6938" spans="8:12">
      <c r="H6938"/>
      <c r="I6938"/>
      <c r="J6938"/>
      <c r="K6938"/>
      <c r="L6938"/>
    </row>
    <row r="6939" spans="8:12">
      <c r="H6939"/>
      <c r="I6939"/>
      <c r="J6939"/>
      <c r="K6939"/>
      <c r="L6939"/>
    </row>
    <row r="6940" spans="8:12">
      <c r="H6940"/>
      <c r="I6940"/>
      <c r="J6940"/>
      <c r="K6940"/>
      <c r="L6940"/>
    </row>
    <row r="6941" spans="8:12">
      <c r="H6941"/>
      <c r="I6941"/>
      <c r="J6941"/>
      <c r="K6941"/>
      <c r="L6941"/>
    </row>
    <row r="6942" spans="8:12">
      <c r="H6942"/>
      <c r="I6942"/>
      <c r="J6942"/>
      <c r="K6942"/>
      <c r="L6942"/>
    </row>
    <row r="6943" spans="8:12">
      <c r="H6943"/>
      <c r="I6943"/>
      <c r="J6943"/>
      <c r="K6943"/>
      <c r="L6943"/>
    </row>
    <row r="6944" spans="8:12">
      <c r="H6944"/>
      <c r="I6944"/>
      <c r="J6944"/>
      <c r="K6944"/>
      <c r="L6944"/>
    </row>
    <row r="6945" spans="8:12">
      <c r="H6945"/>
      <c r="I6945"/>
      <c r="J6945"/>
      <c r="K6945"/>
      <c r="L6945"/>
    </row>
    <row r="6946" spans="8:12">
      <c r="H6946"/>
      <c r="I6946"/>
      <c r="J6946"/>
      <c r="K6946"/>
      <c r="L6946"/>
    </row>
    <row r="6947" spans="8:12">
      <c r="H6947"/>
      <c r="I6947"/>
      <c r="J6947"/>
      <c r="K6947"/>
      <c r="L6947"/>
    </row>
    <row r="6948" spans="8:12">
      <c r="H6948"/>
      <c r="I6948"/>
      <c r="J6948"/>
      <c r="K6948"/>
      <c r="L6948"/>
    </row>
    <row r="6949" spans="8:12">
      <c r="H6949"/>
      <c r="I6949"/>
      <c r="J6949"/>
      <c r="K6949"/>
      <c r="L6949"/>
    </row>
    <row r="6950" spans="8:12">
      <c r="H6950"/>
      <c r="I6950"/>
      <c r="J6950"/>
      <c r="K6950"/>
      <c r="L6950"/>
    </row>
    <row r="6951" spans="8:12">
      <c r="H6951"/>
      <c r="I6951"/>
      <c r="J6951"/>
      <c r="K6951"/>
      <c r="L6951"/>
    </row>
    <row r="6952" spans="8:12">
      <c r="H6952"/>
      <c r="I6952"/>
      <c r="J6952"/>
      <c r="K6952"/>
      <c r="L6952"/>
    </row>
    <row r="6953" spans="8:12">
      <c r="H6953"/>
      <c r="I6953"/>
      <c r="J6953"/>
      <c r="K6953"/>
      <c r="L6953"/>
    </row>
    <row r="6954" spans="8:12">
      <c r="H6954"/>
      <c r="I6954"/>
      <c r="J6954"/>
      <c r="K6954"/>
      <c r="L6954"/>
    </row>
    <row r="6955" spans="8:12">
      <c r="H6955"/>
      <c r="I6955"/>
      <c r="J6955"/>
      <c r="K6955"/>
      <c r="L6955"/>
    </row>
    <row r="6956" spans="8:12">
      <c r="H6956"/>
      <c r="I6956"/>
      <c r="J6956"/>
      <c r="K6956"/>
      <c r="L6956"/>
    </row>
    <row r="6957" spans="8:12">
      <c r="H6957"/>
      <c r="I6957"/>
      <c r="J6957"/>
      <c r="K6957"/>
      <c r="L6957"/>
    </row>
    <row r="6958" spans="8:12">
      <c r="H6958"/>
      <c r="I6958"/>
      <c r="J6958"/>
      <c r="K6958"/>
      <c r="L6958"/>
    </row>
    <row r="6959" spans="8:12">
      <c r="H6959"/>
      <c r="I6959"/>
      <c r="J6959"/>
      <c r="K6959"/>
      <c r="L6959"/>
    </row>
    <row r="6960" spans="8:12">
      <c r="H6960"/>
      <c r="I6960"/>
      <c r="J6960"/>
      <c r="K6960"/>
      <c r="L6960"/>
    </row>
    <row r="6961" spans="8:12">
      <c r="H6961"/>
      <c r="I6961"/>
      <c r="J6961"/>
      <c r="K6961"/>
      <c r="L6961"/>
    </row>
    <row r="6962" spans="8:12">
      <c r="H6962"/>
      <c r="I6962"/>
      <c r="J6962"/>
      <c r="K6962"/>
      <c r="L6962"/>
    </row>
    <row r="6963" spans="8:12">
      <c r="H6963"/>
      <c r="I6963"/>
      <c r="J6963"/>
      <c r="K6963"/>
      <c r="L6963"/>
    </row>
    <row r="6964" spans="8:12">
      <c r="H6964"/>
      <c r="I6964"/>
      <c r="J6964"/>
      <c r="K6964"/>
      <c r="L6964"/>
    </row>
    <row r="6965" spans="8:12">
      <c r="H6965"/>
      <c r="I6965"/>
      <c r="J6965"/>
      <c r="K6965"/>
      <c r="L6965"/>
    </row>
    <row r="6966" spans="8:12">
      <c r="H6966"/>
      <c r="I6966"/>
      <c r="J6966"/>
      <c r="K6966"/>
      <c r="L6966"/>
    </row>
    <row r="6967" spans="8:12">
      <c r="H6967"/>
      <c r="I6967"/>
      <c r="J6967"/>
      <c r="K6967"/>
      <c r="L6967"/>
    </row>
    <row r="6968" spans="8:12">
      <c r="H6968"/>
      <c r="I6968"/>
      <c r="J6968"/>
      <c r="K6968"/>
      <c r="L6968"/>
    </row>
    <row r="6969" spans="8:12">
      <c r="H6969"/>
      <c r="I6969"/>
      <c r="J6969"/>
      <c r="K6969"/>
      <c r="L6969"/>
    </row>
    <row r="6970" spans="8:12">
      <c r="H6970"/>
      <c r="I6970"/>
      <c r="J6970"/>
      <c r="K6970"/>
      <c r="L6970"/>
    </row>
    <row r="6971" spans="8:12">
      <c r="H6971"/>
      <c r="I6971"/>
      <c r="J6971"/>
      <c r="K6971"/>
      <c r="L6971"/>
    </row>
    <row r="6972" spans="8:12">
      <c r="H6972"/>
      <c r="I6972"/>
      <c r="J6972"/>
      <c r="K6972"/>
      <c r="L6972"/>
    </row>
    <row r="6973" spans="8:12">
      <c r="H6973"/>
      <c r="I6973"/>
      <c r="J6973"/>
      <c r="K6973"/>
      <c r="L6973"/>
    </row>
    <row r="6974" spans="8:12">
      <c r="H6974"/>
      <c r="I6974"/>
      <c r="J6974"/>
      <c r="K6974"/>
      <c r="L6974"/>
    </row>
    <row r="6975" spans="8:12">
      <c r="H6975"/>
      <c r="I6975"/>
      <c r="J6975"/>
      <c r="K6975"/>
      <c r="L6975"/>
    </row>
    <row r="6976" spans="8:12">
      <c r="H6976"/>
      <c r="I6976"/>
      <c r="J6976"/>
      <c r="K6976"/>
      <c r="L6976"/>
    </row>
    <row r="6977" spans="8:12">
      <c r="H6977"/>
      <c r="I6977"/>
      <c r="J6977"/>
      <c r="K6977"/>
      <c r="L6977"/>
    </row>
    <row r="6978" spans="8:12">
      <c r="H6978"/>
      <c r="I6978"/>
      <c r="J6978"/>
      <c r="K6978"/>
      <c r="L6978"/>
    </row>
    <row r="6979" spans="8:12">
      <c r="H6979"/>
      <c r="I6979"/>
      <c r="J6979"/>
      <c r="K6979"/>
      <c r="L6979"/>
    </row>
    <row r="6980" spans="8:12">
      <c r="H6980"/>
      <c r="I6980"/>
      <c r="J6980"/>
      <c r="K6980"/>
      <c r="L6980"/>
    </row>
    <row r="6981" spans="8:12">
      <c r="H6981"/>
      <c r="I6981"/>
      <c r="J6981"/>
      <c r="K6981"/>
      <c r="L6981"/>
    </row>
    <row r="6982" spans="8:12">
      <c r="H6982"/>
      <c r="I6982"/>
      <c r="J6982"/>
      <c r="K6982"/>
      <c r="L6982"/>
    </row>
    <row r="6983" spans="8:12">
      <c r="H6983"/>
      <c r="I6983"/>
      <c r="J6983"/>
      <c r="K6983"/>
      <c r="L6983"/>
    </row>
    <row r="6984" spans="8:12">
      <c r="H6984"/>
      <c r="I6984"/>
      <c r="J6984"/>
      <c r="K6984"/>
      <c r="L6984"/>
    </row>
    <row r="6985" spans="8:12">
      <c r="H6985"/>
      <c r="I6985"/>
      <c r="J6985"/>
      <c r="K6985"/>
      <c r="L6985"/>
    </row>
    <row r="6986" spans="8:12">
      <c r="H6986"/>
      <c r="I6986"/>
      <c r="J6986"/>
      <c r="K6986"/>
      <c r="L6986"/>
    </row>
    <row r="6987" spans="8:12">
      <c r="H6987"/>
      <c r="I6987"/>
      <c r="J6987"/>
      <c r="K6987"/>
      <c r="L6987"/>
    </row>
    <row r="6988" spans="8:12">
      <c r="H6988"/>
      <c r="I6988"/>
      <c r="J6988"/>
      <c r="K6988"/>
      <c r="L6988"/>
    </row>
    <row r="6989" spans="8:12">
      <c r="H6989"/>
      <c r="I6989"/>
      <c r="J6989"/>
      <c r="K6989"/>
      <c r="L6989"/>
    </row>
    <row r="6990" spans="8:12">
      <c r="H6990"/>
      <c r="I6990"/>
      <c r="J6990"/>
      <c r="K6990"/>
      <c r="L6990"/>
    </row>
    <row r="6991" spans="8:12">
      <c r="H6991"/>
      <c r="I6991"/>
      <c r="J6991"/>
      <c r="K6991"/>
      <c r="L6991"/>
    </row>
    <row r="6992" spans="8:12">
      <c r="H6992"/>
      <c r="I6992"/>
      <c r="J6992"/>
      <c r="K6992"/>
      <c r="L6992"/>
    </row>
    <row r="6993" spans="8:12">
      <c r="H6993"/>
      <c r="I6993"/>
      <c r="J6993"/>
      <c r="K6993"/>
      <c r="L6993"/>
    </row>
    <row r="6994" spans="8:12">
      <c r="H6994"/>
      <c r="I6994"/>
      <c r="J6994"/>
      <c r="K6994"/>
      <c r="L6994"/>
    </row>
    <row r="6995" spans="8:12">
      <c r="H6995"/>
      <c r="I6995"/>
      <c r="J6995"/>
      <c r="K6995"/>
      <c r="L6995"/>
    </row>
    <row r="6996" spans="8:12">
      <c r="H6996"/>
      <c r="I6996"/>
      <c r="J6996"/>
      <c r="K6996"/>
      <c r="L6996"/>
    </row>
    <row r="6997" spans="8:12">
      <c r="H6997"/>
      <c r="I6997"/>
      <c r="J6997"/>
      <c r="K6997"/>
      <c r="L6997"/>
    </row>
    <row r="6998" spans="8:12">
      <c r="H6998"/>
      <c r="I6998"/>
      <c r="J6998"/>
      <c r="K6998"/>
      <c r="L6998"/>
    </row>
    <row r="6999" spans="8:12">
      <c r="H6999"/>
      <c r="I6999"/>
      <c r="J6999"/>
      <c r="K6999"/>
      <c r="L6999"/>
    </row>
    <row r="7000" spans="8:12">
      <c r="H7000"/>
      <c r="I7000"/>
      <c r="J7000"/>
      <c r="K7000"/>
      <c r="L7000"/>
    </row>
    <row r="7001" spans="8:12">
      <c r="H7001"/>
      <c r="I7001"/>
      <c r="J7001"/>
      <c r="K7001"/>
      <c r="L7001"/>
    </row>
    <row r="7002" spans="8:12">
      <c r="H7002"/>
      <c r="I7002"/>
      <c r="J7002"/>
      <c r="K7002"/>
      <c r="L7002"/>
    </row>
    <row r="7003" spans="8:12">
      <c r="H7003"/>
      <c r="I7003"/>
      <c r="J7003"/>
      <c r="K7003"/>
      <c r="L7003"/>
    </row>
    <row r="7004" spans="8:12">
      <c r="H7004"/>
      <c r="I7004"/>
      <c r="J7004"/>
      <c r="K7004"/>
      <c r="L7004"/>
    </row>
    <row r="7005" spans="8:12">
      <c r="H7005"/>
      <c r="I7005"/>
      <c r="J7005"/>
      <c r="K7005"/>
      <c r="L7005"/>
    </row>
    <row r="7006" spans="8:12">
      <c r="H7006"/>
      <c r="I7006"/>
      <c r="J7006"/>
      <c r="K7006"/>
      <c r="L7006"/>
    </row>
    <row r="7007" spans="8:12">
      <c r="H7007"/>
      <c r="I7007"/>
      <c r="J7007"/>
      <c r="K7007"/>
      <c r="L7007"/>
    </row>
    <row r="7008" spans="8:12">
      <c r="H7008"/>
      <c r="I7008"/>
      <c r="J7008"/>
      <c r="K7008"/>
      <c r="L7008"/>
    </row>
    <row r="7009" spans="8:12">
      <c r="H7009"/>
      <c r="I7009"/>
      <c r="J7009"/>
      <c r="K7009"/>
      <c r="L7009"/>
    </row>
    <row r="7010" spans="8:12">
      <c r="H7010"/>
      <c r="I7010"/>
      <c r="J7010"/>
      <c r="K7010"/>
      <c r="L7010"/>
    </row>
    <row r="7011" spans="8:12">
      <c r="H7011"/>
      <c r="I7011"/>
      <c r="J7011"/>
      <c r="K7011"/>
      <c r="L7011"/>
    </row>
    <row r="7012" spans="8:12">
      <c r="H7012"/>
      <c r="I7012"/>
      <c r="J7012"/>
      <c r="K7012"/>
      <c r="L7012"/>
    </row>
    <row r="7013" spans="8:12">
      <c r="H7013"/>
      <c r="I7013"/>
      <c r="J7013"/>
      <c r="K7013"/>
      <c r="L7013"/>
    </row>
    <row r="7014" spans="8:12">
      <c r="H7014"/>
      <c r="I7014"/>
      <c r="J7014"/>
      <c r="K7014"/>
      <c r="L7014"/>
    </row>
    <row r="7015" spans="8:12">
      <c r="H7015"/>
      <c r="I7015"/>
      <c r="J7015"/>
      <c r="K7015"/>
      <c r="L7015"/>
    </row>
    <row r="7016" spans="8:12">
      <c r="H7016"/>
      <c r="I7016"/>
      <c r="J7016"/>
      <c r="K7016"/>
      <c r="L7016"/>
    </row>
    <row r="7017" spans="8:12">
      <c r="H7017"/>
      <c r="I7017"/>
      <c r="J7017"/>
      <c r="K7017"/>
      <c r="L7017"/>
    </row>
    <row r="7018" spans="8:12">
      <c r="H7018"/>
      <c r="I7018"/>
      <c r="J7018"/>
      <c r="K7018"/>
      <c r="L7018"/>
    </row>
    <row r="7019" spans="8:12">
      <c r="H7019"/>
      <c r="I7019"/>
      <c r="J7019"/>
      <c r="K7019"/>
      <c r="L7019"/>
    </row>
    <row r="7020" spans="8:12">
      <c r="H7020"/>
      <c r="I7020"/>
      <c r="J7020"/>
      <c r="K7020"/>
      <c r="L7020"/>
    </row>
    <row r="7021" spans="8:12">
      <c r="H7021"/>
      <c r="I7021"/>
      <c r="J7021"/>
      <c r="K7021"/>
      <c r="L7021"/>
    </row>
    <row r="7022" spans="8:12">
      <c r="H7022"/>
      <c r="I7022"/>
      <c r="J7022"/>
      <c r="K7022"/>
      <c r="L7022"/>
    </row>
    <row r="7023" spans="8:12">
      <c r="H7023"/>
      <c r="I7023"/>
      <c r="J7023"/>
      <c r="K7023"/>
      <c r="L7023"/>
    </row>
    <row r="7024" spans="8:12">
      <c r="H7024"/>
      <c r="I7024"/>
      <c r="J7024"/>
      <c r="K7024"/>
      <c r="L7024"/>
    </row>
    <row r="7025" spans="8:12">
      <c r="H7025"/>
      <c r="I7025"/>
      <c r="J7025"/>
      <c r="K7025"/>
      <c r="L7025"/>
    </row>
    <row r="7026" spans="8:12">
      <c r="H7026"/>
      <c r="I7026"/>
      <c r="J7026"/>
      <c r="K7026"/>
      <c r="L7026"/>
    </row>
    <row r="7027" spans="8:12">
      <c r="H7027"/>
      <c r="I7027"/>
      <c r="J7027"/>
      <c r="K7027"/>
      <c r="L7027"/>
    </row>
    <row r="7028" spans="8:12">
      <c r="H7028"/>
      <c r="I7028"/>
      <c r="J7028"/>
      <c r="K7028"/>
      <c r="L7028"/>
    </row>
    <row r="7029" spans="8:12">
      <c r="H7029"/>
      <c r="I7029"/>
      <c r="J7029"/>
      <c r="K7029"/>
      <c r="L7029"/>
    </row>
    <row r="7030" spans="8:12">
      <c r="H7030"/>
      <c r="I7030"/>
      <c r="J7030"/>
      <c r="K7030"/>
      <c r="L7030"/>
    </row>
    <row r="7031" spans="8:12">
      <c r="H7031"/>
      <c r="I7031"/>
      <c r="J7031"/>
      <c r="K7031"/>
      <c r="L7031"/>
    </row>
    <row r="7032" spans="8:12">
      <c r="H7032"/>
      <c r="I7032"/>
      <c r="J7032"/>
      <c r="K7032"/>
      <c r="L7032"/>
    </row>
    <row r="7033" spans="8:12">
      <c r="H7033"/>
      <c r="I7033"/>
      <c r="J7033"/>
      <c r="K7033"/>
      <c r="L7033"/>
    </row>
    <row r="7034" spans="8:12">
      <c r="H7034"/>
      <c r="I7034"/>
      <c r="J7034"/>
      <c r="K7034"/>
      <c r="L7034"/>
    </row>
    <row r="7035" spans="8:12">
      <c r="H7035"/>
      <c r="I7035"/>
      <c r="J7035"/>
      <c r="K7035"/>
      <c r="L7035"/>
    </row>
    <row r="7036" spans="8:12">
      <c r="H7036"/>
      <c r="I7036"/>
      <c r="J7036"/>
      <c r="K7036"/>
      <c r="L7036"/>
    </row>
    <row r="7037" spans="8:12">
      <c r="H7037"/>
      <c r="I7037"/>
      <c r="J7037"/>
      <c r="K7037"/>
      <c r="L7037"/>
    </row>
    <row r="7038" spans="8:12">
      <c r="H7038"/>
      <c r="I7038"/>
      <c r="J7038"/>
      <c r="K7038"/>
      <c r="L7038"/>
    </row>
    <row r="7039" spans="8:12">
      <c r="H7039"/>
      <c r="I7039"/>
      <c r="J7039"/>
      <c r="K7039"/>
      <c r="L7039"/>
    </row>
    <row r="7040" spans="8:12">
      <c r="H7040"/>
      <c r="I7040"/>
      <c r="J7040"/>
      <c r="K7040"/>
      <c r="L7040"/>
    </row>
    <row r="7041" spans="8:12">
      <c r="H7041"/>
      <c r="I7041"/>
      <c r="J7041"/>
      <c r="K7041"/>
      <c r="L7041"/>
    </row>
    <row r="7042" spans="8:12">
      <c r="H7042"/>
      <c r="I7042"/>
      <c r="J7042"/>
      <c r="K7042"/>
      <c r="L7042"/>
    </row>
    <row r="7043" spans="8:12">
      <c r="H7043"/>
      <c r="I7043"/>
      <c r="J7043"/>
      <c r="K7043"/>
      <c r="L7043"/>
    </row>
    <row r="7044" spans="8:12">
      <c r="H7044"/>
      <c r="I7044"/>
      <c r="J7044"/>
      <c r="K7044"/>
      <c r="L7044"/>
    </row>
    <row r="7045" spans="8:12">
      <c r="H7045"/>
      <c r="I7045"/>
      <c r="J7045"/>
      <c r="K7045"/>
      <c r="L7045"/>
    </row>
    <row r="7046" spans="8:12">
      <c r="H7046"/>
      <c r="I7046"/>
      <c r="J7046"/>
      <c r="K7046"/>
      <c r="L7046"/>
    </row>
    <row r="7047" spans="8:12">
      <c r="H7047"/>
      <c r="I7047"/>
      <c r="J7047"/>
      <c r="K7047"/>
      <c r="L7047"/>
    </row>
    <row r="7048" spans="8:12">
      <c r="H7048"/>
      <c r="I7048"/>
      <c r="J7048"/>
      <c r="K7048"/>
      <c r="L7048"/>
    </row>
    <row r="7049" spans="8:12">
      <c r="H7049"/>
      <c r="I7049"/>
      <c r="J7049"/>
      <c r="K7049"/>
      <c r="L7049"/>
    </row>
    <row r="7050" spans="8:12">
      <c r="H7050"/>
      <c r="I7050"/>
      <c r="J7050"/>
      <c r="K7050"/>
      <c r="L7050"/>
    </row>
    <row r="7051" spans="8:12">
      <c r="H7051"/>
      <c r="I7051"/>
      <c r="J7051"/>
      <c r="K7051"/>
      <c r="L7051"/>
    </row>
    <row r="7052" spans="8:12">
      <c r="H7052"/>
      <c r="I7052"/>
      <c r="J7052"/>
      <c r="K7052"/>
      <c r="L7052"/>
    </row>
    <row r="7053" spans="8:12">
      <c r="H7053"/>
      <c r="I7053"/>
      <c r="J7053"/>
      <c r="K7053"/>
      <c r="L7053"/>
    </row>
    <row r="7054" spans="8:12">
      <c r="H7054"/>
      <c r="I7054"/>
      <c r="J7054"/>
      <c r="K7054"/>
      <c r="L7054"/>
    </row>
    <row r="7055" spans="8:12">
      <c r="H7055"/>
      <c r="I7055"/>
      <c r="J7055"/>
      <c r="K7055"/>
      <c r="L7055"/>
    </row>
    <row r="7056" spans="8:12">
      <c r="H7056"/>
      <c r="I7056"/>
      <c r="J7056"/>
      <c r="K7056"/>
      <c r="L7056"/>
    </row>
    <row r="7057" spans="8:12">
      <c r="H7057"/>
      <c r="I7057"/>
      <c r="J7057"/>
      <c r="K7057"/>
      <c r="L7057"/>
    </row>
    <row r="7058" spans="8:12">
      <c r="H7058"/>
      <c r="I7058"/>
      <c r="J7058"/>
      <c r="K7058"/>
      <c r="L7058"/>
    </row>
    <row r="7059" spans="8:12">
      <c r="H7059"/>
      <c r="I7059"/>
      <c r="J7059"/>
      <c r="K7059"/>
      <c r="L7059"/>
    </row>
    <row r="7060" spans="8:12">
      <c r="H7060"/>
      <c r="I7060"/>
      <c r="J7060"/>
      <c r="K7060"/>
      <c r="L7060"/>
    </row>
    <row r="7061" spans="8:12">
      <c r="H7061"/>
      <c r="I7061"/>
      <c r="J7061"/>
      <c r="K7061"/>
      <c r="L7061"/>
    </row>
    <row r="7062" spans="8:12">
      <c r="H7062"/>
      <c r="I7062"/>
      <c r="J7062"/>
      <c r="K7062"/>
      <c r="L7062"/>
    </row>
    <row r="7063" spans="8:12">
      <c r="H7063"/>
      <c r="I7063"/>
      <c r="J7063"/>
      <c r="K7063"/>
      <c r="L7063"/>
    </row>
    <row r="7064" spans="8:12">
      <c r="H7064"/>
      <c r="I7064"/>
      <c r="J7064"/>
      <c r="K7064"/>
      <c r="L7064"/>
    </row>
    <row r="7065" spans="8:12">
      <c r="H7065"/>
      <c r="I7065"/>
      <c r="J7065"/>
      <c r="K7065"/>
      <c r="L7065"/>
    </row>
    <row r="7066" spans="8:12">
      <c r="H7066"/>
      <c r="I7066"/>
      <c r="J7066"/>
      <c r="K7066"/>
      <c r="L7066"/>
    </row>
    <row r="7067" spans="8:12">
      <c r="H7067"/>
      <c r="I7067"/>
      <c r="J7067"/>
      <c r="K7067"/>
      <c r="L7067"/>
    </row>
    <row r="7068" spans="8:12">
      <c r="H7068"/>
      <c r="I7068"/>
      <c r="J7068"/>
      <c r="K7068"/>
      <c r="L7068"/>
    </row>
    <row r="7069" spans="8:12">
      <c r="H7069"/>
      <c r="I7069"/>
      <c r="J7069"/>
      <c r="K7069"/>
      <c r="L7069"/>
    </row>
    <row r="7070" spans="8:12">
      <c r="H7070"/>
      <c r="I7070"/>
      <c r="J7070"/>
      <c r="K7070"/>
      <c r="L7070"/>
    </row>
    <row r="7071" spans="8:12">
      <c r="H7071"/>
      <c r="I7071"/>
      <c r="J7071"/>
      <c r="K7071"/>
      <c r="L7071"/>
    </row>
    <row r="7072" spans="8:12">
      <c r="H7072"/>
      <c r="I7072"/>
      <c r="J7072"/>
      <c r="K7072"/>
      <c r="L7072"/>
    </row>
    <row r="7073" spans="8:12">
      <c r="H7073"/>
      <c r="I7073"/>
      <c r="J7073"/>
      <c r="K7073"/>
      <c r="L7073"/>
    </row>
    <row r="7074" spans="8:12">
      <c r="H7074"/>
      <c r="I7074"/>
      <c r="J7074"/>
      <c r="K7074"/>
      <c r="L7074"/>
    </row>
    <row r="7075" spans="8:12">
      <c r="H7075"/>
      <c r="I7075"/>
      <c r="J7075"/>
      <c r="K7075"/>
      <c r="L7075"/>
    </row>
    <row r="7076" spans="8:12">
      <c r="H7076"/>
      <c r="I7076"/>
      <c r="J7076"/>
      <c r="K7076"/>
      <c r="L7076"/>
    </row>
    <row r="7077" spans="8:12">
      <c r="H7077"/>
      <c r="I7077"/>
      <c r="J7077"/>
      <c r="K7077"/>
      <c r="L7077"/>
    </row>
    <row r="7078" spans="8:12">
      <c r="H7078"/>
      <c r="I7078"/>
      <c r="J7078"/>
      <c r="K7078"/>
      <c r="L7078"/>
    </row>
    <row r="7079" spans="8:12">
      <c r="H7079"/>
      <c r="I7079"/>
      <c r="J7079"/>
      <c r="K7079"/>
      <c r="L7079"/>
    </row>
    <row r="7080" spans="8:12">
      <c r="H7080"/>
      <c r="I7080"/>
      <c r="J7080"/>
      <c r="K7080"/>
      <c r="L7080"/>
    </row>
    <row r="7081" spans="8:12">
      <c r="H7081"/>
      <c r="I7081"/>
      <c r="J7081"/>
      <c r="K7081"/>
      <c r="L7081"/>
    </row>
    <row r="7082" spans="8:12">
      <c r="H7082"/>
      <c r="I7082"/>
      <c r="J7082"/>
      <c r="K7082"/>
      <c r="L7082"/>
    </row>
    <row r="7083" spans="8:12">
      <c r="H7083"/>
      <c r="I7083"/>
      <c r="J7083"/>
      <c r="K7083"/>
      <c r="L7083"/>
    </row>
    <row r="7084" spans="8:12">
      <c r="H7084"/>
      <c r="I7084"/>
      <c r="J7084"/>
      <c r="K7084"/>
      <c r="L7084"/>
    </row>
    <row r="7085" spans="8:12">
      <c r="H7085"/>
      <c r="I7085"/>
      <c r="J7085"/>
      <c r="K7085"/>
      <c r="L7085"/>
    </row>
    <row r="7086" spans="8:12">
      <c r="H7086"/>
      <c r="I7086"/>
      <c r="J7086"/>
      <c r="K7086"/>
      <c r="L7086"/>
    </row>
    <row r="7087" spans="8:12">
      <c r="H7087"/>
      <c r="I7087"/>
      <c r="J7087"/>
      <c r="K7087"/>
      <c r="L7087"/>
    </row>
    <row r="7088" spans="8:12">
      <c r="H7088"/>
      <c r="I7088"/>
      <c r="J7088"/>
      <c r="K7088"/>
      <c r="L7088"/>
    </row>
    <row r="7089" spans="8:12">
      <c r="H7089"/>
      <c r="I7089"/>
      <c r="J7089"/>
      <c r="K7089"/>
      <c r="L7089"/>
    </row>
    <row r="7090" spans="8:12">
      <c r="H7090"/>
      <c r="I7090"/>
      <c r="J7090"/>
      <c r="K7090"/>
      <c r="L7090"/>
    </row>
    <row r="7091" spans="8:12">
      <c r="H7091"/>
      <c r="I7091"/>
      <c r="J7091"/>
      <c r="K7091"/>
      <c r="L7091"/>
    </row>
    <row r="7092" spans="8:12">
      <c r="H7092"/>
      <c r="I7092"/>
      <c r="J7092"/>
      <c r="K7092"/>
      <c r="L7092"/>
    </row>
    <row r="7093" spans="8:12">
      <c r="H7093"/>
      <c r="I7093"/>
      <c r="J7093"/>
      <c r="K7093"/>
      <c r="L7093"/>
    </row>
    <row r="7094" spans="8:12">
      <c r="H7094"/>
      <c r="I7094"/>
      <c r="J7094"/>
      <c r="K7094"/>
      <c r="L7094"/>
    </row>
    <row r="7095" spans="8:12">
      <c r="H7095"/>
      <c r="I7095"/>
      <c r="J7095"/>
      <c r="K7095"/>
      <c r="L7095"/>
    </row>
    <row r="7096" spans="8:12">
      <c r="H7096"/>
      <c r="I7096"/>
      <c r="J7096"/>
      <c r="K7096"/>
      <c r="L7096"/>
    </row>
    <row r="7097" spans="8:12">
      <c r="H7097"/>
      <c r="I7097"/>
      <c r="J7097"/>
      <c r="K7097"/>
      <c r="L7097"/>
    </row>
    <row r="7098" spans="8:12">
      <c r="H7098"/>
      <c r="I7098"/>
      <c r="J7098"/>
      <c r="K7098"/>
      <c r="L7098"/>
    </row>
    <row r="7099" spans="8:12">
      <c r="H7099"/>
      <c r="I7099"/>
      <c r="J7099"/>
      <c r="K7099"/>
      <c r="L7099"/>
    </row>
    <row r="7100" spans="8:12">
      <c r="H7100"/>
      <c r="I7100"/>
      <c r="J7100"/>
      <c r="K7100"/>
      <c r="L7100"/>
    </row>
    <row r="7101" spans="8:12">
      <c r="H7101"/>
      <c r="I7101"/>
      <c r="J7101"/>
      <c r="K7101"/>
      <c r="L7101"/>
    </row>
    <row r="7102" spans="8:12">
      <c r="H7102"/>
      <c r="I7102"/>
      <c r="J7102"/>
      <c r="K7102"/>
      <c r="L7102"/>
    </row>
    <row r="7103" spans="8:12">
      <c r="H7103"/>
      <c r="I7103"/>
      <c r="J7103"/>
      <c r="K7103"/>
      <c r="L7103"/>
    </row>
    <row r="7104" spans="8:12">
      <c r="H7104"/>
      <c r="I7104"/>
      <c r="J7104"/>
      <c r="K7104"/>
      <c r="L7104"/>
    </row>
    <row r="7105" spans="8:12">
      <c r="H7105"/>
      <c r="I7105"/>
      <c r="J7105"/>
      <c r="K7105"/>
      <c r="L7105"/>
    </row>
    <row r="7106" spans="8:12">
      <c r="H7106"/>
      <c r="I7106"/>
      <c r="J7106"/>
      <c r="K7106"/>
      <c r="L7106"/>
    </row>
    <row r="7107" spans="8:12">
      <c r="H7107"/>
      <c r="I7107"/>
      <c r="J7107"/>
      <c r="K7107"/>
      <c r="L7107"/>
    </row>
    <row r="7108" spans="8:12">
      <c r="H7108"/>
      <c r="I7108"/>
      <c r="J7108"/>
      <c r="K7108"/>
      <c r="L7108"/>
    </row>
    <row r="7109" spans="8:12">
      <c r="H7109"/>
      <c r="I7109"/>
      <c r="J7109"/>
      <c r="K7109"/>
      <c r="L7109"/>
    </row>
    <row r="7110" spans="8:12">
      <c r="H7110"/>
      <c r="I7110"/>
      <c r="J7110"/>
      <c r="K7110"/>
      <c r="L7110"/>
    </row>
    <row r="7111" spans="8:12">
      <c r="H7111"/>
      <c r="I7111"/>
      <c r="J7111"/>
      <c r="K7111"/>
      <c r="L7111"/>
    </row>
    <row r="7112" spans="8:12">
      <c r="H7112"/>
      <c r="I7112"/>
      <c r="J7112"/>
      <c r="K7112"/>
      <c r="L7112"/>
    </row>
    <row r="7113" spans="8:12">
      <c r="H7113"/>
      <c r="I7113"/>
      <c r="J7113"/>
      <c r="K7113"/>
      <c r="L7113"/>
    </row>
    <row r="7114" spans="8:12">
      <c r="H7114"/>
      <c r="I7114"/>
      <c r="J7114"/>
      <c r="K7114"/>
      <c r="L7114"/>
    </row>
    <row r="7115" spans="8:12">
      <c r="H7115"/>
      <c r="I7115"/>
      <c r="J7115"/>
      <c r="K7115"/>
      <c r="L7115"/>
    </row>
    <row r="7116" spans="8:12">
      <c r="H7116"/>
      <c r="I7116"/>
      <c r="J7116"/>
      <c r="K7116"/>
      <c r="L7116"/>
    </row>
    <row r="7117" spans="8:12">
      <c r="H7117"/>
      <c r="I7117"/>
      <c r="J7117"/>
      <c r="K7117"/>
      <c r="L7117"/>
    </row>
    <row r="7118" spans="8:12">
      <c r="H7118"/>
      <c r="I7118"/>
      <c r="J7118"/>
      <c r="K7118"/>
      <c r="L7118"/>
    </row>
    <row r="7119" spans="8:12">
      <c r="H7119"/>
      <c r="I7119"/>
      <c r="J7119"/>
      <c r="K7119"/>
      <c r="L7119"/>
    </row>
    <row r="7120" spans="8:12">
      <c r="H7120"/>
      <c r="I7120"/>
      <c r="J7120"/>
      <c r="K7120"/>
      <c r="L7120"/>
    </row>
    <row r="7121" spans="8:12">
      <c r="H7121"/>
      <c r="I7121"/>
      <c r="J7121"/>
      <c r="K7121"/>
      <c r="L7121"/>
    </row>
    <row r="7122" spans="8:12">
      <c r="H7122"/>
      <c r="I7122"/>
      <c r="J7122"/>
      <c r="K7122"/>
      <c r="L7122"/>
    </row>
    <row r="7123" spans="8:12">
      <c r="H7123"/>
      <c r="I7123"/>
      <c r="J7123"/>
      <c r="K7123"/>
      <c r="L7123"/>
    </row>
    <row r="7124" spans="8:12">
      <c r="H7124"/>
      <c r="I7124"/>
      <c r="J7124"/>
      <c r="K7124"/>
      <c r="L7124"/>
    </row>
    <row r="7125" spans="8:12">
      <c r="H7125"/>
      <c r="I7125"/>
      <c r="J7125"/>
      <c r="K7125"/>
      <c r="L7125"/>
    </row>
    <row r="7126" spans="8:12">
      <c r="H7126"/>
      <c r="I7126"/>
      <c r="J7126"/>
      <c r="K7126"/>
      <c r="L7126"/>
    </row>
    <row r="7127" spans="8:12">
      <c r="H7127"/>
      <c r="I7127"/>
      <c r="J7127"/>
      <c r="K7127"/>
      <c r="L7127"/>
    </row>
    <row r="7128" spans="8:12">
      <c r="H7128"/>
      <c r="I7128"/>
      <c r="J7128"/>
      <c r="K7128"/>
      <c r="L7128"/>
    </row>
    <row r="7129" spans="8:12">
      <c r="H7129"/>
      <c r="I7129"/>
      <c r="J7129"/>
      <c r="K7129"/>
      <c r="L7129"/>
    </row>
    <row r="7130" spans="8:12">
      <c r="H7130"/>
      <c r="I7130"/>
      <c r="J7130"/>
      <c r="K7130"/>
      <c r="L7130"/>
    </row>
    <row r="7131" spans="8:12">
      <c r="H7131"/>
      <c r="I7131"/>
      <c r="J7131"/>
      <c r="K7131"/>
      <c r="L7131"/>
    </row>
    <row r="7132" spans="8:12">
      <c r="H7132"/>
      <c r="I7132"/>
      <c r="J7132"/>
      <c r="K7132"/>
      <c r="L7132"/>
    </row>
    <row r="7133" spans="8:12">
      <c r="H7133"/>
      <c r="I7133"/>
      <c r="J7133"/>
      <c r="K7133"/>
      <c r="L7133"/>
    </row>
    <row r="7134" spans="8:12">
      <c r="H7134"/>
      <c r="I7134"/>
      <c r="J7134"/>
      <c r="K7134"/>
      <c r="L7134"/>
    </row>
    <row r="7135" spans="8:12">
      <c r="H7135"/>
      <c r="I7135"/>
      <c r="J7135"/>
      <c r="K7135"/>
      <c r="L7135"/>
    </row>
    <row r="7136" spans="8:12">
      <c r="H7136"/>
      <c r="I7136"/>
      <c r="J7136"/>
      <c r="K7136"/>
      <c r="L7136"/>
    </row>
    <row r="7137" spans="8:12">
      <c r="H7137"/>
      <c r="I7137"/>
      <c r="J7137"/>
      <c r="K7137"/>
      <c r="L7137"/>
    </row>
    <row r="7138" spans="8:12">
      <c r="H7138"/>
      <c r="I7138"/>
      <c r="J7138"/>
      <c r="K7138"/>
      <c r="L7138"/>
    </row>
    <row r="7139" spans="8:12">
      <c r="H7139"/>
      <c r="I7139"/>
      <c r="J7139"/>
      <c r="K7139"/>
      <c r="L7139"/>
    </row>
    <row r="7140" spans="8:12">
      <c r="H7140"/>
      <c r="I7140"/>
      <c r="J7140"/>
      <c r="K7140"/>
      <c r="L7140"/>
    </row>
    <row r="7141" spans="8:12">
      <c r="H7141"/>
      <c r="I7141"/>
      <c r="J7141"/>
      <c r="K7141"/>
      <c r="L7141"/>
    </row>
    <row r="7142" spans="8:12">
      <c r="H7142"/>
      <c r="I7142"/>
      <c r="J7142"/>
      <c r="K7142"/>
      <c r="L7142"/>
    </row>
    <row r="7143" spans="8:12">
      <c r="H7143"/>
      <c r="I7143"/>
      <c r="J7143"/>
      <c r="K7143"/>
      <c r="L7143"/>
    </row>
    <row r="7144" spans="8:12">
      <c r="H7144"/>
      <c r="I7144"/>
      <c r="J7144"/>
      <c r="K7144"/>
      <c r="L7144"/>
    </row>
    <row r="7145" spans="8:12">
      <c r="H7145"/>
      <c r="I7145"/>
      <c r="J7145"/>
      <c r="K7145"/>
      <c r="L7145"/>
    </row>
    <row r="7146" spans="8:12">
      <c r="H7146"/>
      <c r="I7146"/>
      <c r="J7146"/>
      <c r="K7146"/>
      <c r="L7146"/>
    </row>
    <row r="7147" spans="8:12">
      <c r="H7147"/>
      <c r="I7147"/>
      <c r="J7147"/>
      <c r="K7147"/>
      <c r="L7147"/>
    </row>
    <row r="7148" spans="8:12">
      <c r="H7148"/>
      <c r="I7148"/>
      <c r="J7148"/>
      <c r="K7148"/>
      <c r="L7148"/>
    </row>
    <row r="7149" spans="8:12">
      <c r="H7149"/>
      <c r="I7149"/>
      <c r="J7149"/>
      <c r="K7149"/>
      <c r="L7149"/>
    </row>
    <row r="7150" spans="8:12">
      <c r="H7150"/>
      <c r="I7150"/>
      <c r="J7150"/>
      <c r="K7150"/>
      <c r="L7150"/>
    </row>
    <row r="7151" spans="8:12">
      <c r="H7151"/>
      <c r="I7151"/>
      <c r="J7151"/>
      <c r="K7151"/>
      <c r="L7151"/>
    </row>
    <row r="7152" spans="8:12">
      <c r="H7152"/>
      <c r="I7152"/>
      <c r="J7152"/>
      <c r="K7152"/>
      <c r="L7152"/>
    </row>
    <row r="7153" spans="8:12">
      <c r="H7153"/>
      <c r="I7153"/>
      <c r="J7153"/>
      <c r="K7153"/>
      <c r="L7153"/>
    </row>
    <row r="7154" spans="8:12">
      <c r="H7154"/>
      <c r="I7154"/>
      <c r="J7154"/>
      <c r="K7154"/>
      <c r="L7154"/>
    </row>
    <row r="7155" spans="8:12">
      <c r="H7155"/>
      <c r="I7155"/>
      <c r="J7155"/>
      <c r="K7155"/>
      <c r="L7155"/>
    </row>
    <row r="7156" spans="8:12">
      <c r="H7156"/>
      <c r="I7156"/>
      <c r="J7156"/>
      <c r="K7156"/>
      <c r="L7156"/>
    </row>
    <row r="7157" spans="8:12">
      <c r="H7157"/>
      <c r="I7157"/>
      <c r="J7157"/>
      <c r="K7157"/>
      <c r="L7157"/>
    </row>
    <row r="7158" spans="8:12">
      <c r="H7158"/>
      <c r="I7158"/>
      <c r="J7158"/>
      <c r="K7158"/>
      <c r="L7158"/>
    </row>
    <row r="7159" spans="8:12">
      <c r="H7159"/>
      <c r="I7159"/>
      <c r="J7159"/>
      <c r="K7159"/>
      <c r="L7159"/>
    </row>
    <row r="7160" spans="8:12">
      <c r="H7160"/>
      <c r="I7160"/>
      <c r="J7160"/>
      <c r="K7160"/>
      <c r="L7160"/>
    </row>
    <row r="7161" spans="8:12">
      <c r="H7161"/>
      <c r="I7161"/>
      <c r="J7161"/>
      <c r="K7161"/>
      <c r="L7161"/>
    </row>
    <row r="7162" spans="8:12">
      <c r="H7162"/>
      <c r="I7162"/>
      <c r="J7162"/>
      <c r="K7162"/>
      <c r="L7162"/>
    </row>
    <row r="7163" spans="8:12">
      <c r="H7163"/>
      <c r="I7163"/>
      <c r="J7163"/>
      <c r="K7163"/>
      <c r="L7163"/>
    </row>
    <row r="7164" spans="8:12">
      <c r="H7164"/>
      <c r="I7164"/>
      <c r="J7164"/>
      <c r="K7164"/>
      <c r="L7164"/>
    </row>
    <row r="7165" spans="8:12">
      <c r="H7165"/>
      <c r="I7165"/>
      <c r="J7165"/>
      <c r="K7165"/>
      <c r="L7165"/>
    </row>
    <row r="7166" spans="8:12">
      <c r="H7166"/>
      <c r="I7166"/>
      <c r="J7166"/>
      <c r="K7166"/>
      <c r="L7166"/>
    </row>
    <row r="7167" spans="8:12">
      <c r="H7167"/>
      <c r="I7167"/>
      <c r="J7167"/>
      <c r="K7167"/>
      <c r="L7167"/>
    </row>
    <row r="7168" spans="8:12">
      <c r="H7168"/>
      <c r="I7168"/>
      <c r="J7168"/>
      <c r="K7168"/>
      <c r="L7168"/>
    </row>
    <row r="7169" spans="8:12">
      <c r="H7169"/>
      <c r="I7169"/>
      <c r="J7169"/>
      <c r="K7169"/>
      <c r="L7169"/>
    </row>
    <row r="7170" spans="8:12">
      <c r="H7170"/>
      <c r="I7170"/>
      <c r="J7170"/>
      <c r="K7170"/>
      <c r="L7170"/>
    </row>
    <row r="7171" spans="8:12">
      <c r="H7171"/>
      <c r="I7171"/>
      <c r="J7171"/>
      <c r="K7171"/>
      <c r="L7171"/>
    </row>
    <row r="7172" spans="8:12">
      <c r="H7172"/>
      <c r="I7172"/>
      <c r="J7172"/>
      <c r="K7172"/>
      <c r="L7172"/>
    </row>
    <row r="7173" spans="8:12">
      <c r="H7173"/>
      <c r="I7173"/>
      <c r="J7173"/>
      <c r="K7173"/>
      <c r="L7173"/>
    </row>
    <row r="7174" spans="8:12">
      <c r="H7174"/>
      <c r="I7174"/>
      <c r="J7174"/>
      <c r="K7174"/>
      <c r="L7174"/>
    </row>
    <row r="7175" spans="8:12">
      <c r="H7175"/>
      <c r="I7175"/>
      <c r="J7175"/>
      <c r="K7175"/>
      <c r="L7175"/>
    </row>
    <row r="7176" spans="8:12">
      <c r="H7176"/>
      <c r="I7176"/>
      <c r="J7176"/>
      <c r="K7176"/>
      <c r="L7176"/>
    </row>
    <row r="7177" spans="8:12">
      <c r="H7177"/>
      <c r="I7177"/>
      <c r="J7177"/>
      <c r="K7177"/>
      <c r="L7177"/>
    </row>
    <row r="7178" spans="8:12">
      <c r="H7178"/>
      <c r="I7178"/>
      <c r="J7178"/>
      <c r="K7178"/>
      <c r="L7178"/>
    </row>
    <row r="7179" spans="8:12">
      <c r="H7179"/>
      <c r="I7179"/>
      <c r="J7179"/>
      <c r="K7179"/>
      <c r="L7179"/>
    </row>
    <row r="7180" spans="8:12">
      <c r="H7180"/>
      <c r="I7180"/>
      <c r="J7180"/>
      <c r="K7180"/>
      <c r="L7180"/>
    </row>
    <row r="7181" spans="8:12">
      <c r="H7181"/>
      <c r="I7181"/>
      <c r="J7181"/>
      <c r="K7181"/>
      <c r="L7181"/>
    </row>
    <row r="7182" spans="8:12">
      <c r="H7182"/>
      <c r="I7182"/>
      <c r="J7182"/>
      <c r="K7182"/>
      <c r="L7182"/>
    </row>
    <row r="7183" spans="8:12">
      <c r="H7183"/>
      <c r="I7183"/>
      <c r="J7183"/>
      <c r="K7183"/>
      <c r="L7183"/>
    </row>
    <row r="7184" spans="8:12">
      <c r="H7184"/>
      <c r="I7184"/>
      <c r="J7184"/>
      <c r="K7184"/>
      <c r="L7184"/>
    </row>
    <row r="7185" spans="8:12">
      <c r="H7185"/>
      <c r="I7185"/>
      <c r="J7185"/>
      <c r="K7185"/>
      <c r="L7185"/>
    </row>
    <row r="7186" spans="8:12">
      <c r="H7186"/>
      <c r="I7186"/>
      <c r="J7186"/>
      <c r="K7186"/>
      <c r="L7186"/>
    </row>
    <row r="7187" spans="8:12">
      <c r="H7187"/>
      <c r="I7187"/>
      <c r="J7187"/>
      <c r="K7187"/>
      <c r="L7187"/>
    </row>
    <row r="7188" spans="8:12">
      <c r="H7188"/>
      <c r="I7188"/>
      <c r="J7188"/>
      <c r="K7188"/>
      <c r="L7188"/>
    </row>
    <row r="7189" spans="8:12">
      <c r="H7189"/>
      <c r="I7189"/>
      <c r="J7189"/>
      <c r="K7189"/>
      <c r="L7189"/>
    </row>
    <row r="7190" spans="8:12">
      <c r="H7190"/>
      <c r="I7190"/>
      <c r="J7190"/>
      <c r="K7190"/>
      <c r="L7190"/>
    </row>
    <row r="7191" spans="8:12">
      <c r="H7191"/>
      <c r="I7191"/>
      <c r="J7191"/>
      <c r="K7191"/>
      <c r="L7191"/>
    </row>
    <row r="7192" spans="8:12">
      <c r="H7192"/>
      <c r="I7192"/>
      <c r="J7192"/>
      <c r="K7192"/>
      <c r="L7192"/>
    </row>
    <row r="7193" spans="8:12">
      <c r="H7193"/>
      <c r="I7193"/>
      <c r="J7193"/>
      <c r="K7193"/>
      <c r="L7193"/>
    </row>
    <row r="7194" spans="8:12">
      <c r="H7194"/>
      <c r="I7194"/>
      <c r="J7194"/>
      <c r="K7194"/>
      <c r="L7194"/>
    </row>
    <row r="7195" spans="8:12">
      <c r="H7195"/>
      <c r="I7195"/>
      <c r="J7195"/>
      <c r="K7195"/>
      <c r="L7195"/>
    </row>
    <row r="7196" spans="8:12">
      <c r="H7196"/>
      <c r="I7196"/>
      <c r="J7196"/>
      <c r="K7196"/>
      <c r="L7196"/>
    </row>
    <row r="7197" spans="8:12">
      <c r="H7197"/>
      <c r="I7197"/>
      <c r="J7197"/>
      <c r="K7197"/>
      <c r="L7197"/>
    </row>
    <row r="7198" spans="8:12">
      <c r="H7198"/>
      <c r="I7198"/>
      <c r="J7198"/>
      <c r="K7198"/>
      <c r="L7198"/>
    </row>
    <row r="7199" spans="8:12">
      <c r="H7199"/>
      <c r="I7199"/>
      <c r="J7199"/>
      <c r="K7199"/>
      <c r="L7199"/>
    </row>
    <row r="7200" spans="8:12">
      <c r="H7200"/>
      <c r="I7200"/>
      <c r="J7200"/>
      <c r="K7200"/>
      <c r="L7200"/>
    </row>
    <row r="7201" spans="8:12">
      <c r="H7201"/>
      <c r="I7201"/>
      <c r="J7201"/>
      <c r="K7201"/>
      <c r="L7201"/>
    </row>
    <row r="7202" spans="8:12">
      <c r="H7202"/>
      <c r="I7202"/>
      <c r="J7202"/>
      <c r="K7202"/>
      <c r="L7202"/>
    </row>
    <row r="7203" spans="8:12">
      <c r="H7203"/>
      <c r="I7203"/>
      <c r="J7203"/>
      <c r="K7203"/>
      <c r="L7203"/>
    </row>
    <row r="7204" spans="8:12">
      <c r="H7204"/>
      <c r="I7204"/>
      <c r="J7204"/>
      <c r="K7204"/>
      <c r="L7204"/>
    </row>
    <row r="7205" spans="8:12">
      <c r="H7205"/>
      <c r="I7205"/>
      <c r="J7205"/>
      <c r="K7205"/>
      <c r="L7205"/>
    </row>
    <row r="7206" spans="8:12">
      <c r="H7206"/>
      <c r="I7206"/>
      <c r="J7206"/>
      <c r="K7206"/>
      <c r="L7206"/>
    </row>
    <row r="7207" spans="8:12">
      <c r="H7207"/>
      <c r="I7207"/>
      <c r="J7207"/>
      <c r="K7207"/>
      <c r="L7207"/>
    </row>
    <row r="7208" spans="8:12">
      <c r="H7208"/>
      <c r="I7208"/>
      <c r="J7208"/>
      <c r="K7208"/>
      <c r="L7208"/>
    </row>
    <row r="7209" spans="8:12">
      <c r="H7209"/>
      <c r="I7209"/>
      <c r="J7209"/>
      <c r="K7209"/>
      <c r="L7209"/>
    </row>
    <row r="7210" spans="8:12">
      <c r="H7210"/>
      <c r="I7210"/>
      <c r="J7210"/>
      <c r="K7210"/>
      <c r="L7210"/>
    </row>
    <row r="7211" spans="8:12">
      <c r="H7211"/>
      <c r="I7211"/>
      <c r="J7211"/>
      <c r="K7211"/>
      <c r="L7211"/>
    </row>
    <row r="7212" spans="8:12">
      <c r="H7212"/>
      <c r="I7212"/>
      <c r="J7212"/>
      <c r="K7212"/>
      <c r="L7212"/>
    </row>
    <row r="7213" spans="8:12">
      <c r="H7213"/>
      <c r="I7213"/>
      <c r="J7213"/>
      <c r="K7213"/>
      <c r="L7213"/>
    </row>
    <row r="7214" spans="8:12">
      <c r="H7214"/>
      <c r="I7214"/>
      <c r="J7214"/>
      <c r="K7214"/>
      <c r="L7214"/>
    </row>
    <row r="7215" spans="8:12">
      <c r="H7215"/>
      <c r="I7215"/>
      <c r="J7215"/>
      <c r="K7215"/>
      <c r="L7215"/>
    </row>
    <row r="7216" spans="8:12">
      <c r="H7216"/>
      <c r="I7216"/>
      <c r="J7216"/>
      <c r="K7216"/>
      <c r="L7216"/>
    </row>
    <row r="7217" spans="8:12">
      <c r="H7217"/>
      <c r="I7217"/>
      <c r="J7217"/>
      <c r="K7217"/>
      <c r="L7217"/>
    </row>
    <row r="7218" spans="8:12">
      <c r="H7218"/>
      <c r="I7218"/>
      <c r="J7218"/>
      <c r="K7218"/>
      <c r="L7218"/>
    </row>
    <row r="7219" spans="8:12">
      <c r="H7219"/>
      <c r="I7219"/>
      <c r="J7219"/>
      <c r="K7219"/>
      <c r="L7219"/>
    </row>
    <row r="7220" spans="8:12">
      <c r="H7220"/>
      <c r="I7220"/>
      <c r="J7220"/>
      <c r="K7220"/>
      <c r="L7220"/>
    </row>
    <row r="7221" spans="8:12">
      <c r="H7221"/>
      <c r="I7221"/>
      <c r="J7221"/>
      <c r="K7221"/>
      <c r="L7221"/>
    </row>
    <row r="7222" spans="8:12">
      <c r="H7222"/>
      <c r="I7222"/>
      <c r="J7222"/>
      <c r="K7222"/>
      <c r="L7222"/>
    </row>
    <row r="7223" spans="8:12">
      <c r="H7223"/>
      <c r="I7223"/>
      <c r="J7223"/>
      <c r="K7223"/>
      <c r="L7223"/>
    </row>
    <row r="7224" spans="8:12">
      <c r="H7224"/>
      <c r="I7224"/>
      <c r="J7224"/>
      <c r="K7224"/>
      <c r="L7224"/>
    </row>
    <row r="7225" spans="8:12">
      <c r="H7225"/>
      <c r="I7225"/>
      <c r="J7225"/>
      <c r="K7225"/>
      <c r="L7225"/>
    </row>
    <row r="7226" spans="8:12">
      <c r="H7226"/>
      <c r="I7226"/>
      <c r="J7226"/>
      <c r="K7226"/>
      <c r="L7226"/>
    </row>
    <row r="7227" spans="8:12">
      <c r="H7227"/>
      <c r="I7227"/>
      <c r="J7227"/>
      <c r="K7227"/>
      <c r="L7227"/>
    </row>
    <row r="7228" spans="8:12">
      <c r="H7228"/>
      <c r="I7228"/>
      <c r="J7228"/>
      <c r="K7228"/>
      <c r="L7228"/>
    </row>
    <row r="7229" spans="8:12">
      <c r="H7229"/>
      <c r="I7229"/>
      <c r="J7229"/>
      <c r="K7229"/>
      <c r="L7229"/>
    </row>
    <row r="7230" spans="8:12">
      <c r="H7230"/>
      <c r="I7230"/>
      <c r="J7230"/>
      <c r="K7230"/>
      <c r="L7230"/>
    </row>
    <row r="7231" spans="8:12">
      <c r="H7231"/>
      <c r="I7231"/>
      <c r="J7231"/>
      <c r="K7231"/>
      <c r="L7231"/>
    </row>
    <row r="7232" spans="8:12">
      <c r="H7232"/>
      <c r="I7232"/>
      <c r="J7232"/>
      <c r="K7232"/>
      <c r="L7232"/>
    </row>
    <row r="7233" spans="8:12">
      <c r="H7233"/>
      <c r="I7233"/>
      <c r="J7233"/>
      <c r="K7233"/>
      <c r="L7233"/>
    </row>
    <row r="7234" spans="8:12">
      <c r="H7234"/>
      <c r="I7234"/>
      <c r="J7234"/>
      <c r="K7234"/>
      <c r="L7234"/>
    </row>
    <row r="7235" spans="8:12">
      <c r="H7235"/>
      <c r="I7235"/>
      <c r="J7235"/>
      <c r="K7235"/>
      <c r="L7235"/>
    </row>
    <row r="7236" spans="8:12">
      <c r="H7236"/>
      <c r="I7236"/>
      <c r="J7236"/>
      <c r="K7236"/>
      <c r="L7236"/>
    </row>
    <row r="7237" spans="8:12">
      <c r="H7237"/>
      <c r="I7237"/>
      <c r="J7237"/>
      <c r="K7237"/>
      <c r="L7237"/>
    </row>
    <row r="7238" spans="8:12">
      <c r="H7238"/>
      <c r="I7238"/>
      <c r="J7238"/>
      <c r="K7238"/>
      <c r="L7238"/>
    </row>
    <row r="7239" spans="8:12">
      <c r="H7239"/>
      <c r="I7239"/>
      <c r="J7239"/>
      <c r="K7239"/>
      <c r="L7239"/>
    </row>
    <row r="7240" spans="8:12">
      <c r="H7240"/>
      <c r="I7240"/>
      <c r="J7240"/>
      <c r="K7240"/>
      <c r="L7240"/>
    </row>
    <row r="7241" spans="8:12">
      <c r="H7241"/>
      <c r="I7241"/>
      <c r="J7241"/>
      <c r="K7241"/>
      <c r="L7241"/>
    </row>
    <row r="7242" spans="8:12">
      <c r="H7242"/>
      <c r="I7242"/>
      <c r="J7242"/>
      <c r="K7242"/>
      <c r="L7242"/>
    </row>
    <row r="7243" spans="8:12">
      <c r="H7243"/>
      <c r="I7243"/>
      <c r="J7243"/>
      <c r="K7243"/>
      <c r="L7243"/>
    </row>
    <row r="7244" spans="8:12">
      <c r="H7244"/>
      <c r="I7244"/>
      <c r="J7244"/>
      <c r="K7244"/>
      <c r="L7244"/>
    </row>
    <row r="7245" spans="8:12">
      <c r="H7245"/>
      <c r="I7245"/>
      <c r="J7245"/>
      <c r="K7245"/>
      <c r="L7245"/>
    </row>
    <row r="7246" spans="8:12">
      <c r="H7246"/>
      <c r="I7246"/>
      <c r="J7246"/>
      <c r="K7246"/>
      <c r="L7246"/>
    </row>
    <row r="7247" spans="8:12">
      <c r="H7247"/>
      <c r="I7247"/>
      <c r="J7247"/>
      <c r="K7247"/>
      <c r="L7247"/>
    </row>
    <row r="7248" spans="8:12">
      <c r="H7248"/>
      <c r="I7248"/>
      <c r="J7248"/>
      <c r="K7248"/>
      <c r="L7248"/>
    </row>
    <row r="7249" spans="8:12">
      <c r="H7249"/>
      <c r="I7249"/>
      <c r="J7249"/>
      <c r="K7249"/>
      <c r="L7249"/>
    </row>
    <row r="7250" spans="8:12">
      <c r="H7250"/>
      <c r="I7250"/>
      <c r="J7250"/>
      <c r="K7250"/>
      <c r="L7250"/>
    </row>
    <row r="7251" spans="8:12">
      <c r="H7251"/>
      <c r="I7251"/>
      <c r="J7251"/>
      <c r="K7251"/>
      <c r="L7251"/>
    </row>
    <row r="7252" spans="8:12">
      <c r="H7252"/>
      <c r="I7252"/>
      <c r="J7252"/>
      <c r="K7252"/>
      <c r="L7252"/>
    </row>
    <row r="7253" spans="8:12">
      <c r="H7253"/>
      <c r="I7253"/>
      <c r="J7253"/>
      <c r="K7253"/>
      <c r="L7253"/>
    </row>
    <row r="7254" spans="8:12">
      <c r="H7254"/>
      <c r="I7254"/>
      <c r="J7254"/>
      <c r="K7254"/>
      <c r="L7254"/>
    </row>
    <row r="7255" spans="8:12">
      <c r="H7255"/>
      <c r="I7255"/>
      <c r="J7255"/>
      <c r="K7255"/>
      <c r="L7255"/>
    </row>
    <row r="7256" spans="8:12">
      <c r="H7256"/>
      <c r="I7256"/>
      <c r="J7256"/>
      <c r="K7256"/>
      <c r="L7256"/>
    </row>
    <row r="7257" spans="8:12">
      <c r="H7257"/>
      <c r="I7257"/>
      <c r="J7257"/>
      <c r="K7257"/>
      <c r="L7257"/>
    </row>
    <row r="7258" spans="8:12">
      <c r="H7258"/>
      <c r="I7258"/>
      <c r="J7258"/>
      <c r="K7258"/>
      <c r="L7258"/>
    </row>
    <row r="7259" spans="8:12">
      <c r="H7259"/>
      <c r="I7259"/>
      <c r="J7259"/>
      <c r="K7259"/>
      <c r="L7259"/>
    </row>
    <row r="7260" spans="8:12">
      <c r="H7260"/>
      <c r="I7260"/>
      <c r="J7260"/>
      <c r="K7260"/>
      <c r="L7260"/>
    </row>
    <row r="7261" spans="8:12">
      <c r="H7261"/>
      <c r="I7261"/>
      <c r="J7261"/>
      <c r="K7261"/>
      <c r="L7261"/>
    </row>
    <row r="7262" spans="8:12">
      <c r="H7262"/>
      <c r="I7262"/>
      <c r="J7262"/>
      <c r="K7262"/>
      <c r="L7262"/>
    </row>
    <row r="7263" spans="8:12">
      <c r="H7263"/>
      <c r="I7263"/>
      <c r="J7263"/>
      <c r="K7263"/>
      <c r="L7263"/>
    </row>
    <row r="7264" spans="8:12">
      <c r="H7264"/>
      <c r="I7264"/>
      <c r="J7264"/>
      <c r="K7264"/>
      <c r="L7264"/>
    </row>
    <row r="7265" spans="8:12">
      <c r="H7265"/>
      <c r="I7265"/>
      <c r="J7265"/>
      <c r="K7265"/>
      <c r="L7265"/>
    </row>
    <row r="7266" spans="8:12">
      <c r="H7266"/>
      <c r="I7266"/>
      <c r="J7266"/>
      <c r="K7266"/>
      <c r="L7266"/>
    </row>
    <row r="7267" spans="8:12">
      <c r="H7267"/>
      <c r="I7267"/>
      <c r="J7267"/>
      <c r="K7267"/>
      <c r="L7267"/>
    </row>
    <row r="7268" spans="8:12">
      <c r="H7268"/>
      <c r="I7268"/>
      <c r="J7268"/>
      <c r="K7268"/>
      <c r="L7268"/>
    </row>
    <row r="7269" spans="8:12">
      <c r="H7269"/>
      <c r="I7269"/>
      <c r="J7269"/>
      <c r="K7269"/>
      <c r="L7269"/>
    </row>
    <row r="7270" spans="8:12">
      <c r="H7270"/>
      <c r="I7270"/>
      <c r="J7270"/>
      <c r="K7270"/>
      <c r="L7270"/>
    </row>
    <row r="7271" spans="8:12">
      <c r="H7271"/>
      <c r="I7271"/>
      <c r="J7271"/>
      <c r="K7271"/>
      <c r="L7271"/>
    </row>
    <row r="7272" spans="8:12">
      <c r="H7272"/>
      <c r="I7272"/>
      <c r="J7272"/>
      <c r="K7272"/>
      <c r="L7272"/>
    </row>
    <row r="7273" spans="8:12">
      <c r="H7273"/>
      <c r="I7273"/>
      <c r="J7273"/>
      <c r="K7273"/>
      <c r="L7273"/>
    </row>
    <row r="7274" spans="8:12">
      <c r="H7274"/>
      <c r="I7274"/>
      <c r="J7274"/>
      <c r="K7274"/>
      <c r="L7274"/>
    </row>
    <row r="7275" spans="8:12">
      <c r="H7275"/>
      <c r="I7275"/>
      <c r="J7275"/>
      <c r="K7275"/>
      <c r="L7275"/>
    </row>
    <row r="7276" spans="8:12">
      <c r="H7276"/>
      <c r="I7276"/>
      <c r="J7276"/>
      <c r="K7276"/>
      <c r="L7276"/>
    </row>
    <row r="7277" spans="8:12">
      <c r="H7277"/>
      <c r="I7277"/>
      <c r="J7277"/>
      <c r="K7277"/>
      <c r="L7277"/>
    </row>
    <row r="7278" spans="8:12">
      <c r="H7278"/>
      <c r="I7278"/>
      <c r="J7278"/>
      <c r="K7278"/>
      <c r="L7278"/>
    </row>
    <row r="7279" spans="8:12">
      <c r="H7279"/>
      <c r="I7279"/>
      <c r="J7279"/>
      <c r="K7279"/>
      <c r="L7279"/>
    </row>
    <row r="7280" spans="8:12">
      <c r="H7280"/>
      <c r="I7280"/>
      <c r="J7280"/>
      <c r="K7280"/>
      <c r="L7280"/>
    </row>
    <row r="7281" spans="8:12">
      <c r="H7281"/>
      <c r="I7281"/>
      <c r="J7281"/>
      <c r="K7281"/>
      <c r="L7281"/>
    </row>
    <row r="7282" spans="8:12">
      <c r="H7282"/>
      <c r="I7282"/>
      <c r="J7282"/>
      <c r="K7282"/>
      <c r="L7282"/>
    </row>
    <row r="7283" spans="8:12">
      <c r="H7283"/>
      <c r="I7283"/>
      <c r="J7283"/>
      <c r="K7283"/>
      <c r="L7283"/>
    </row>
    <row r="7284" spans="8:12">
      <c r="H7284"/>
      <c r="I7284"/>
      <c r="J7284"/>
      <c r="K7284"/>
      <c r="L7284"/>
    </row>
    <row r="7285" spans="8:12">
      <c r="H7285"/>
      <c r="I7285"/>
      <c r="J7285"/>
      <c r="K7285"/>
      <c r="L7285"/>
    </row>
    <row r="7286" spans="8:12">
      <c r="H7286"/>
      <c r="I7286"/>
      <c r="J7286"/>
      <c r="K7286"/>
      <c r="L7286"/>
    </row>
    <row r="7287" spans="8:12">
      <c r="H7287"/>
      <c r="I7287"/>
      <c r="J7287"/>
      <c r="K7287"/>
      <c r="L7287"/>
    </row>
    <row r="7288" spans="8:12">
      <c r="H7288"/>
      <c r="I7288"/>
      <c r="J7288"/>
      <c r="K7288"/>
      <c r="L7288"/>
    </row>
    <row r="7289" spans="8:12">
      <c r="H7289"/>
      <c r="I7289"/>
      <c r="J7289"/>
      <c r="K7289"/>
      <c r="L7289"/>
    </row>
    <row r="7290" spans="8:12">
      <c r="H7290"/>
      <c r="I7290"/>
      <c r="J7290"/>
      <c r="K7290"/>
      <c r="L7290"/>
    </row>
    <row r="7291" spans="8:12">
      <c r="H7291"/>
      <c r="I7291"/>
      <c r="J7291"/>
      <c r="K7291"/>
      <c r="L7291"/>
    </row>
    <row r="7292" spans="8:12">
      <c r="H7292"/>
      <c r="I7292"/>
      <c r="J7292"/>
      <c r="K7292"/>
      <c r="L7292"/>
    </row>
    <row r="7293" spans="8:12">
      <c r="H7293"/>
      <c r="I7293"/>
      <c r="J7293"/>
      <c r="K7293"/>
      <c r="L7293"/>
    </row>
    <row r="7294" spans="8:12">
      <c r="H7294"/>
      <c r="I7294"/>
      <c r="J7294"/>
      <c r="K7294"/>
      <c r="L7294"/>
    </row>
    <row r="7295" spans="8:12">
      <c r="H7295"/>
      <c r="I7295"/>
      <c r="J7295"/>
      <c r="K7295"/>
      <c r="L7295"/>
    </row>
    <row r="7296" spans="8:12">
      <c r="H7296"/>
      <c r="I7296"/>
      <c r="J7296"/>
      <c r="K7296"/>
      <c r="L7296"/>
    </row>
    <row r="7297" spans="8:12">
      <c r="H7297"/>
      <c r="I7297"/>
      <c r="J7297"/>
      <c r="K7297"/>
      <c r="L7297"/>
    </row>
    <row r="7298" spans="8:12">
      <c r="H7298"/>
      <c r="I7298"/>
      <c r="J7298"/>
      <c r="K7298"/>
      <c r="L7298"/>
    </row>
    <row r="7299" spans="8:12">
      <c r="H7299"/>
      <c r="I7299"/>
      <c r="J7299"/>
      <c r="K7299"/>
      <c r="L7299"/>
    </row>
    <row r="7300" spans="8:12">
      <c r="H7300"/>
      <c r="I7300"/>
      <c r="J7300"/>
      <c r="K7300"/>
      <c r="L7300"/>
    </row>
    <row r="7301" spans="8:12">
      <c r="H7301"/>
      <c r="I7301"/>
      <c r="J7301"/>
      <c r="K7301"/>
      <c r="L7301"/>
    </row>
    <row r="7302" spans="8:12">
      <c r="H7302"/>
      <c r="I7302"/>
      <c r="J7302"/>
      <c r="K7302"/>
      <c r="L7302"/>
    </row>
    <row r="7303" spans="8:12">
      <c r="H7303"/>
      <c r="I7303"/>
      <c r="J7303"/>
      <c r="K7303"/>
      <c r="L7303"/>
    </row>
    <row r="7304" spans="8:12">
      <c r="H7304"/>
      <c r="I7304"/>
      <c r="J7304"/>
      <c r="K7304"/>
      <c r="L7304"/>
    </row>
    <row r="7305" spans="8:12">
      <c r="H7305"/>
      <c r="I7305"/>
      <c r="J7305"/>
      <c r="K7305"/>
      <c r="L7305"/>
    </row>
    <row r="7306" spans="8:12">
      <c r="H7306"/>
      <c r="I7306"/>
      <c r="J7306"/>
      <c r="K7306"/>
      <c r="L7306"/>
    </row>
    <row r="7307" spans="8:12">
      <c r="H7307"/>
      <c r="I7307"/>
      <c r="J7307"/>
      <c r="K7307"/>
      <c r="L7307"/>
    </row>
    <row r="7308" spans="8:12">
      <c r="H7308"/>
      <c r="I7308"/>
      <c r="J7308"/>
      <c r="K7308"/>
      <c r="L7308"/>
    </row>
    <row r="7309" spans="8:12">
      <c r="H7309"/>
      <c r="I7309"/>
      <c r="J7309"/>
      <c r="K7309"/>
      <c r="L7309"/>
    </row>
    <row r="7310" spans="8:12">
      <c r="H7310"/>
      <c r="I7310"/>
      <c r="J7310"/>
      <c r="K7310"/>
      <c r="L7310"/>
    </row>
    <row r="7311" spans="8:12">
      <c r="H7311"/>
      <c r="I7311"/>
      <c r="J7311"/>
      <c r="K7311"/>
      <c r="L7311"/>
    </row>
    <row r="7312" spans="8:12">
      <c r="H7312"/>
      <c r="I7312"/>
      <c r="J7312"/>
      <c r="K7312"/>
      <c r="L7312"/>
    </row>
    <row r="7313" spans="8:12">
      <c r="H7313"/>
      <c r="I7313"/>
      <c r="J7313"/>
      <c r="K7313"/>
      <c r="L7313"/>
    </row>
    <row r="7314" spans="8:12">
      <c r="H7314"/>
      <c r="I7314"/>
      <c r="J7314"/>
      <c r="K7314"/>
      <c r="L7314"/>
    </row>
    <row r="7315" spans="8:12">
      <c r="H7315"/>
      <c r="I7315"/>
      <c r="J7315"/>
      <c r="K7315"/>
      <c r="L7315"/>
    </row>
    <row r="7316" spans="8:12">
      <c r="H7316"/>
      <c r="I7316"/>
      <c r="J7316"/>
      <c r="K7316"/>
      <c r="L7316"/>
    </row>
    <row r="7317" spans="8:12">
      <c r="H7317"/>
      <c r="I7317"/>
      <c r="J7317"/>
      <c r="K7317"/>
      <c r="L7317"/>
    </row>
    <row r="7318" spans="8:12">
      <c r="H7318"/>
      <c r="I7318"/>
      <c r="J7318"/>
      <c r="K7318"/>
      <c r="L7318"/>
    </row>
    <row r="7319" spans="8:12">
      <c r="H7319"/>
      <c r="I7319"/>
      <c r="J7319"/>
      <c r="K7319"/>
      <c r="L7319"/>
    </row>
    <row r="7320" spans="8:12">
      <c r="H7320"/>
      <c r="I7320"/>
      <c r="J7320"/>
      <c r="K7320"/>
      <c r="L7320"/>
    </row>
    <row r="7321" spans="8:12">
      <c r="H7321"/>
      <c r="I7321"/>
      <c r="J7321"/>
      <c r="K7321"/>
      <c r="L7321"/>
    </row>
    <row r="7322" spans="8:12">
      <c r="H7322"/>
      <c r="I7322"/>
      <c r="J7322"/>
      <c r="K7322"/>
      <c r="L7322"/>
    </row>
    <row r="7323" spans="8:12">
      <c r="H7323"/>
      <c r="I7323"/>
      <c r="J7323"/>
      <c r="K7323"/>
      <c r="L7323"/>
    </row>
    <row r="7324" spans="8:12">
      <c r="H7324"/>
      <c r="I7324"/>
      <c r="J7324"/>
      <c r="K7324"/>
      <c r="L7324"/>
    </row>
    <row r="7325" spans="8:12">
      <c r="H7325"/>
      <c r="I7325"/>
      <c r="J7325"/>
      <c r="K7325"/>
      <c r="L7325"/>
    </row>
    <row r="7326" spans="8:12">
      <c r="H7326"/>
      <c r="I7326"/>
      <c r="J7326"/>
      <c r="K7326"/>
      <c r="L7326"/>
    </row>
    <row r="7327" spans="8:12">
      <c r="H7327"/>
      <c r="I7327"/>
      <c r="J7327"/>
      <c r="K7327"/>
      <c r="L7327"/>
    </row>
    <row r="7328" spans="8:12">
      <c r="H7328"/>
      <c r="I7328"/>
      <c r="J7328"/>
      <c r="K7328"/>
      <c r="L7328"/>
    </row>
    <row r="7329" spans="8:12">
      <c r="H7329"/>
      <c r="I7329"/>
      <c r="J7329"/>
      <c r="K7329"/>
      <c r="L7329"/>
    </row>
    <row r="7330" spans="8:12">
      <c r="H7330"/>
      <c r="I7330"/>
      <c r="J7330"/>
      <c r="K7330"/>
      <c r="L7330"/>
    </row>
    <row r="7331" spans="8:12">
      <c r="H7331"/>
      <c r="I7331"/>
      <c r="J7331"/>
      <c r="K7331"/>
      <c r="L7331"/>
    </row>
    <row r="7332" spans="8:12">
      <c r="H7332"/>
      <c r="I7332"/>
      <c r="J7332"/>
      <c r="K7332"/>
      <c r="L7332"/>
    </row>
    <row r="7333" spans="8:12">
      <c r="H7333"/>
      <c r="I7333"/>
      <c r="J7333"/>
      <c r="K7333"/>
      <c r="L7333"/>
    </row>
    <row r="7334" spans="8:12">
      <c r="H7334"/>
      <c r="I7334"/>
      <c r="J7334"/>
      <c r="K7334"/>
      <c r="L7334"/>
    </row>
    <row r="7335" spans="8:12">
      <c r="H7335"/>
      <c r="I7335"/>
      <c r="J7335"/>
      <c r="K7335"/>
      <c r="L7335"/>
    </row>
    <row r="7336" spans="8:12">
      <c r="H7336"/>
      <c r="I7336"/>
      <c r="J7336"/>
      <c r="K7336"/>
      <c r="L7336"/>
    </row>
    <row r="7337" spans="8:12">
      <c r="H7337"/>
      <c r="I7337"/>
      <c r="J7337"/>
      <c r="K7337"/>
      <c r="L7337"/>
    </row>
    <row r="7338" spans="8:12">
      <c r="H7338"/>
      <c r="I7338"/>
      <c r="J7338"/>
      <c r="K7338"/>
      <c r="L7338"/>
    </row>
    <row r="7339" spans="8:12">
      <c r="H7339"/>
      <c r="I7339"/>
      <c r="J7339"/>
      <c r="K7339"/>
      <c r="L7339"/>
    </row>
    <row r="7340" spans="8:12">
      <c r="H7340"/>
      <c r="I7340"/>
      <c r="J7340"/>
      <c r="K7340"/>
      <c r="L7340"/>
    </row>
    <row r="7341" spans="8:12">
      <c r="H7341"/>
      <c r="I7341"/>
      <c r="J7341"/>
      <c r="K7341"/>
      <c r="L7341"/>
    </row>
    <row r="7342" spans="8:12">
      <c r="H7342"/>
      <c r="I7342"/>
      <c r="J7342"/>
      <c r="K7342"/>
      <c r="L7342"/>
    </row>
    <row r="7343" spans="8:12">
      <c r="H7343"/>
      <c r="I7343"/>
      <c r="J7343"/>
      <c r="K7343"/>
      <c r="L7343"/>
    </row>
    <row r="7344" spans="8:12">
      <c r="H7344"/>
      <c r="I7344"/>
      <c r="J7344"/>
      <c r="K7344"/>
      <c r="L7344"/>
    </row>
    <row r="7345" spans="8:12">
      <c r="H7345"/>
      <c r="I7345"/>
      <c r="J7345"/>
      <c r="K7345"/>
      <c r="L7345"/>
    </row>
    <row r="7346" spans="8:12">
      <c r="H7346"/>
      <c r="I7346"/>
      <c r="J7346"/>
      <c r="K7346"/>
      <c r="L7346"/>
    </row>
    <row r="7347" spans="8:12">
      <c r="H7347"/>
      <c r="I7347"/>
      <c r="J7347"/>
      <c r="K7347"/>
      <c r="L7347"/>
    </row>
    <row r="7348" spans="8:12">
      <c r="H7348"/>
      <c r="I7348"/>
      <c r="J7348"/>
      <c r="K7348"/>
      <c r="L7348"/>
    </row>
    <row r="7349" spans="8:12">
      <c r="H7349"/>
      <c r="I7349"/>
      <c r="J7349"/>
      <c r="K7349"/>
      <c r="L7349"/>
    </row>
    <row r="7350" spans="8:12">
      <c r="H7350"/>
      <c r="I7350"/>
      <c r="J7350"/>
      <c r="K7350"/>
      <c r="L7350"/>
    </row>
    <row r="7351" spans="8:12">
      <c r="H7351"/>
      <c r="I7351"/>
      <c r="J7351"/>
      <c r="K7351"/>
      <c r="L7351"/>
    </row>
    <row r="7352" spans="8:12">
      <c r="H7352"/>
      <c r="I7352"/>
      <c r="J7352"/>
      <c r="K7352"/>
      <c r="L7352"/>
    </row>
    <row r="7353" spans="8:12">
      <c r="H7353"/>
      <c r="I7353"/>
      <c r="J7353"/>
      <c r="K7353"/>
      <c r="L7353"/>
    </row>
    <row r="7354" spans="8:12">
      <c r="H7354"/>
      <c r="I7354"/>
      <c r="J7354"/>
      <c r="K7354"/>
      <c r="L7354"/>
    </row>
    <row r="7355" spans="8:12">
      <c r="H7355"/>
      <c r="I7355"/>
      <c r="J7355"/>
      <c r="K7355"/>
      <c r="L7355"/>
    </row>
    <row r="7356" spans="8:12">
      <c r="H7356"/>
      <c r="I7356"/>
      <c r="J7356"/>
      <c r="K7356"/>
      <c r="L7356"/>
    </row>
    <row r="7357" spans="8:12">
      <c r="H7357"/>
      <c r="I7357"/>
      <c r="J7357"/>
      <c r="K7357"/>
      <c r="L7357"/>
    </row>
    <row r="7358" spans="8:12">
      <c r="H7358"/>
      <c r="I7358"/>
      <c r="J7358"/>
      <c r="K7358"/>
      <c r="L7358"/>
    </row>
    <row r="7359" spans="8:12">
      <c r="H7359"/>
      <c r="I7359"/>
      <c r="J7359"/>
      <c r="K7359"/>
      <c r="L7359"/>
    </row>
    <row r="7360" spans="8:12">
      <c r="H7360"/>
      <c r="I7360"/>
      <c r="J7360"/>
      <c r="K7360"/>
      <c r="L7360"/>
    </row>
    <row r="7361" spans="8:12">
      <c r="H7361"/>
      <c r="I7361"/>
      <c r="J7361"/>
      <c r="K7361"/>
      <c r="L7361"/>
    </row>
    <row r="7362" spans="8:12">
      <c r="H7362"/>
      <c r="I7362"/>
      <c r="J7362"/>
      <c r="K7362"/>
      <c r="L7362"/>
    </row>
    <row r="7363" spans="8:12">
      <c r="H7363"/>
      <c r="I7363"/>
      <c r="J7363"/>
      <c r="K7363"/>
      <c r="L7363"/>
    </row>
    <row r="7364" spans="8:12">
      <c r="H7364"/>
      <c r="I7364"/>
      <c r="J7364"/>
      <c r="K7364"/>
      <c r="L7364"/>
    </row>
    <row r="7365" spans="8:12">
      <c r="H7365"/>
      <c r="I7365"/>
      <c r="J7365"/>
      <c r="K7365"/>
      <c r="L7365"/>
    </row>
    <row r="7366" spans="8:12">
      <c r="H7366"/>
      <c r="I7366"/>
      <c r="J7366"/>
      <c r="K7366"/>
      <c r="L7366"/>
    </row>
    <row r="7367" spans="8:12">
      <c r="H7367"/>
      <c r="I7367"/>
      <c r="J7367"/>
      <c r="K7367"/>
      <c r="L7367"/>
    </row>
    <row r="7368" spans="8:12">
      <c r="H7368"/>
      <c r="I7368"/>
      <c r="J7368"/>
      <c r="K7368"/>
      <c r="L7368"/>
    </row>
    <row r="7369" spans="8:12">
      <c r="H7369"/>
      <c r="I7369"/>
      <c r="J7369"/>
      <c r="K7369"/>
      <c r="L7369"/>
    </row>
    <row r="7370" spans="8:12">
      <c r="H7370"/>
      <c r="I7370"/>
      <c r="J7370"/>
      <c r="K7370"/>
      <c r="L7370"/>
    </row>
    <row r="7371" spans="8:12">
      <c r="H7371"/>
      <c r="I7371"/>
      <c r="J7371"/>
      <c r="K7371"/>
      <c r="L7371"/>
    </row>
    <row r="7372" spans="8:12">
      <c r="H7372"/>
      <c r="I7372"/>
      <c r="J7372"/>
      <c r="K7372"/>
      <c r="L7372"/>
    </row>
    <row r="7373" spans="8:12">
      <c r="H7373"/>
      <c r="I7373"/>
      <c r="J7373"/>
      <c r="K7373"/>
      <c r="L7373"/>
    </row>
    <row r="7374" spans="8:12">
      <c r="H7374"/>
      <c r="I7374"/>
      <c r="J7374"/>
      <c r="K7374"/>
      <c r="L7374"/>
    </row>
    <row r="7375" spans="8:12">
      <c r="H7375"/>
      <c r="I7375"/>
      <c r="J7375"/>
      <c r="K7375"/>
      <c r="L7375"/>
    </row>
    <row r="7376" spans="8:12">
      <c r="H7376"/>
      <c r="I7376"/>
      <c r="J7376"/>
      <c r="K7376"/>
      <c r="L7376"/>
    </row>
    <row r="7377" spans="8:12">
      <c r="H7377"/>
      <c r="I7377"/>
      <c r="J7377"/>
      <c r="K7377"/>
      <c r="L7377"/>
    </row>
    <row r="7378" spans="8:12">
      <c r="H7378"/>
      <c r="I7378"/>
      <c r="J7378"/>
      <c r="K7378"/>
      <c r="L7378"/>
    </row>
    <row r="7379" spans="8:12">
      <c r="H7379"/>
      <c r="I7379"/>
      <c r="J7379"/>
      <c r="K7379"/>
      <c r="L7379"/>
    </row>
    <row r="7380" spans="8:12">
      <c r="H7380"/>
      <c r="I7380"/>
      <c r="J7380"/>
      <c r="K7380"/>
      <c r="L7380"/>
    </row>
    <row r="7381" spans="8:12">
      <c r="H7381"/>
      <c r="I7381"/>
      <c r="J7381"/>
      <c r="K7381"/>
      <c r="L7381"/>
    </row>
    <row r="7382" spans="8:12">
      <c r="H7382"/>
      <c r="I7382"/>
      <c r="J7382"/>
      <c r="K7382"/>
      <c r="L7382"/>
    </row>
    <row r="7383" spans="8:12">
      <c r="H7383"/>
      <c r="I7383"/>
      <c r="J7383"/>
      <c r="K7383"/>
      <c r="L7383"/>
    </row>
    <row r="7384" spans="8:12">
      <c r="H7384"/>
      <c r="I7384"/>
      <c r="J7384"/>
      <c r="K7384"/>
      <c r="L7384"/>
    </row>
    <row r="7385" spans="8:12">
      <c r="H7385"/>
      <c r="I7385"/>
      <c r="J7385"/>
      <c r="K7385"/>
      <c r="L7385"/>
    </row>
    <row r="7386" spans="8:12">
      <c r="H7386"/>
      <c r="I7386"/>
      <c r="J7386"/>
      <c r="K7386"/>
      <c r="L7386"/>
    </row>
    <row r="7387" spans="8:12">
      <c r="H7387"/>
      <c r="I7387"/>
      <c r="J7387"/>
      <c r="K7387"/>
      <c r="L7387"/>
    </row>
    <row r="7388" spans="8:12">
      <c r="H7388"/>
      <c r="I7388"/>
      <c r="J7388"/>
      <c r="K7388"/>
      <c r="L7388"/>
    </row>
    <row r="7389" spans="8:12">
      <c r="H7389"/>
      <c r="I7389"/>
      <c r="J7389"/>
      <c r="K7389"/>
      <c r="L7389"/>
    </row>
    <row r="7390" spans="8:12">
      <c r="H7390"/>
      <c r="I7390"/>
      <c r="J7390"/>
      <c r="K7390"/>
      <c r="L7390"/>
    </row>
    <row r="7391" spans="8:12">
      <c r="H7391"/>
      <c r="I7391"/>
      <c r="J7391"/>
      <c r="K7391"/>
      <c r="L7391"/>
    </row>
    <row r="7392" spans="8:12">
      <c r="H7392"/>
      <c r="I7392"/>
      <c r="J7392"/>
      <c r="K7392"/>
      <c r="L7392"/>
    </row>
    <row r="7393" spans="8:12">
      <c r="H7393"/>
      <c r="I7393"/>
      <c r="J7393"/>
      <c r="K7393"/>
      <c r="L7393"/>
    </row>
    <row r="7394" spans="8:12">
      <c r="H7394"/>
      <c r="I7394"/>
      <c r="J7394"/>
      <c r="K7394"/>
      <c r="L7394"/>
    </row>
    <row r="7395" spans="8:12">
      <c r="H7395"/>
      <c r="I7395"/>
      <c r="J7395"/>
      <c r="K7395"/>
      <c r="L7395"/>
    </row>
    <row r="7396" spans="8:12">
      <c r="H7396"/>
      <c r="I7396"/>
      <c r="J7396"/>
      <c r="K7396"/>
      <c r="L7396"/>
    </row>
    <row r="7397" spans="8:12">
      <c r="H7397"/>
      <c r="I7397"/>
      <c r="J7397"/>
      <c r="K7397"/>
      <c r="L7397"/>
    </row>
    <row r="7398" spans="8:12">
      <c r="H7398"/>
      <c r="I7398"/>
      <c r="J7398"/>
      <c r="K7398"/>
      <c r="L7398"/>
    </row>
    <row r="7399" spans="8:12">
      <c r="H7399"/>
      <c r="I7399"/>
      <c r="J7399"/>
      <c r="K7399"/>
      <c r="L7399"/>
    </row>
    <row r="7400" spans="8:12">
      <c r="H7400"/>
      <c r="I7400"/>
      <c r="J7400"/>
      <c r="K7400"/>
      <c r="L7400"/>
    </row>
    <row r="7401" spans="8:12">
      <c r="H7401"/>
      <c r="I7401"/>
      <c r="J7401"/>
      <c r="K7401"/>
      <c r="L7401"/>
    </row>
    <row r="7402" spans="8:12">
      <c r="H7402"/>
      <c r="I7402"/>
      <c r="J7402"/>
      <c r="K7402"/>
      <c r="L7402"/>
    </row>
    <row r="7403" spans="8:12">
      <c r="H7403"/>
      <c r="I7403"/>
      <c r="J7403"/>
      <c r="K7403"/>
      <c r="L7403"/>
    </row>
    <row r="7404" spans="8:12">
      <c r="H7404"/>
      <c r="I7404"/>
      <c r="J7404"/>
      <c r="K7404"/>
      <c r="L7404"/>
    </row>
    <row r="7405" spans="8:12">
      <c r="H7405"/>
      <c r="I7405"/>
      <c r="J7405"/>
      <c r="K7405"/>
      <c r="L7405"/>
    </row>
    <row r="7406" spans="8:12">
      <c r="H7406"/>
      <c r="I7406"/>
      <c r="J7406"/>
      <c r="K7406"/>
      <c r="L7406"/>
    </row>
    <row r="7407" spans="8:12">
      <c r="H7407"/>
      <c r="I7407"/>
      <c r="J7407"/>
      <c r="K7407"/>
      <c r="L7407"/>
    </row>
    <row r="7408" spans="8:12">
      <c r="H7408"/>
      <c r="I7408"/>
      <c r="J7408"/>
      <c r="K7408"/>
      <c r="L7408"/>
    </row>
    <row r="7409" spans="8:12">
      <c r="H7409"/>
      <c r="I7409"/>
      <c r="J7409"/>
      <c r="K7409"/>
      <c r="L7409"/>
    </row>
    <row r="7410" spans="8:12">
      <c r="H7410"/>
      <c r="I7410"/>
      <c r="J7410"/>
      <c r="K7410"/>
      <c r="L7410"/>
    </row>
    <row r="7411" spans="8:12">
      <c r="H7411"/>
      <c r="I7411"/>
      <c r="J7411"/>
      <c r="K7411"/>
      <c r="L7411"/>
    </row>
    <row r="7412" spans="8:12">
      <c r="H7412"/>
      <c r="I7412"/>
      <c r="J7412"/>
      <c r="K7412"/>
      <c r="L7412"/>
    </row>
    <row r="7413" spans="8:12">
      <c r="H7413"/>
      <c r="I7413"/>
      <c r="J7413"/>
      <c r="K7413"/>
      <c r="L7413"/>
    </row>
    <row r="7414" spans="8:12">
      <c r="H7414"/>
      <c r="I7414"/>
      <c r="J7414"/>
      <c r="K7414"/>
      <c r="L7414"/>
    </row>
    <row r="7415" spans="8:12">
      <c r="H7415"/>
      <c r="I7415"/>
      <c r="J7415"/>
      <c r="K7415"/>
      <c r="L7415"/>
    </row>
    <row r="7416" spans="8:12">
      <c r="H7416"/>
      <c r="I7416"/>
      <c r="J7416"/>
      <c r="K7416"/>
      <c r="L7416"/>
    </row>
    <row r="7417" spans="8:12">
      <c r="H7417"/>
      <c r="I7417"/>
      <c r="J7417"/>
      <c r="K7417"/>
      <c r="L7417"/>
    </row>
    <row r="7418" spans="8:12">
      <c r="H7418"/>
      <c r="I7418"/>
      <c r="J7418"/>
      <c r="K7418"/>
      <c r="L7418"/>
    </row>
    <row r="7419" spans="8:12">
      <c r="H7419"/>
      <c r="I7419"/>
      <c r="J7419"/>
      <c r="K7419"/>
      <c r="L7419"/>
    </row>
    <row r="7420" spans="8:12">
      <c r="H7420"/>
      <c r="I7420"/>
      <c r="J7420"/>
      <c r="K7420"/>
      <c r="L7420"/>
    </row>
    <row r="7421" spans="8:12">
      <c r="H7421"/>
      <c r="I7421"/>
      <c r="J7421"/>
      <c r="K7421"/>
      <c r="L7421"/>
    </row>
    <row r="7422" spans="8:12">
      <c r="H7422"/>
      <c r="I7422"/>
      <c r="J7422"/>
      <c r="K7422"/>
      <c r="L7422"/>
    </row>
    <row r="7423" spans="8:12">
      <c r="H7423"/>
      <c r="I7423"/>
      <c r="J7423"/>
      <c r="K7423"/>
      <c r="L7423"/>
    </row>
    <row r="7424" spans="8:12">
      <c r="H7424"/>
      <c r="I7424"/>
      <c r="J7424"/>
      <c r="K7424"/>
      <c r="L7424"/>
    </row>
    <row r="7425" spans="8:12">
      <c r="H7425"/>
      <c r="I7425"/>
      <c r="J7425"/>
      <c r="K7425"/>
      <c r="L7425"/>
    </row>
    <row r="7426" spans="8:12">
      <c r="H7426"/>
      <c r="I7426"/>
      <c r="J7426"/>
      <c r="K7426"/>
      <c r="L7426"/>
    </row>
    <row r="7427" spans="8:12">
      <c r="H7427"/>
      <c r="I7427"/>
      <c r="J7427"/>
      <c r="K7427"/>
      <c r="L7427"/>
    </row>
    <row r="7428" spans="8:12">
      <c r="H7428"/>
      <c r="I7428"/>
      <c r="J7428"/>
      <c r="K7428"/>
      <c r="L7428"/>
    </row>
    <row r="7429" spans="8:12">
      <c r="H7429"/>
      <c r="I7429"/>
      <c r="J7429"/>
      <c r="K7429"/>
      <c r="L7429"/>
    </row>
    <row r="7430" spans="8:12">
      <c r="H7430"/>
      <c r="I7430"/>
      <c r="J7430"/>
      <c r="K7430"/>
      <c r="L7430"/>
    </row>
    <row r="7431" spans="8:12">
      <c r="H7431"/>
      <c r="I7431"/>
      <c r="J7431"/>
      <c r="K7431"/>
      <c r="L7431"/>
    </row>
    <row r="7432" spans="8:12">
      <c r="H7432"/>
      <c r="I7432"/>
      <c r="J7432"/>
      <c r="K7432"/>
      <c r="L7432"/>
    </row>
    <row r="7433" spans="8:12">
      <c r="H7433"/>
      <c r="I7433"/>
      <c r="J7433"/>
      <c r="K7433"/>
      <c r="L7433"/>
    </row>
    <row r="7434" spans="8:12">
      <c r="H7434"/>
      <c r="I7434"/>
      <c r="J7434"/>
      <c r="K7434"/>
      <c r="L7434"/>
    </row>
    <row r="7435" spans="8:12">
      <c r="H7435"/>
      <c r="I7435"/>
      <c r="J7435"/>
      <c r="K7435"/>
      <c r="L7435"/>
    </row>
    <row r="7436" spans="8:12">
      <c r="H7436"/>
      <c r="I7436"/>
      <c r="J7436"/>
      <c r="K7436"/>
      <c r="L7436"/>
    </row>
    <row r="7437" spans="8:12">
      <c r="H7437"/>
      <c r="I7437"/>
      <c r="J7437"/>
      <c r="K7437"/>
      <c r="L7437"/>
    </row>
    <row r="7438" spans="8:12">
      <c r="H7438"/>
      <c r="I7438"/>
      <c r="J7438"/>
      <c r="K7438"/>
      <c r="L7438"/>
    </row>
    <row r="7439" spans="8:12">
      <c r="H7439"/>
      <c r="I7439"/>
      <c r="J7439"/>
      <c r="K7439"/>
      <c r="L7439"/>
    </row>
    <row r="7440" spans="8:12">
      <c r="H7440"/>
      <c r="I7440"/>
      <c r="J7440"/>
      <c r="K7440"/>
      <c r="L7440"/>
    </row>
    <row r="7441" spans="8:12">
      <c r="H7441"/>
      <c r="I7441"/>
      <c r="J7441"/>
      <c r="K7441"/>
      <c r="L7441"/>
    </row>
    <row r="7442" spans="8:12">
      <c r="H7442"/>
      <c r="I7442"/>
      <c r="J7442"/>
      <c r="K7442"/>
      <c r="L7442"/>
    </row>
    <row r="7443" spans="8:12">
      <c r="H7443"/>
      <c r="I7443"/>
      <c r="J7443"/>
      <c r="K7443"/>
      <c r="L7443"/>
    </row>
    <row r="7444" spans="8:12">
      <c r="H7444"/>
      <c r="I7444"/>
      <c r="J7444"/>
      <c r="K7444"/>
      <c r="L7444"/>
    </row>
    <row r="7445" spans="8:12">
      <c r="H7445"/>
      <c r="I7445"/>
      <c r="J7445"/>
      <c r="K7445"/>
      <c r="L7445"/>
    </row>
    <row r="7446" spans="8:12">
      <c r="H7446"/>
      <c r="I7446"/>
      <c r="J7446"/>
      <c r="K7446"/>
      <c r="L7446"/>
    </row>
    <row r="7447" spans="8:12">
      <c r="H7447"/>
      <c r="I7447"/>
      <c r="J7447"/>
      <c r="K7447"/>
      <c r="L7447"/>
    </row>
    <row r="7448" spans="8:12">
      <c r="H7448"/>
      <c r="I7448"/>
      <c r="J7448"/>
      <c r="K7448"/>
      <c r="L7448"/>
    </row>
    <row r="7449" spans="8:12">
      <c r="H7449"/>
      <c r="I7449"/>
      <c r="J7449"/>
      <c r="K7449"/>
      <c r="L7449"/>
    </row>
    <row r="7450" spans="8:12">
      <c r="H7450"/>
      <c r="I7450"/>
      <c r="J7450"/>
      <c r="K7450"/>
      <c r="L7450"/>
    </row>
    <row r="7451" spans="8:12">
      <c r="H7451"/>
      <c r="I7451"/>
      <c r="J7451"/>
      <c r="K7451"/>
      <c r="L7451"/>
    </row>
    <row r="7452" spans="8:12">
      <c r="H7452"/>
      <c r="I7452"/>
      <c r="J7452"/>
      <c r="K7452"/>
      <c r="L7452"/>
    </row>
    <row r="7453" spans="8:12">
      <c r="H7453"/>
      <c r="I7453"/>
      <c r="J7453"/>
      <c r="K7453"/>
      <c r="L7453"/>
    </row>
    <row r="7454" spans="8:12">
      <c r="H7454"/>
      <c r="I7454"/>
      <c r="J7454"/>
      <c r="K7454"/>
      <c r="L7454"/>
    </row>
    <row r="7455" spans="8:12">
      <c r="H7455"/>
      <c r="I7455"/>
      <c r="J7455"/>
      <c r="K7455"/>
      <c r="L7455"/>
    </row>
    <row r="7456" spans="8:12">
      <c r="H7456"/>
      <c r="I7456"/>
      <c r="J7456"/>
      <c r="K7456"/>
      <c r="L7456"/>
    </row>
    <row r="7457" spans="8:12">
      <c r="H7457"/>
      <c r="I7457"/>
      <c r="J7457"/>
      <c r="K7457"/>
      <c r="L7457"/>
    </row>
    <row r="7458" spans="8:12">
      <c r="H7458"/>
      <c r="I7458"/>
      <c r="J7458"/>
      <c r="K7458"/>
      <c r="L7458"/>
    </row>
    <row r="7459" spans="8:12">
      <c r="H7459"/>
      <c r="I7459"/>
      <c r="J7459"/>
      <c r="K7459"/>
      <c r="L7459"/>
    </row>
    <row r="7460" spans="8:12">
      <c r="H7460"/>
      <c r="I7460"/>
      <c r="J7460"/>
      <c r="K7460"/>
      <c r="L7460"/>
    </row>
    <row r="7461" spans="8:12">
      <c r="H7461"/>
      <c r="I7461"/>
      <c r="J7461"/>
      <c r="K7461"/>
      <c r="L7461"/>
    </row>
    <row r="7462" spans="8:12">
      <c r="H7462"/>
      <c r="I7462"/>
      <c r="J7462"/>
      <c r="K7462"/>
      <c r="L7462"/>
    </row>
    <row r="7463" spans="8:12">
      <c r="H7463"/>
      <c r="I7463"/>
      <c r="J7463"/>
      <c r="K7463"/>
      <c r="L7463"/>
    </row>
    <row r="7464" spans="8:12">
      <c r="H7464"/>
      <c r="I7464"/>
      <c r="J7464"/>
      <c r="K7464"/>
      <c r="L7464"/>
    </row>
    <row r="7465" spans="8:12">
      <c r="H7465"/>
      <c r="I7465"/>
      <c r="J7465"/>
      <c r="K7465"/>
      <c r="L7465"/>
    </row>
    <row r="7466" spans="8:12">
      <c r="H7466"/>
      <c r="I7466"/>
      <c r="J7466"/>
      <c r="K7466"/>
      <c r="L7466"/>
    </row>
    <row r="7467" spans="8:12">
      <c r="H7467"/>
      <c r="I7467"/>
      <c r="J7467"/>
      <c r="K7467"/>
      <c r="L7467"/>
    </row>
    <row r="7468" spans="8:12">
      <c r="H7468"/>
      <c r="I7468"/>
      <c r="J7468"/>
      <c r="K7468"/>
      <c r="L7468"/>
    </row>
    <row r="7469" spans="8:12">
      <c r="H7469"/>
      <c r="I7469"/>
      <c r="J7469"/>
      <c r="K7469"/>
      <c r="L7469"/>
    </row>
    <row r="7470" spans="8:12">
      <c r="H7470"/>
      <c r="I7470"/>
      <c r="J7470"/>
      <c r="K7470"/>
      <c r="L7470"/>
    </row>
    <row r="7471" spans="8:12">
      <c r="H7471"/>
      <c r="I7471"/>
      <c r="J7471"/>
      <c r="K7471"/>
      <c r="L7471"/>
    </row>
    <row r="7472" spans="8:12">
      <c r="H7472"/>
      <c r="I7472"/>
      <c r="J7472"/>
      <c r="K7472"/>
      <c r="L7472"/>
    </row>
    <row r="7473" spans="8:12">
      <c r="H7473"/>
      <c r="I7473"/>
      <c r="J7473"/>
      <c r="K7473"/>
      <c r="L7473"/>
    </row>
    <row r="7474" spans="8:12">
      <c r="H7474"/>
      <c r="I7474"/>
      <c r="J7474"/>
      <c r="K7474"/>
      <c r="L7474"/>
    </row>
    <row r="7475" spans="8:12">
      <c r="H7475"/>
      <c r="I7475"/>
      <c r="J7475"/>
      <c r="K7475"/>
      <c r="L7475"/>
    </row>
    <row r="7476" spans="8:12">
      <c r="H7476"/>
      <c r="I7476"/>
      <c r="J7476"/>
      <c r="K7476"/>
      <c r="L7476"/>
    </row>
    <row r="7477" spans="8:12">
      <c r="H7477"/>
      <c r="I7477"/>
      <c r="J7477"/>
      <c r="K7477"/>
      <c r="L7477"/>
    </row>
    <row r="7478" spans="8:12">
      <c r="H7478"/>
      <c r="I7478"/>
      <c r="J7478"/>
      <c r="K7478"/>
      <c r="L7478"/>
    </row>
    <row r="7479" spans="8:12">
      <c r="H7479"/>
      <c r="I7479"/>
      <c r="J7479"/>
      <c r="K7479"/>
      <c r="L7479"/>
    </row>
    <row r="7480" spans="8:12">
      <c r="H7480"/>
      <c r="I7480"/>
      <c r="J7480"/>
      <c r="K7480"/>
      <c r="L7480"/>
    </row>
    <row r="7481" spans="8:12">
      <c r="H7481"/>
      <c r="I7481"/>
      <c r="J7481"/>
      <c r="K7481"/>
      <c r="L7481"/>
    </row>
    <row r="7482" spans="8:12">
      <c r="H7482"/>
      <c r="I7482"/>
      <c r="J7482"/>
      <c r="K7482"/>
      <c r="L7482"/>
    </row>
    <row r="7483" spans="8:12">
      <c r="H7483"/>
      <c r="I7483"/>
      <c r="J7483"/>
      <c r="K7483"/>
      <c r="L7483"/>
    </row>
    <row r="7484" spans="8:12">
      <c r="H7484"/>
      <c r="I7484"/>
      <c r="J7484"/>
      <c r="K7484"/>
      <c r="L7484"/>
    </row>
    <row r="7485" spans="8:12">
      <c r="H7485"/>
      <c r="I7485"/>
      <c r="J7485"/>
      <c r="K7485"/>
      <c r="L7485"/>
    </row>
    <row r="7486" spans="8:12">
      <c r="H7486"/>
      <c r="I7486"/>
      <c r="J7486"/>
      <c r="K7486"/>
      <c r="L7486"/>
    </row>
    <row r="7487" spans="8:12">
      <c r="H7487"/>
      <c r="I7487"/>
      <c r="J7487"/>
      <c r="K7487"/>
      <c r="L7487"/>
    </row>
    <row r="7488" spans="8:12">
      <c r="H7488"/>
      <c r="I7488"/>
      <c r="J7488"/>
      <c r="K7488"/>
      <c r="L7488"/>
    </row>
    <row r="7489" spans="8:12">
      <c r="H7489"/>
      <c r="I7489"/>
      <c r="J7489"/>
      <c r="K7489"/>
      <c r="L7489"/>
    </row>
    <row r="7490" spans="8:12">
      <c r="H7490"/>
      <c r="I7490"/>
      <c r="J7490"/>
      <c r="K7490"/>
      <c r="L7490"/>
    </row>
    <row r="7491" spans="8:12">
      <c r="H7491"/>
      <c r="I7491"/>
      <c r="J7491"/>
      <c r="K7491"/>
      <c r="L7491"/>
    </row>
    <row r="7492" spans="8:12">
      <c r="H7492"/>
      <c r="I7492"/>
      <c r="J7492"/>
      <c r="K7492"/>
      <c r="L7492"/>
    </row>
    <row r="7493" spans="8:12">
      <c r="H7493"/>
      <c r="I7493"/>
      <c r="J7493"/>
      <c r="K7493"/>
      <c r="L7493"/>
    </row>
    <row r="7494" spans="8:12">
      <c r="H7494"/>
      <c r="I7494"/>
      <c r="J7494"/>
      <c r="K7494"/>
      <c r="L7494"/>
    </row>
    <row r="7495" spans="8:12">
      <c r="H7495"/>
      <c r="I7495"/>
      <c r="J7495"/>
      <c r="K7495"/>
      <c r="L7495"/>
    </row>
    <row r="7496" spans="8:12">
      <c r="H7496"/>
      <c r="I7496"/>
      <c r="J7496"/>
      <c r="K7496"/>
      <c r="L7496"/>
    </row>
    <row r="7497" spans="8:12">
      <c r="H7497"/>
      <c r="I7497"/>
      <c r="J7497"/>
      <c r="K7497"/>
      <c r="L7497"/>
    </row>
    <row r="7498" spans="8:12">
      <c r="H7498"/>
      <c r="I7498"/>
      <c r="J7498"/>
      <c r="K7498"/>
      <c r="L7498"/>
    </row>
    <row r="7499" spans="8:12">
      <c r="H7499"/>
      <c r="I7499"/>
      <c r="J7499"/>
      <c r="K7499"/>
      <c r="L7499"/>
    </row>
    <row r="7500" spans="8:12">
      <c r="H7500"/>
      <c r="I7500"/>
      <c r="J7500"/>
      <c r="K7500"/>
      <c r="L7500"/>
    </row>
    <row r="7501" spans="8:12">
      <c r="H7501"/>
      <c r="I7501"/>
      <c r="J7501"/>
      <c r="K7501"/>
      <c r="L7501"/>
    </row>
    <row r="7502" spans="8:12">
      <c r="H7502"/>
      <c r="I7502"/>
      <c r="J7502"/>
      <c r="K7502"/>
      <c r="L7502"/>
    </row>
    <row r="7503" spans="8:12">
      <c r="H7503"/>
      <c r="I7503"/>
      <c r="J7503"/>
      <c r="K7503"/>
      <c r="L7503"/>
    </row>
    <row r="7504" spans="8:12">
      <c r="H7504"/>
      <c r="I7504"/>
      <c r="J7504"/>
      <c r="K7504"/>
      <c r="L7504"/>
    </row>
    <row r="7505" spans="8:12">
      <c r="H7505"/>
      <c r="I7505"/>
      <c r="J7505"/>
      <c r="K7505"/>
      <c r="L7505"/>
    </row>
    <row r="7506" spans="8:12">
      <c r="H7506"/>
      <c r="I7506"/>
      <c r="J7506"/>
      <c r="K7506"/>
      <c r="L7506"/>
    </row>
    <row r="7507" spans="8:12">
      <c r="H7507"/>
      <c r="I7507"/>
      <c r="J7507"/>
      <c r="K7507"/>
      <c r="L7507"/>
    </row>
    <row r="7508" spans="8:12">
      <c r="H7508"/>
      <c r="I7508"/>
      <c r="J7508"/>
      <c r="K7508"/>
      <c r="L7508"/>
    </row>
    <row r="7509" spans="8:12">
      <c r="H7509"/>
      <c r="I7509"/>
      <c r="J7509"/>
      <c r="K7509"/>
      <c r="L7509"/>
    </row>
    <row r="7510" spans="8:12">
      <c r="H7510"/>
      <c r="I7510"/>
      <c r="J7510"/>
      <c r="K7510"/>
      <c r="L7510"/>
    </row>
    <row r="7511" spans="8:12">
      <c r="H7511"/>
      <c r="I7511"/>
      <c r="J7511"/>
      <c r="K7511"/>
      <c r="L7511"/>
    </row>
    <row r="7512" spans="8:12">
      <c r="H7512"/>
      <c r="I7512"/>
      <c r="J7512"/>
      <c r="K7512"/>
      <c r="L7512"/>
    </row>
    <row r="7513" spans="8:12">
      <c r="H7513"/>
      <c r="I7513"/>
      <c r="J7513"/>
      <c r="K7513"/>
      <c r="L7513"/>
    </row>
    <row r="7514" spans="8:12">
      <c r="H7514"/>
      <c r="I7514"/>
      <c r="J7514"/>
      <c r="K7514"/>
      <c r="L7514"/>
    </row>
    <row r="7515" spans="8:12">
      <c r="H7515"/>
      <c r="I7515"/>
      <c r="J7515"/>
      <c r="K7515"/>
      <c r="L7515"/>
    </row>
    <row r="7516" spans="8:12">
      <c r="H7516"/>
      <c r="I7516"/>
      <c r="J7516"/>
      <c r="K7516"/>
      <c r="L7516"/>
    </row>
    <row r="7517" spans="8:12">
      <c r="H7517"/>
      <c r="I7517"/>
      <c r="J7517"/>
      <c r="K7517"/>
      <c r="L7517"/>
    </row>
    <row r="7518" spans="8:12">
      <c r="H7518"/>
      <c r="I7518"/>
      <c r="J7518"/>
      <c r="K7518"/>
      <c r="L7518"/>
    </row>
    <row r="7519" spans="8:12">
      <c r="H7519"/>
      <c r="I7519"/>
      <c r="J7519"/>
      <c r="K7519"/>
      <c r="L7519"/>
    </row>
    <row r="7520" spans="8:12">
      <c r="H7520"/>
      <c r="I7520"/>
      <c r="J7520"/>
      <c r="K7520"/>
      <c r="L7520"/>
    </row>
    <row r="7521" spans="8:12">
      <c r="H7521"/>
      <c r="I7521"/>
      <c r="J7521"/>
      <c r="K7521"/>
      <c r="L7521"/>
    </row>
    <row r="7522" spans="8:12">
      <c r="H7522"/>
      <c r="I7522"/>
      <c r="J7522"/>
      <c r="K7522"/>
      <c r="L7522"/>
    </row>
    <row r="7523" spans="8:12">
      <c r="H7523"/>
      <c r="I7523"/>
      <c r="J7523"/>
      <c r="K7523"/>
      <c r="L7523"/>
    </row>
    <row r="7524" spans="8:12">
      <c r="H7524"/>
      <c r="I7524"/>
      <c r="J7524"/>
      <c r="K7524"/>
      <c r="L7524"/>
    </row>
    <row r="7525" spans="8:12">
      <c r="H7525"/>
      <c r="I7525"/>
      <c r="J7525"/>
      <c r="K7525"/>
      <c r="L7525"/>
    </row>
    <row r="7526" spans="8:12">
      <c r="H7526"/>
      <c r="I7526"/>
      <c r="J7526"/>
      <c r="K7526"/>
      <c r="L7526"/>
    </row>
    <row r="7527" spans="8:12">
      <c r="H7527"/>
      <c r="I7527"/>
      <c r="J7527"/>
      <c r="K7527"/>
      <c r="L7527"/>
    </row>
    <row r="7528" spans="8:12">
      <c r="H7528"/>
      <c r="I7528"/>
      <c r="J7528"/>
      <c r="K7528"/>
      <c r="L7528"/>
    </row>
    <row r="7529" spans="8:12">
      <c r="H7529"/>
      <c r="I7529"/>
      <c r="J7529"/>
      <c r="K7529"/>
      <c r="L7529"/>
    </row>
    <row r="7530" spans="8:12">
      <c r="H7530"/>
      <c r="I7530"/>
      <c r="J7530"/>
      <c r="K7530"/>
      <c r="L7530"/>
    </row>
    <row r="7531" spans="8:12">
      <c r="H7531"/>
      <c r="I7531"/>
      <c r="J7531"/>
      <c r="K7531"/>
      <c r="L7531"/>
    </row>
    <row r="7532" spans="8:12">
      <c r="H7532"/>
      <c r="I7532"/>
      <c r="J7532"/>
      <c r="K7532"/>
      <c r="L7532"/>
    </row>
    <row r="7533" spans="8:12">
      <c r="H7533"/>
      <c r="I7533"/>
      <c r="J7533"/>
      <c r="K7533"/>
      <c r="L7533"/>
    </row>
    <row r="7534" spans="8:12">
      <c r="H7534"/>
      <c r="I7534"/>
      <c r="J7534"/>
      <c r="K7534"/>
      <c r="L7534"/>
    </row>
    <row r="7535" spans="8:12">
      <c r="H7535"/>
      <c r="I7535"/>
      <c r="J7535"/>
      <c r="K7535"/>
      <c r="L7535"/>
    </row>
    <row r="7536" spans="8:12">
      <c r="H7536"/>
      <c r="I7536"/>
      <c r="J7536"/>
      <c r="K7536"/>
      <c r="L7536"/>
    </row>
    <row r="7537" spans="8:12">
      <c r="H7537"/>
      <c r="I7537"/>
      <c r="J7537"/>
      <c r="K7537"/>
      <c r="L7537"/>
    </row>
    <row r="7538" spans="8:12">
      <c r="H7538"/>
      <c r="I7538"/>
      <c r="J7538"/>
      <c r="K7538"/>
      <c r="L7538"/>
    </row>
    <row r="7539" spans="8:12">
      <c r="H7539"/>
      <c r="I7539"/>
      <c r="J7539"/>
      <c r="K7539"/>
      <c r="L7539"/>
    </row>
    <row r="7540" spans="8:12">
      <c r="H7540"/>
      <c r="I7540"/>
      <c r="J7540"/>
      <c r="K7540"/>
      <c r="L7540"/>
    </row>
    <row r="7541" spans="8:12">
      <c r="H7541"/>
      <c r="I7541"/>
      <c r="J7541"/>
      <c r="K7541"/>
      <c r="L7541"/>
    </row>
    <row r="7542" spans="8:12">
      <c r="H7542"/>
      <c r="I7542"/>
      <c r="J7542"/>
      <c r="K7542"/>
      <c r="L7542"/>
    </row>
    <row r="7543" spans="8:12">
      <c r="H7543"/>
      <c r="I7543"/>
      <c r="J7543"/>
      <c r="K7543"/>
      <c r="L7543"/>
    </row>
    <row r="7544" spans="8:12">
      <c r="H7544"/>
      <c r="I7544"/>
      <c r="J7544"/>
      <c r="K7544"/>
      <c r="L7544"/>
    </row>
    <row r="7545" spans="8:12">
      <c r="H7545"/>
      <c r="I7545"/>
      <c r="J7545"/>
      <c r="K7545"/>
      <c r="L7545"/>
    </row>
    <row r="7546" spans="8:12">
      <c r="H7546"/>
      <c r="I7546"/>
      <c r="J7546"/>
      <c r="K7546"/>
      <c r="L7546"/>
    </row>
    <row r="7547" spans="8:12">
      <c r="H7547"/>
      <c r="I7547"/>
      <c r="J7547"/>
      <c r="K7547"/>
      <c r="L7547"/>
    </row>
    <row r="7548" spans="8:12">
      <c r="H7548"/>
      <c r="I7548"/>
      <c r="J7548"/>
      <c r="K7548"/>
      <c r="L7548"/>
    </row>
    <row r="7549" spans="8:12">
      <c r="H7549"/>
      <c r="I7549"/>
      <c r="J7549"/>
      <c r="K7549"/>
      <c r="L7549"/>
    </row>
    <row r="7550" spans="8:12">
      <c r="H7550"/>
      <c r="I7550"/>
      <c r="J7550"/>
      <c r="K7550"/>
      <c r="L7550"/>
    </row>
    <row r="7551" spans="8:12">
      <c r="H7551"/>
      <c r="I7551"/>
      <c r="J7551"/>
      <c r="K7551"/>
      <c r="L7551"/>
    </row>
    <row r="7552" spans="8:12">
      <c r="H7552"/>
      <c r="I7552"/>
      <c r="J7552"/>
      <c r="K7552"/>
      <c r="L7552"/>
    </row>
    <row r="7553" spans="8:12">
      <c r="H7553"/>
      <c r="I7553"/>
      <c r="J7553"/>
      <c r="K7553"/>
      <c r="L7553"/>
    </row>
    <row r="7554" spans="8:12">
      <c r="H7554"/>
      <c r="I7554"/>
      <c r="J7554"/>
      <c r="K7554"/>
      <c r="L7554"/>
    </row>
    <row r="7555" spans="8:12">
      <c r="H7555"/>
      <c r="I7555"/>
      <c r="J7555"/>
      <c r="K7555"/>
      <c r="L7555"/>
    </row>
    <row r="7556" spans="8:12">
      <c r="H7556"/>
      <c r="I7556"/>
      <c r="J7556"/>
      <c r="K7556"/>
      <c r="L7556"/>
    </row>
    <row r="7557" spans="8:12">
      <c r="H7557"/>
      <c r="I7557"/>
      <c r="J7557"/>
      <c r="K7557"/>
      <c r="L7557"/>
    </row>
    <row r="7558" spans="8:12">
      <c r="H7558"/>
      <c r="I7558"/>
      <c r="J7558"/>
      <c r="K7558"/>
      <c r="L7558"/>
    </row>
    <row r="7559" spans="8:12">
      <c r="H7559"/>
      <c r="I7559"/>
      <c r="J7559"/>
      <c r="K7559"/>
      <c r="L7559"/>
    </row>
    <row r="7560" spans="8:12">
      <c r="H7560"/>
      <c r="I7560"/>
      <c r="J7560"/>
      <c r="K7560"/>
      <c r="L7560"/>
    </row>
    <row r="7561" spans="8:12">
      <c r="H7561"/>
      <c r="I7561"/>
      <c r="J7561"/>
      <c r="K7561"/>
      <c r="L7561"/>
    </row>
    <row r="7562" spans="8:12">
      <c r="H7562"/>
      <c r="I7562"/>
      <c r="J7562"/>
      <c r="K7562"/>
      <c r="L7562"/>
    </row>
    <row r="7563" spans="8:12">
      <c r="H7563"/>
      <c r="I7563"/>
      <c r="J7563"/>
      <c r="K7563"/>
      <c r="L7563"/>
    </row>
    <row r="7564" spans="8:12">
      <c r="H7564"/>
      <c r="I7564"/>
      <c r="J7564"/>
      <c r="K7564"/>
      <c r="L7564"/>
    </row>
    <row r="7565" spans="8:12">
      <c r="H7565"/>
      <c r="I7565"/>
      <c r="J7565"/>
      <c r="K7565"/>
      <c r="L7565"/>
    </row>
    <row r="7566" spans="8:12">
      <c r="H7566"/>
      <c r="I7566"/>
      <c r="J7566"/>
      <c r="K7566"/>
      <c r="L7566"/>
    </row>
    <row r="7567" spans="8:12">
      <c r="H7567"/>
      <c r="I7567"/>
      <c r="J7567"/>
      <c r="K7567"/>
      <c r="L7567"/>
    </row>
    <row r="7568" spans="8:12">
      <c r="H7568"/>
      <c r="I7568"/>
      <c r="J7568"/>
      <c r="K7568"/>
      <c r="L7568"/>
    </row>
    <row r="7569" spans="8:12">
      <c r="H7569"/>
      <c r="I7569"/>
      <c r="J7569"/>
      <c r="K7569"/>
      <c r="L7569"/>
    </row>
    <row r="7570" spans="8:12">
      <c r="H7570"/>
      <c r="I7570"/>
      <c r="J7570"/>
      <c r="K7570"/>
      <c r="L7570"/>
    </row>
    <row r="7571" spans="8:12">
      <c r="H7571"/>
      <c r="I7571"/>
      <c r="J7571"/>
      <c r="K7571"/>
      <c r="L7571"/>
    </row>
    <row r="7572" spans="8:12">
      <c r="H7572"/>
      <c r="I7572"/>
      <c r="J7572"/>
      <c r="K7572"/>
      <c r="L7572"/>
    </row>
    <row r="7573" spans="8:12">
      <c r="H7573"/>
      <c r="I7573"/>
      <c r="J7573"/>
      <c r="K7573"/>
      <c r="L7573"/>
    </row>
    <row r="7574" spans="8:12">
      <c r="H7574"/>
      <c r="I7574"/>
      <c r="J7574"/>
      <c r="K7574"/>
      <c r="L7574"/>
    </row>
    <row r="7575" spans="8:12">
      <c r="H7575"/>
      <c r="I7575"/>
      <c r="J7575"/>
      <c r="K7575"/>
      <c r="L7575"/>
    </row>
    <row r="7576" spans="8:12">
      <c r="H7576"/>
      <c r="I7576"/>
      <c r="J7576"/>
      <c r="K7576"/>
      <c r="L7576"/>
    </row>
    <row r="7577" spans="8:12">
      <c r="H7577"/>
      <c r="I7577"/>
      <c r="J7577"/>
      <c r="K7577"/>
      <c r="L7577"/>
    </row>
    <row r="7578" spans="8:12">
      <c r="H7578"/>
      <c r="I7578"/>
      <c r="J7578"/>
      <c r="K7578"/>
      <c r="L7578"/>
    </row>
    <row r="7579" spans="8:12">
      <c r="H7579"/>
      <c r="I7579"/>
      <c r="J7579"/>
      <c r="K7579"/>
      <c r="L7579"/>
    </row>
    <row r="7580" spans="8:12">
      <c r="H7580"/>
      <c r="I7580"/>
      <c r="J7580"/>
      <c r="K7580"/>
      <c r="L7580"/>
    </row>
    <row r="7581" spans="8:12">
      <c r="H7581"/>
      <c r="I7581"/>
      <c r="J7581"/>
      <c r="K7581"/>
      <c r="L7581"/>
    </row>
    <row r="7582" spans="8:12">
      <c r="H7582"/>
      <c r="I7582"/>
      <c r="J7582"/>
      <c r="K7582"/>
      <c r="L7582"/>
    </row>
    <row r="7583" spans="8:12">
      <c r="H7583"/>
      <c r="I7583"/>
      <c r="J7583"/>
      <c r="K7583"/>
      <c r="L7583"/>
    </row>
    <row r="7584" spans="8:12">
      <c r="H7584"/>
      <c r="I7584"/>
      <c r="J7584"/>
      <c r="K7584"/>
      <c r="L7584"/>
    </row>
    <row r="7585" spans="8:12">
      <c r="H7585"/>
      <c r="I7585"/>
      <c r="J7585"/>
      <c r="K7585"/>
      <c r="L7585"/>
    </row>
    <row r="7586" spans="8:12">
      <c r="H7586"/>
      <c r="I7586"/>
      <c r="J7586"/>
      <c r="K7586"/>
      <c r="L7586"/>
    </row>
    <row r="7587" spans="8:12">
      <c r="H7587"/>
      <c r="I7587"/>
      <c r="J7587"/>
      <c r="K7587"/>
      <c r="L7587"/>
    </row>
    <row r="7588" spans="8:12">
      <c r="H7588"/>
      <c r="I7588"/>
      <c r="J7588"/>
      <c r="K7588"/>
      <c r="L7588"/>
    </row>
    <row r="7589" spans="8:12">
      <c r="H7589"/>
      <c r="I7589"/>
      <c r="J7589"/>
      <c r="K7589"/>
      <c r="L7589"/>
    </row>
    <row r="7590" spans="8:12">
      <c r="H7590"/>
      <c r="I7590"/>
      <c r="J7590"/>
      <c r="K7590"/>
      <c r="L7590"/>
    </row>
    <row r="7591" spans="8:12">
      <c r="H7591"/>
      <c r="I7591"/>
      <c r="J7591"/>
      <c r="K7591"/>
      <c r="L7591"/>
    </row>
    <row r="7592" spans="8:12">
      <c r="H7592"/>
      <c r="I7592"/>
      <c r="J7592"/>
      <c r="K7592"/>
      <c r="L7592"/>
    </row>
    <row r="7593" spans="8:12">
      <c r="H7593"/>
      <c r="I7593"/>
      <c r="J7593"/>
      <c r="K7593"/>
      <c r="L7593"/>
    </row>
    <row r="7594" spans="8:12">
      <c r="H7594"/>
      <c r="I7594"/>
      <c r="J7594"/>
      <c r="K7594"/>
      <c r="L7594"/>
    </row>
    <row r="7595" spans="8:12">
      <c r="H7595"/>
      <c r="I7595"/>
      <c r="J7595"/>
      <c r="K7595"/>
      <c r="L7595"/>
    </row>
    <row r="7596" spans="8:12">
      <c r="H7596"/>
      <c r="I7596"/>
      <c r="J7596"/>
      <c r="K7596"/>
      <c r="L7596"/>
    </row>
    <row r="7597" spans="8:12">
      <c r="H7597"/>
      <c r="I7597"/>
      <c r="J7597"/>
      <c r="K7597"/>
      <c r="L7597"/>
    </row>
    <row r="7598" spans="8:12">
      <c r="H7598"/>
      <c r="I7598"/>
      <c r="J7598"/>
      <c r="K7598"/>
      <c r="L7598"/>
    </row>
    <row r="7599" spans="8:12">
      <c r="H7599"/>
      <c r="I7599"/>
      <c r="J7599"/>
      <c r="K7599"/>
      <c r="L7599"/>
    </row>
    <row r="7600" spans="8:12">
      <c r="H7600"/>
      <c r="I7600"/>
      <c r="J7600"/>
      <c r="K7600"/>
      <c r="L7600"/>
    </row>
    <row r="7601" spans="8:12">
      <c r="H7601"/>
      <c r="I7601"/>
      <c r="J7601"/>
      <c r="K7601"/>
      <c r="L7601"/>
    </row>
    <row r="7602" spans="8:12">
      <c r="H7602"/>
      <c r="I7602"/>
      <c r="J7602"/>
      <c r="K7602"/>
      <c r="L7602"/>
    </row>
    <row r="7603" spans="8:12">
      <c r="H7603"/>
      <c r="I7603"/>
      <c r="J7603"/>
      <c r="K7603"/>
      <c r="L7603"/>
    </row>
    <row r="7604" spans="8:12">
      <c r="H7604"/>
      <c r="I7604"/>
      <c r="J7604"/>
      <c r="K7604"/>
      <c r="L7604"/>
    </row>
    <row r="7605" spans="8:12">
      <c r="H7605"/>
      <c r="I7605"/>
      <c r="J7605"/>
      <c r="K7605"/>
      <c r="L7605"/>
    </row>
    <row r="7606" spans="8:12">
      <c r="H7606"/>
      <c r="I7606"/>
      <c r="J7606"/>
      <c r="K7606"/>
      <c r="L7606"/>
    </row>
    <row r="7607" spans="8:12">
      <c r="H7607"/>
      <c r="I7607"/>
      <c r="J7607"/>
      <c r="K7607"/>
      <c r="L7607"/>
    </row>
    <row r="7608" spans="8:12">
      <c r="H7608"/>
      <c r="I7608"/>
      <c r="J7608"/>
      <c r="K7608"/>
      <c r="L7608"/>
    </row>
    <row r="7609" spans="8:12">
      <c r="H7609"/>
      <c r="I7609"/>
      <c r="J7609"/>
      <c r="K7609"/>
      <c r="L7609"/>
    </row>
    <row r="7610" spans="8:12">
      <c r="H7610"/>
      <c r="I7610"/>
      <c r="J7610"/>
      <c r="K7610"/>
      <c r="L7610"/>
    </row>
    <row r="7611" spans="8:12">
      <c r="H7611"/>
      <c r="I7611"/>
      <c r="J7611"/>
      <c r="K7611"/>
      <c r="L7611"/>
    </row>
    <row r="7612" spans="8:12">
      <c r="H7612"/>
      <c r="I7612"/>
      <c r="J7612"/>
      <c r="K7612"/>
      <c r="L7612"/>
    </row>
    <row r="7613" spans="8:12">
      <c r="H7613"/>
      <c r="I7613"/>
      <c r="J7613"/>
      <c r="K7613"/>
      <c r="L7613"/>
    </row>
    <row r="7614" spans="8:12">
      <c r="H7614"/>
      <c r="I7614"/>
      <c r="J7614"/>
      <c r="K7614"/>
      <c r="L7614"/>
    </row>
    <row r="7615" spans="8:12">
      <c r="H7615"/>
      <c r="I7615"/>
      <c r="J7615"/>
      <c r="K7615"/>
      <c r="L7615"/>
    </row>
    <row r="7616" spans="8:12">
      <c r="H7616"/>
      <c r="I7616"/>
      <c r="J7616"/>
      <c r="K7616"/>
      <c r="L7616"/>
    </row>
    <row r="7617" spans="8:12">
      <c r="H7617"/>
      <c r="I7617"/>
      <c r="J7617"/>
      <c r="K7617"/>
      <c r="L7617"/>
    </row>
    <row r="7618" spans="8:12">
      <c r="H7618"/>
      <c r="I7618"/>
      <c r="J7618"/>
      <c r="K7618"/>
      <c r="L7618"/>
    </row>
    <row r="7619" spans="8:12">
      <c r="H7619"/>
      <c r="I7619"/>
      <c r="J7619"/>
      <c r="K7619"/>
      <c r="L7619"/>
    </row>
    <row r="7620" spans="8:12">
      <c r="H7620"/>
      <c r="I7620"/>
      <c r="J7620"/>
      <c r="K7620"/>
      <c r="L7620"/>
    </row>
    <row r="7621" spans="8:12">
      <c r="H7621"/>
      <c r="I7621"/>
      <c r="J7621"/>
      <c r="K7621"/>
      <c r="L7621"/>
    </row>
    <row r="7622" spans="8:12">
      <c r="H7622"/>
      <c r="I7622"/>
      <c r="J7622"/>
      <c r="K7622"/>
      <c r="L7622"/>
    </row>
    <row r="7623" spans="8:12">
      <c r="H7623"/>
      <c r="I7623"/>
      <c r="J7623"/>
      <c r="K7623"/>
      <c r="L7623"/>
    </row>
    <row r="7624" spans="8:12">
      <c r="H7624"/>
      <c r="I7624"/>
      <c r="J7624"/>
      <c r="K7624"/>
      <c r="L7624"/>
    </row>
    <row r="7625" spans="8:12">
      <c r="H7625"/>
      <c r="I7625"/>
      <c r="J7625"/>
      <c r="K7625"/>
      <c r="L7625"/>
    </row>
    <row r="7626" spans="8:12">
      <c r="H7626"/>
      <c r="I7626"/>
      <c r="J7626"/>
      <c r="K7626"/>
      <c r="L7626"/>
    </row>
    <row r="7627" spans="8:12">
      <c r="H7627"/>
      <c r="I7627"/>
      <c r="J7627"/>
      <c r="K7627"/>
      <c r="L7627"/>
    </row>
    <row r="7628" spans="8:12">
      <c r="H7628"/>
      <c r="I7628"/>
      <c r="J7628"/>
      <c r="K7628"/>
      <c r="L7628"/>
    </row>
    <row r="7629" spans="8:12">
      <c r="H7629"/>
      <c r="I7629"/>
      <c r="J7629"/>
      <c r="K7629"/>
      <c r="L7629"/>
    </row>
    <row r="7630" spans="8:12">
      <c r="H7630"/>
      <c r="I7630"/>
      <c r="J7630"/>
      <c r="K7630"/>
      <c r="L7630"/>
    </row>
    <row r="7631" spans="8:12">
      <c r="H7631"/>
      <c r="I7631"/>
      <c r="J7631"/>
      <c r="K7631"/>
      <c r="L7631"/>
    </row>
    <row r="7632" spans="8:12">
      <c r="H7632"/>
      <c r="I7632"/>
      <c r="J7632"/>
      <c r="K7632"/>
      <c r="L7632"/>
    </row>
    <row r="7633" spans="8:12">
      <c r="H7633"/>
      <c r="I7633"/>
      <c r="J7633"/>
      <c r="K7633"/>
      <c r="L7633"/>
    </row>
    <row r="7634" spans="8:12">
      <c r="H7634"/>
      <c r="I7634"/>
      <c r="J7634"/>
      <c r="K7634"/>
      <c r="L7634"/>
    </row>
    <row r="7635" spans="8:12">
      <c r="H7635"/>
      <c r="I7635"/>
      <c r="J7635"/>
      <c r="K7635"/>
      <c r="L7635"/>
    </row>
    <row r="7636" spans="8:12">
      <c r="H7636"/>
      <c r="I7636"/>
      <c r="J7636"/>
      <c r="K7636"/>
      <c r="L7636"/>
    </row>
    <row r="7637" spans="8:12">
      <c r="H7637"/>
      <c r="I7637"/>
      <c r="J7637"/>
      <c r="K7637"/>
      <c r="L7637"/>
    </row>
    <row r="7638" spans="8:12">
      <c r="H7638"/>
      <c r="I7638"/>
      <c r="J7638"/>
      <c r="K7638"/>
      <c r="L7638"/>
    </row>
    <row r="7639" spans="8:12">
      <c r="H7639"/>
      <c r="I7639"/>
      <c r="J7639"/>
      <c r="K7639"/>
      <c r="L7639"/>
    </row>
    <row r="7640" spans="8:12">
      <c r="H7640"/>
      <c r="I7640"/>
      <c r="J7640"/>
      <c r="K7640"/>
      <c r="L7640"/>
    </row>
    <row r="7641" spans="8:12">
      <c r="H7641"/>
      <c r="I7641"/>
      <c r="J7641"/>
      <c r="K7641"/>
      <c r="L7641"/>
    </row>
    <row r="7642" spans="8:12">
      <c r="H7642"/>
      <c r="I7642"/>
      <c r="J7642"/>
      <c r="K7642"/>
      <c r="L7642"/>
    </row>
    <row r="7643" spans="8:12">
      <c r="H7643"/>
      <c r="I7643"/>
      <c r="J7643"/>
      <c r="K7643"/>
      <c r="L7643"/>
    </row>
    <row r="7644" spans="8:12">
      <c r="H7644"/>
      <c r="I7644"/>
      <c r="J7644"/>
      <c r="K7644"/>
      <c r="L7644"/>
    </row>
    <row r="7645" spans="8:12">
      <c r="H7645"/>
      <c r="I7645"/>
      <c r="J7645"/>
      <c r="K7645"/>
      <c r="L7645"/>
    </row>
    <row r="7646" spans="8:12">
      <c r="H7646"/>
      <c r="I7646"/>
      <c r="J7646"/>
      <c r="K7646"/>
      <c r="L7646"/>
    </row>
    <row r="7647" spans="8:12">
      <c r="H7647"/>
      <c r="I7647"/>
      <c r="J7647"/>
      <c r="K7647"/>
      <c r="L7647"/>
    </row>
    <row r="7648" spans="8:12">
      <c r="H7648"/>
      <c r="I7648"/>
      <c r="J7648"/>
      <c r="K7648"/>
      <c r="L7648"/>
    </row>
    <row r="7649" spans="8:12">
      <c r="H7649"/>
      <c r="I7649"/>
      <c r="J7649"/>
      <c r="K7649"/>
      <c r="L7649"/>
    </row>
    <row r="7650" spans="8:12">
      <c r="H7650"/>
      <c r="I7650"/>
      <c r="J7650"/>
      <c r="K7650"/>
      <c r="L7650"/>
    </row>
    <row r="7651" spans="8:12">
      <c r="H7651"/>
      <c r="I7651"/>
      <c r="J7651"/>
      <c r="K7651"/>
      <c r="L7651"/>
    </row>
    <row r="7652" spans="8:12">
      <c r="H7652"/>
      <c r="I7652"/>
      <c r="J7652"/>
      <c r="K7652"/>
      <c r="L7652"/>
    </row>
    <row r="7653" spans="8:12">
      <c r="H7653"/>
      <c r="I7653"/>
      <c r="J7653"/>
      <c r="K7653"/>
      <c r="L7653"/>
    </row>
    <row r="7654" spans="8:12">
      <c r="H7654"/>
      <c r="I7654"/>
      <c r="J7654"/>
      <c r="K7654"/>
      <c r="L7654"/>
    </row>
    <row r="7655" spans="8:12">
      <c r="H7655"/>
      <c r="I7655"/>
      <c r="J7655"/>
      <c r="K7655"/>
      <c r="L7655"/>
    </row>
    <row r="7656" spans="8:12">
      <c r="H7656"/>
      <c r="I7656"/>
      <c r="J7656"/>
      <c r="K7656"/>
      <c r="L7656"/>
    </row>
    <row r="7657" spans="8:12">
      <c r="H7657"/>
      <c r="I7657"/>
      <c r="J7657"/>
      <c r="K7657"/>
      <c r="L7657"/>
    </row>
    <row r="7658" spans="8:12">
      <c r="H7658"/>
      <c r="I7658"/>
      <c r="J7658"/>
      <c r="K7658"/>
      <c r="L7658"/>
    </row>
    <row r="7659" spans="8:12">
      <c r="H7659"/>
      <c r="I7659"/>
      <c r="J7659"/>
      <c r="K7659"/>
      <c r="L7659"/>
    </row>
    <row r="7660" spans="8:12">
      <c r="H7660"/>
      <c r="I7660"/>
      <c r="J7660"/>
      <c r="K7660"/>
      <c r="L7660"/>
    </row>
    <row r="7661" spans="8:12">
      <c r="H7661"/>
      <c r="I7661"/>
      <c r="J7661"/>
      <c r="K7661"/>
      <c r="L7661"/>
    </row>
    <row r="7662" spans="8:12">
      <c r="H7662"/>
      <c r="I7662"/>
      <c r="J7662"/>
      <c r="K7662"/>
      <c r="L7662"/>
    </row>
    <row r="7663" spans="8:12">
      <c r="H7663"/>
      <c r="I7663"/>
      <c r="J7663"/>
      <c r="K7663"/>
      <c r="L7663"/>
    </row>
    <row r="7664" spans="8:12">
      <c r="H7664"/>
      <c r="I7664"/>
      <c r="J7664"/>
      <c r="K7664"/>
      <c r="L7664"/>
    </row>
    <row r="7665" spans="8:12">
      <c r="H7665"/>
      <c r="I7665"/>
      <c r="J7665"/>
      <c r="K7665"/>
      <c r="L7665"/>
    </row>
    <row r="7666" spans="8:12">
      <c r="H7666"/>
      <c r="I7666"/>
      <c r="J7666"/>
      <c r="K7666"/>
      <c r="L7666"/>
    </row>
    <row r="7667" spans="8:12">
      <c r="H7667"/>
      <c r="I7667"/>
      <c r="J7667"/>
      <c r="K7667"/>
      <c r="L7667"/>
    </row>
    <row r="7668" spans="8:12">
      <c r="H7668"/>
      <c r="I7668"/>
      <c r="J7668"/>
      <c r="K7668"/>
      <c r="L7668"/>
    </row>
    <row r="7669" spans="8:12">
      <c r="H7669"/>
      <c r="I7669"/>
      <c r="J7669"/>
      <c r="K7669"/>
      <c r="L7669"/>
    </row>
    <row r="7670" spans="8:12">
      <c r="H7670"/>
      <c r="I7670"/>
      <c r="J7670"/>
      <c r="K7670"/>
      <c r="L7670"/>
    </row>
    <row r="7671" spans="8:12">
      <c r="H7671"/>
      <c r="I7671"/>
      <c r="J7671"/>
      <c r="K7671"/>
      <c r="L7671"/>
    </row>
    <row r="7672" spans="8:12">
      <c r="H7672"/>
      <c r="I7672"/>
      <c r="J7672"/>
      <c r="K7672"/>
      <c r="L7672"/>
    </row>
    <row r="7673" spans="8:12">
      <c r="H7673"/>
      <c r="I7673"/>
      <c r="J7673"/>
      <c r="K7673"/>
      <c r="L7673"/>
    </row>
    <row r="7674" spans="8:12">
      <c r="H7674"/>
      <c r="I7674"/>
      <c r="J7674"/>
      <c r="K7674"/>
      <c r="L7674"/>
    </row>
    <row r="7675" spans="8:12">
      <c r="H7675"/>
      <c r="I7675"/>
      <c r="J7675"/>
      <c r="K7675"/>
      <c r="L7675"/>
    </row>
    <row r="7676" spans="8:12">
      <c r="H7676"/>
      <c r="I7676"/>
      <c r="J7676"/>
      <c r="K7676"/>
      <c r="L7676"/>
    </row>
    <row r="7677" spans="8:12">
      <c r="H7677"/>
      <c r="I7677"/>
      <c r="J7677"/>
      <c r="K7677"/>
      <c r="L7677"/>
    </row>
    <row r="7678" spans="8:12">
      <c r="H7678"/>
      <c r="I7678"/>
      <c r="J7678"/>
      <c r="K7678"/>
      <c r="L7678"/>
    </row>
    <row r="7679" spans="8:12">
      <c r="H7679"/>
      <c r="I7679"/>
      <c r="J7679"/>
      <c r="K7679"/>
      <c r="L7679"/>
    </row>
    <row r="7680" spans="8:12">
      <c r="H7680"/>
      <c r="I7680"/>
      <c r="J7680"/>
      <c r="K7680"/>
      <c r="L7680"/>
    </row>
    <row r="7681" spans="8:12">
      <c r="H7681"/>
      <c r="I7681"/>
      <c r="J7681"/>
      <c r="K7681"/>
      <c r="L7681"/>
    </row>
    <row r="7682" spans="8:12">
      <c r="H7682"/>
      <c r="I7682"/>
      <c r="J7682"/>
      <c r="K7682"/>
      <c r="L7682"/>
    </row>
    <row r="7683" spans="8:12">
      <c r="H7683"/>
      <c r="I7683"/>
      <c r="J7683"/>
      <c r="K7683"/>
      <c r="L7683"/>
    </row>
    <row r="7684" spans="8:12">
      <c r="H7684"/>
      <c r="I7684"/>
      <c r="J7684"/>
      <c r="K7684"/>
      <c r="L7684"/>
    </row>
    <row r="7685" spans="8:12">
      <c r="H7685"/>
      <c r="I7685"/>
      <c r="J7685"/>
      <c r="K7685"/>
      <c r="L7685"/>
    </row>
    <row r="7686" spans="8:12">
      <c r="H7686"/>
      <c r="I7686"/>
      <c r="J7686"/>
      <c r="K7686"/>
      <c r="L7686"/>
    </row>
    <row r="7687" spans="8:12">
      <c r="H7687"/>
      <c r="I7687"/>
      <c r="J7687"/>
      <c r="K7687"/>
      <c r="L7687"/>
    </row>
    <row r="7688" spans="8:12">
      <c r="H7688"/>
      <c r="I7688"/>
      <c r="J7688"/>
      <c r="K7688"/>
      <c r="L7688"/>
    </row>
    <row r="7689" spans="8:12">
      <c r="H7689"/>
      <c r="I7689"/>
      <c r="J7689"/>
      <c r="K7689"/>
      <c r="L7689"/>
    </row>
    <row r="7690" spans="8:12">
      <c r="H7690"/>
      <c r="I7690"/>
      <c r="J7690"/>
      <c r="K7690"/>
      <c r="L7690"/>
    </row>
    <row r="7691" spans="8:12">
      <c r="H7691"/>
      <c r="I7691"/>
      <c r="J7691"/>
      <c r="K7691"/>
      <c r="L7691"/>
    </row>
    <row r="7692" spans="8:12">
      <c r="H7692"/>
      <c r="I7692"/>
      <c r="J7692"/>
      <c r="K7692"/>
      <c r="L7692"/>
    </row>
    <row r="7693" spans="8:12">
      <c r="H7693"/>
      <c r="I7693"/>
      <c r="J7693"/>
      <c r="K7693"/>
      <c r="L7693"/>
    </row>
    <row r="7694" spans="8:12">
      <c r="H7694"/>
      <c r="I7694"/>
      <c r="J7694"/>
      <c r="K7694"/>
      <c r="L7694"/>
    </row>
    <row r="7695" spans="8:12">
      <c r="H7695"/>
      <c r="I7695"/>
      <c r="J7695"/>
      <c r="K7695"/>
      <c r="L7695"/>
    </row>
    <row r="7696" spans="8:12">
      <c r="H7696"/>
      <c r="I7696"/>
      <c r="J7696"/>
      <c r="K7696"/>
      <c r="L7696"/>
    </row>
    <row r="7697" spans="8:12">
      <c r="H7697"/>
      <c r="I7697"/>
      <c r="J7697"/>
      <c r="K7697"/>
      <c r="L7697"/>
    </row>
    <row r="7698" spans="8:12">
      <c r="H7698"/>
      <c r="I7698"/>
      <c r="J7698"/>
      <c r="K7698"/>
      <c r="L7698"/>
    </row>
    <row r="7699" spans="8:12">
      <c r="H7699"/>
      <c r="I7699"/>
      <c r="J7699"/>
      <c r="K7699"/>
      <c r="L7699"/>
    </row>
    <row r="7700" spans="8:12">
      <c r="H7700"/>
      <c r="I7700"/>
      <c r="J7700"/>
      <c r="K7700"/>
      <c r="L7700"/>
    </row>
    <row r="7701" spans="8:12">
      <c r="H7701"/>
      <c r="I7701"/>
      <c r="J7701"/>
      <c r="K7701"/>
      <c r="L7701"/>
    </row>
    <row r="7702" spans="8:12">
      <c r="H7702"/>
      <c r="I7702"/>
      <c r="J7702"/>
      <c r="K7702"/>
      <c r="L7702"/>
    </row>
    <row r="7703" spans="8:12">
      <c r="H7703"/>
      <c r="I7703"/>
      <c r="J7703"/>
      <c r="K7703"/>
      <c r="L7703"/>
    </row>
    <row r="7704" spans="8:12">
      <c r="H7704"/>
      <c r="I7704"/>
      <c r="J7704"/>
      <c r="K7704"/>
      <c r="L7704"/>
    </row>
    <row r="7705" spans="8:12">
      <c r="H7705"/>
      <c r="I7705"/>
      <c r="J7705"/>
      <c r="K7705"/>
      <c r="L7705"/>
    </row>
    <row r="7706" spans="8:12">
      <c r="H7706"/>
      <c r="I7706"/>
      <c r="J7706"/>
      <c r="K7706"/>
      <c r="L7706"/>
    </row>
    <row r="7707" spans="8:12">
      <c r="H7707"/>
      <c r="I7707"/>
      <c r="J7707"/>
      <c r="K7707"/>
      <c r="L7707"/>
    </row>
    <row r="7708" spans="8:12">
      <c r="H7708"/>
      <c r="I7708"/>
      <c r="J7708"/>
      <c r="K7708"/>
      <c r="L7708"/>
    </row>
    <row r="7709" spans="8:12">
      <c r="H7709"/>
      <c r="I7709"/>
      <c r="J7709"/>
      <c r="K7709"/>
      <c r="L7709"/>
    </row>
    <row r="7710" spans="8:12">
      <c r="H7710"/>
      <c r="I7710"/>
      <c r="J7710"/>
      <c r="K7710"/>
      <c r="L7710"/>
    </row>
    <row r="7711" spans="8:12">
      <c r="H7711"/>
      <c r="I7711"/>
      <c r="J7711"/>
      <c r="K7711"/>
      <c r="L7711"/>
    </row>
    <row r="7712" spans="8:12">
      <c r="H7712"/>
      <c r="I7712"/>
      <c r="J7712"/>
      <c r="K7712"/>
      <c r="L7712"/>
    </row>
    <row r="7713" spans="8:12">
      <c r="H7713"/>
      <c r="I7713"/>
      <c r="J7713"/>
      <c r="K7713"/>
      <c r="L7713"/>
    </row>
    <row r="7714" spans="8:12">
      <c r="H7714"/>
      <c r="I7714"/>
      <c r="J7714"/>
      <c r="K7714"/>
      <c r="L7714"/>
    </row>
    <row r="7715" spans="8:12">
      <c r="H7715"/>
      <c r="I7715"/>
      <c r="J7715"/>
      <c r="K7715"/>
      <c r="L7715"/>
    </row>
    <row r="7716" spans="8:12">
      <c r="H7716"/>
      <c r="I7716"/>
      <c r="J7716"/>
      <c r="K7716"/>
      <c r="L7716"/>
    </row>
    <row r="7717" spans="8:12">
      <c r="H7717"/>
      <c r="I7717"/>
      <c r="J7717"/>
      <c r="K7717"/>
      <c r="L7717"/>
    </row>
    <row r="7718" spans="8:12">
      <c r="H7718"/>
      <c r="I7718"/>
      <c r="J7718"/>
      <c r="K7718"/>
      <c r="L7718"/>
    </row>
    <row r="7719" spans="8:12">
      <c r="H7719"/>
      <c r="I7719"/>
      <c r="J7719"/>
      <c r="K7719"/>
      <c r="L7719"/>
    </row>
    <row r="7720" spans="8:12">
      <c r="H7720"/>
      <c r="I7720"/>
      <c r="J7720"/>
      <c r="K7720"/>
      <c r="L7720"/>
    </row>
    <row r="7721" spans="8:12">
      <c r="H7721"/>
      <c r="I7721"/>
      <c r="J7721"/>
      <c r="K7721"/>
      <c r="L7721"/>
    </row>
    <row r="7722" spans="8:12">
      <c r="H7722"/>
      <c r="I7722"/>
      <c r="J7722"/>
      <c r="K7722"/>
      <c r="L7722"/>
    </row>
    <row r="7723" spans="8:12">
      <c r="H7723"/>
      <c r="I7723"/>
      <c r="J7723"/>
      <c r="K7723"/>
      <c r="L7723"/>
    </row>
    <row r="7724" spans="8:12">
      <c r="H7724"/>
      <c r="I7724"/>
      <c r="J7724"/>
      <c r="K7724"/>
      <c r="L7724"/>
    </row>
    <row r="7725" spans="8:12">
      <c r="H7725"/>
      <c r="I7725"/>
      <c r="J7725"/>
      <c r="K7725"/>
      <c r="L7725"/>
    </row>
    <row r="7726" spans="8:12">
      <c r="H7726"/>
      <c r="I7726"/>
      <c r="J7726"/>
      <c r="K7726"/>
      <c r="L7726"/>
    </row>
    <row r="7727" spans="8:12">
      <c r="H7727"/>
      <c r="I7727"/>
      <c r="J7727"/>
      <c r="K7727"/>
      <c r="L7727"/>
    </row>
    <row r="7728" spans="8:12">
      <c r="H7728"/>
      <c r="I7728"/>
      <c r="J7728"/>
      <c r="K7728"/>
      <c r="L7728"/>
    </row>
    <row r="7729" spans="8:12">
      <c r="H7729"/>
      <c r="I7729"/>
      <c r="J7729"/>
      <c r="K7729"/>
      <c r="L7729"/>
    </row>
    <row r="7730" spans="8:12">
      <c r="H7730"/>
      <c r="I7730"/>
      <c r="J7730"/>
      <c r="K7730"/>
      <c r="L7730"/>
    </row>
    <row r="7731" spans="8:12">
      <c r="H7731"/>
      <c r="I7731"/>
      <c r="J7731"/>
      <c r="K7731"/>
      <c r="L7731"/>
    </row>
    <row r="7732" spans="8:12">
      <c r="H7732"/>
      <c r="I7732"/>
      <c r="J7732"/>
      <c r="K7732"/>
      <c r="L7732"/>
    </row>
    <row r="7733" spans="8:12">
      <c r="H7733"/>
      <c r="I7733"/>
      <c r="J7733"/>
      <c r="K7733"/>
      <c r="L7733"/>
    </row>
    <row r="7734" spans="8:12">
      <c r="H7734"/>
      <c r="I7734"/>
      <c r="J7734"/>
      <c r="K7734"/>
      <c r="L7734"/>
    </row>
    <row r="7735" spans="8:12">
      <c r="H7735"/>
      <c r="I7735"/>
      <c r="J7735"/>
      <c r="K7735"/>
      <c r="L7735"/>
    </row>
    <row r="7736" spans="8:12">
      <c r="H7736"/>
      <c r="I7736"/>
      <c r="J7736"/>
      <c r="K7736"/>
      <c r="L7736"/>
    </row>
    <row r="7737" spans="8:12">
      <c r="H7737"/>
      <c r="I7737"/>
      <c r="J7737"/>
      <c r="K7737"/>
      <c r="L7737"/>
    </row>
    <row r="7738" spans="8:12">
      <c r="H7738"/>
      <c r="I7738"/>
      <c r="J7738"/>
      <c r="K7738"/>
      <c r="L7738"/>
    </row>
    <row r="7739" spans="8:12">
      <c r="H7739"/>
      <c r="I7739"/>
      <c r="J7739"/>
      <c r="K7739"/>
      <c r="L7739"/>
    </row>
    <row r="7740" spans="8:12">
      <c r="H7740"/>
      <c r="I7740"/>
      <c r="J7740"/>
      <c r="K7740"/>
      <c r="L7740"/>
    </row>
    <row r="7741" spans="8:12">
      <c r="H7741"/>
      <c r="I7741"/>
      <c r="J7741"/>
      <c r="K7741"/>
      <c r="L7741"/>
    </row>
    <row r="7742" spans="8:12">
      <c r="H7742"/>
      <c r="I7742"/>
      <c r="J7742"/>
      <c r="K7742"/>
      <c r="L7742"/>
    </row>
    <row r="7743" spans="8:12">
      <c r="H7743"/>
      <c r="I7743"/>
      <c r="J7743"/>
      <c r="K7743"/>
      <c r="L7743"/>
    </row>
    <row r="7744" spans="8:12">
      <c r="H7744"/>
      <c r="I7744"/>
      <c r="J7744"/>
      <c r="K7744"/>
      <c r="L7744"/>
    </row>
    <row r="7745" spans="8:12">
      <c r="H7745"/>
      <c r="I7745"/>
      <c r="J7745"/>
      <c r="K7745"/>
      <c r="L7745"/>
    </row>
    <row r="7746" spans="8:12">
      <c r="H7746"/>
      <c r="I7746"/>
      <c r="J7746"/>
      <c r="K7746"/>
      <c r="L7746"/>
    </row>
    <row r="7747" spans="8:12">
      <c r="H7747"/>
      <c r="I7747"/>
      <c r="J7747"/>
      <c r="K7747"/>
      <c r="L7747"/>
    </row>
    <row r="7748" spans="8:12">
      <c r="H7748"/>
      <c r="I7748"/>
      <c r="J7748"/>
      <c r="K7748"/>
      <c r="L7748"/>
    </row>
    <row r="7749" spans="8:12">
      <c r="H7749"/>
      <c r="I7749"/>
      <c r="J7749"/>
      <c r="K7749"/>
      <c r="L7749"/>
    </row>
    <row r="7750" spans="8:12">
      <c r="H7750"/>
      <c r="I7750"/>
      <c r="J7750"/>
      <c r="K7750"/>
      <c r="L7750"/>
    </row>
    <row r="7751" spans="8:12">
      <c r="H7751"/>
      <c r="I7751"/>
      <c r="J7751"/>
      <c r="K7751"/>
      <c r="L7751"/>
    </row>
    <row r="7752" spans="8:12">
      <c r="H7752"/>
      <c r="I7752"/>
      <c r="J7752"/>
      <c r="K7752"/>
      <c r="L7752"/>
    </row>
    <row r="7753" spans="8:12">
      <c r="H7753"/>
      <c r="I7753"/>
      <c r="J7753"/>
      <c r="K7753"/>
      <c r="L7753"/>
    </row>
    <row r="7754" spans="8:12">
      <c r="H7754"/>
      <c r="I7754"/>
      <c r="J7754"/>
      <c r="K7754"/>
      <c r="L7754"/>
    </row>
    <row r="7755" spans="8:12">
      <c r="H7755"/>
      <c r="I7755"/>
      <c r="J7755"/>
      <c r="K7755"/>
      <c r="L7755"/>
    </row>
    <row r="7756" spans="8:12">
      <c r="H7756"/>
      <c r="I7756"/>
      <c r="J7756"/>
      <c r="K7756"/>
      <c r="L7756"/>
    </row>
    <row r="7757" spans="8:12">
      <c r="H7757"/>
      <c r="I7757"/>
      <c r="J7757"/>
      <c r="K7757"/>
      <c r="L7757"/>
    </row>
    <row r="7758" spans="8:12">
      <c r="H7758"/>
      <c r="I7758"/>
      <c r="J7758"/>
      <c r="K7758"/>
      <c r="L7758"/>
    </row>
    <row r="7759" spans="8:12">
      <c r="H7759"/>
      <c r="I7759"/>
      <c r="J7759"/>
      <c r="K7759"/>
      <c r="L7759"/>
    </row>
    <row r="7760" spans="8:12">
      <c r="H7760"/>
      <c r="I7760"/>
      <c r="J7760"/>
      <c r="K7760"/>
      <c r="L7760"/>
    </row>
    <row r="7761" spans="8:12">
      <c r="H7761"/>
      <c r="I7761"/>
      <c r="J7761"/>
      <c r="K7761"/>
      <c r="L7761"/>
    </row>
    <row r="7762" spans="8:12">
      <c r="H7762"/>
      <c r="I7762"/>
      <c r="J7762"/>
      <c r="K7762"/>
      <c r="L7762"/>
    </row>
    <row r="7763" spans="8:12">
      <c r="H7763"/>
      <c r="I7763"/>
      <c r="J7763"/>
      <c r="K7763"/>
      <c r="L7763"/>
    </row>
    <row r="7764" spans="8:12">
      <c r="H7764"/>
      <c r="I7764"/>
      <c r="J7764"/>
      <c r="K7764"/>
      <c r="L7764"/>
    </row>
    <row r="7765" spans="8:12">
      <c r="H7765"/>
      <c r="I7765"/>
      <c r="J7765"/>
      <c r="K7765"/>
      <c r="L7765"/>
    </row>
    <row r="7766" spans="8:12">
      <c r="H7766"/>
      <c r="I7766"/>
      <c r="J7766"/>
      <c r="K7766"/>
      <c r="L7766"/>
    </row>
    <row r="7767" spans="8:12">
      <c r="H7767"/>
      <c r="I7767"/>
      <c r="J7767"/>
      <c r="K7767"/>
      <c r="L7767"/>
    </row>
    <row r="7768" spans="8:12">
      <c r="H7768"/>
      <c r="I7768"/>
      <c r="J7768"/>
      <c r="K7768"/>
      <c r="L7768"/>
    </row>
    <row r="7769" spans="8:12">
      <c r="H7769"/>
      <c r="I7769"/>
      <c r="J7769"/>
      <c r="K7769"/>
      <c r="L7769"/>
    </row>
    <row r="7770" spans="8:12">
      <c r="H7770"/>
      <c r="I7770"/>
      <c r="J7770"/>
      <c r="K7770"/>
      <c r="L7770"/>
    </row>
    <row r="7771" spans="8:12">
      <c r="H7771"/>
      <c r="I7771"/>
      <c r="J7771"/>
      <c r="K7771"/>
      <c r="L7771"/>
    </row>
    <row r="7772" spans="8:12">
      <c r="H7772"/>
      <c r="I7772"/>
      <c r="J7772"/>
      <c r="K7772"/>
      <c r="L7772"/>
    </row>
    <row r="7773" spans="8:12">
      <c r="H7773"/>
      <c r="I7773"/>
      <c r="J7773"/>
      <c r="K7773"/>
      <c r="L7773"/>
    </row>
    <row r="7774" spans="8:12">
      <c r="H7774"/>
      <c r="I7774"/>
      <c r="J7774"/>
      <c r="K7774"/>
      <c r="L7774"/>
    </row>
    <row r="7775" spans="8:12">
      <c r="H7775"/>
      <c r="I7775"/>
      <c r="J7775"/>
      <c r="K7775"/>
      <c r="L7775"/>
    </row>
    <row r="7776" spans="8:12">
      <c r="H7776"/>
      <c r="I7776"/>
      <c r="J7776"/>
      <c r="K7776"/>
      <c r="L7776"/>
    </row>
    <row r="7777" spans="8:12">
      <c r="H7777"/>
      <c r="I7777"/>
      <c r="J7777"/>
      <c r="K7777"/>
      <c r="L7777"/>
    </row>
    <row r="7778" spans="8:12">
      <c r="H7778"/>
      <c r="I7778"/>
      <c r="J7778"/>
      <c r="K7778"/>
      <c r="L7778"/>
    </row>
    <row r="7779" spans="8:12">
      <c r="H7779"/>
      <c r="I7779"/>
      <c r="J7779"/>
      <c r="K7779"/>
      <c r="L7779"/>
    </row>
    <row r="7780" spans="8:12">
      <c r="H7780"/>
      <c r="I7780"/>
      <c r="J7780"/>
      <c r="K7780"/>
      <c r="L7780"/>
    </row>
    <row r="7781" spans="8:12">
      <c r="H7781"/>
      <c r="I7781"/>
      <c r="J7781"/>
      <c r="K7781"/>
      <c r="L7781"/>
    </row>
    <row r="7782" spans="8:12">
      <c r="H7782"/>
      <c r="I7782"/>
      <c r="J7782"/>
      <c r="K7782"/>
      <c r="L7782"/>
    </row>
    <row r="7783" spans="8:12">
      <c r="H7783"/>
      <c r="I7783"/>
      <c r="J7783"/>
      <c r="K7783"/>
      <c r="L7783"/>
    </row>
    <row r="7784" spans="8:12">
      <c r="H7784"/>
      <c r="I7784"/>
      <c r="J7784"/>
      <c r="K7784"/>
      <c r="L7784"/>
    </row>
    <row r="7785" spans="8:12">
      <c r="H7785"/>
      <c r="I7785"/>
      <c r="J7785"/>
      <c r="K7785"/>
      <c r="L7785"/>
    </row>
    <row r="7786" spans="8:12">
      <c r="H7786"/>
      <c r="I7786"/>
      <c r="J7786"/>
      <c r="K7786"/>
      <c r="L7786"/>
    </row>
    <row r="7787" spans="8:12">
      <c r="H7787"/>
      <c r="I7787"/>
      <c r="J7787"/>
      <c r="K7787"/>
      <c r="L7787"/>
    </row>
    <row r="7788" spans="8:12">
      <c r="H7788"/>
      <c r="I7788"/>
      <c r="J7788"/>
      <c r="K7788"/>
      <c r="L7788"/>
    </row>
    <row r="7789" spans="8:12">
      <c r="H7789"/>
      <c r="I7789"/>
      <c r="J7789"/>
      <c r="K7789"/>
      <c r="L7789"/>
    </row>
    <row r="7790" spans="8:12">
      <c r="H7790"/>
      <c r="I7790"/>
      <c r="J7790"/>
      <c r="K7790"/>
      <c r="L7790"/>
    </row>
    <row r="7791" spans="8:12">
      <c r="H7791"/>
      <c r="I7791"/>
      <c r="J7791"/>
      <c r="K7791"/>
      <c r="L7791"/>
    </row>
    <row r="7792" spans="8:12">
      <c r="H7792"/>
      <c r="I7792"/>
      <c r="J7792"/>
      <c r="K7792"/>
      <c r="L7792"/>
    </row>
    <row r="7793" spans="8:12">
      <c r="H7793"/>
      <c r="I7793"/>
      <c r="J7793"/>
      <c r="K7793"/>
      <c r="L7793"/>
    </row>
    <row r="7794" spans="8:12">
      <c r="H7794"/>
      <c r="I7794"/>
      <c r="J7794"/>
      <c r="K7794"/>
      <c r="L7794"/>
    </row>
    <row r="7795" spans="8:12">
      <c r="H7795"/>
      <c r="I7795"/>
      <c r="J7795"/>
      <c r="K7795"/>
      <c r="L7795"/>
    </row>
    <row r="7796" spans="8:12">
      <c r="H7796"/>
      <c r="I7796"/>
      <c r="J7796"/>
      <c r="K7796"/>
      <c r="L7796"/>
    </row>
    <row r="7797" spans="8:12">
      <c r="H7797"/>
      <c r="I7797"/>
      <c r="J7797"/>
      <c r="K7797"/>
      <c r="L7797"/>
    </row>
    <row r="7798" spans="8:12">
      <c r="H7798"/>
      <c r="I7798"/>
      <c r="J7798"/>
      <c r="K7798"/>
      <c r="L7798"/>
    </row>
    <row r="7799" spans="8:12">
      <c r="H7799"/>
      <c r="I7799"/>
      <c r="J7799"/>
      <c r="K7799"/>
      <c r="L7799"/>
    </row>
    <row r="7800" spans="8:12">
      <c r="H7800"/>
      <c r="I7800"/>
      <c r="J7800"/>
      <c r="K7800"/>
      <c r="L7800"/>
    </row>
    <row r="7801" spans="8:12">
      <c r="H7801"/>
      <c r="I7801"/>
      <c r="J7801"/>
      <c r="K7801"/>
      <c r="L7801"/>
    </row>
    <row r="7802" spans="8:12">
      <c r="H7802"/>
      <c r="I7802"/>
      <c r="J7802"/>
      <c r="K7802"/>
      <c r="L7802"/>
    </row>
    <row r="7803" spans="8:12">
      <c r="H7803"/>
      <c r="I7803"/>
      <c r="J7803"/>
      <c r="K7803"/>
      <c r="L7803"/>
    </row>
    <row r="7804" spans="8:12">
      <c r="H7804"/>
      <c r="I7804"/>
      <c r="J7804"/>
      <c r="K7804"/>
      <c r="L7804"/>
    </row>
    <row r="7805" spans="8:12">
      <c r="H7805"/>
      <c r="I7805"/>
      <c r="J7805"/>
      <c r="K7805"/>
      <c r="L7805"/>
    </row>
    <row r="7806" spans="8:12">
      <c r="H7806"/>
      <c r="I7806"/>
      <c r="J7806"/>
      <c r="K7806"/>
      <c r="L7806"/>
    </row>
    <row r="7807" spans="8:12">
      <c r="H7807"/>
      <c r="I7807"/>
      <c r="J7807"/>
      <c r="K7807"/>
      <c r="L7807"/>
    </row>
    <row r="7808" spans="8:12">
      <c r="H7808"/>
      <c r="I7808"/>
      <c r="J7808"/>
      <c r="K7808"/>
      <c r="L7808"/>
    </row>
    <row r="7809" spans="8:12">
      <c r="H7809"/>
      <c r="I7809"/>
      <c r="J7809"/>
      <c r="K7809"/>
      <c r="L7809"/>
    </row>
    <row r="7810" spans="8:12">
      <c r="H7810"/>
      <c r="I7810"/>
      <c r="J7810"/>
      <c r="K7810"/>
      <c r="L7810"/>
    </row>
    <row r="7811" spans="8:12">
      <c r="H7811"/>
      <c r="I7811"/>
      <c r="J7811"/>
      <c r="K7811"/>
      <c r="L7811"/>
    </row>
    <row r="7812" spans="8:12">
      <c r="H7812"/>
      <c r="I7812"/>
      <c r="J7812"/>
      <c r="K7812"/>
      <c r="L7812"/>
    </row>
    <row r="7813" spans="8:12">
      <c r="H7813"/>
      <c r="I7813"/>
      <c r="J7813"/>
      <c r="K7813"/>
      <c r="L7813"/>
    </row>
    <row r="7814" spans="8:12">
      <c r="H7814"/>
      <c r="I7814"/>
      <c r="J7814"/>
      <c r="K7814"/>
      <c r="L7814"/>
    </row>
    <row r="7815" spans="8:12">
      <c r="H7815"/>
      <c r="I7815"/>
      <c r="J7815"/>
      <c r="K7815"/>
      <c r="L7815"/>
    </row>
    <row r="7816" spans="8:12">
      <c r="H7816"/>
      <c r="I7816"/>
      <c r="J7816"/>
      <c r="K7816"/>
      <c r="L7816"/>
    </row>
    <row r="7817" spans="8:12">
      <c r="H7817"/>
      <c r="I7817"/>
      <c r="J7817"/>
      <c r="K7817"/>
      <c r="L7817"/>
    </row>
    <row r="7818" spans="8:12">
      <c r="H7818"/>
      <c r="I7818"/>
      <c r="J7818"/>
      <c r="K7818"/>
      <c r="L7818"/>
    </row>
    <row r="7819" spans="8:12">
      <c r="H7819"/>
      <c r="I7819"/>
      <c r="J7819"/>
      <c r="K7819"/>
      <c r="L7819"/>
    </row>
    <row r="7820" spans="8:12">
      <c r="H7820"/>
      <c r="I7820"/>
      <c r="J7820"/>
      <c r="K7820"/>
      <c r="L7820"/>
    </row>
    <row r="7821" spans="8:12">
      <c r="H7821"/>
      <c r="I7821"/>
      <c r="J7821"/>
      <c r="K7821"/>
      <c r="L7821"/>
    </row>
    <row r="7822" spans="8:12">
      <c r="H7822"/>
      <c r="I7822"/>
      <c r="J7822"/>
      <c r="K7822"/>
      <c r="L7822"/>
    </row>
    <row r="7823" spans="8:12">
      <c r="H7823"/>
      <c r="I7823"/>
      <c r="J7823"/>
      <c r="K7823"/>
      <c r="L7823"/>
    </row>
    <row r="7824" spans="8:12">
      <c r="H7824"/>
      <c r="I7824"/>
      <c r="J7824"/>
      <c r="K7824"/>
      <c r="L7824"/>
    </row>
    <row r="7825" spans="8:12">
      <c r="H7825"/>
      <c r="I7825"/>
      <c r="J7825"/>
      <c r="K7825"/>
      <c r="L7825"/>
    </row>
    <row r="7826" spans="8:12">
      <c r="H7826"/>
      <c r="I7826"/>
      <c r="J7826"/>
      <c r="K7826"/>
      <c r="L7826"/>
    </row>
    <row r="7827" spans="8:12">
      <c r="H7827"/>
      <c r="I7827"/>
      <c r="J7827"/>
      <c r="K7827"/>
      <c r="L7827"/>
    </row>
    <row r="7828" spans="8:12">
      <c r="H7828"/>
      <c r="I7828"/>
      <c r="J7828"/>
      <c r="K7828"/>
      <c r="L7828"/>
    </row>
    <row r="7829" spans="8:12">
      <c r="H7829"/>
      <c r="I7829"/>
      <c r="J7829"/>
      <c r="K7829"/>
      <c r="L7829"/>
    </row>
    <row r="7830" spans="8:12">
      <c r="H7830"/>
      <c r="I7830"/>
      <c r="J7830"/>
      <c r="K7830"/>
      <c r="L7830"/>
    </row>
    <row r="7831" spans="8:12">
      <c r="H7831"/>
      <c r="I7831"/>
      <c r="J7831"/>
      <c r="K7831"/>
      <c r="L7831"/>
    </row>
    <row r="7832" spans="8:12">
      <c r="H7832"/>
      <c r="I7832"/>
      <c r="J7832"/>
      <c r="K7832"/>
      <c r="L7832"/>
    </row>
    <row r="7833" spans="8:12">
      <c r="H7833"/>
      <c r="I7833"/>
      <c r="J7833"/>
      <c r="K7833"/>
      <c r="L7833"/>
    </row>
    <row r="7834" spans="8:12">
      <c r="H7834"/>
      <c r="I7834"/>
      <c r="J7834"/>
      <c r="K7834"/>
      <c r="L7834"/>
    </row>
    <row r="7835" spans="8:12">
      <c r="H7835"/>
      <c r="I7835"/>
      <c r="J7835"/>
      <c r="K7835"/>
      <c r="L7835"/>
    </row>
    <row r="7836" spans="8:12">
      <c r="H7836"/>
      <c r="I7836"/>
      <c r="J7836"/>
      <c r="K7836"/>
      <c r="L7836"/>
    </row>
    <row r="7837" spans="8:12">
      <c r="H7837"/>
      <c r="I7837"/>
      <c r="J7837"/>
      <c r="K7837"/>
      <c r="L7837"/>
    </row>
    <row r="7838" spans="8:12">
      <c r="H7838"/>
      <c r="I7838"/>
      <c r="J7838"/>
      <c r="K7838"/>
      <c r="L7838"/>
    </row>
    <row r="7839" spans="8:12">
      <c r="H7839"/>
      <c r="I7839"/>
      <c r="J7839"/>
      <c r="K7839"/>
      <c r="L7839"/>
    </row>
    <row r="7840" spans="8:12">
      <c r="H7840"/>
      <c r="I7840"/>
      <c r="J7840"/>
      <c r="K7840"/>
      <c r="L7840"/>
    </row>
    <row r="7841" spans="8:12">
      <c r="H7841"/>
      <c r="I7841"/>
      <c r="J7841"/>
      <c r="K7841"/>
      <c r="L7841"/>
    </row>
    <row r="7842" spans="8:12">
      <c r="H7842"/>
      <c r="I7842"/>
      <c r="J7842"/>
      <c r="K7842"/>
      <c r="L7842"/>
    </row>
    <row r="7843" spans="8:12">
      <c r="H7843"/>
      <c r="I7843"/>
      <c r="J7843"/>
      <c r="K7843"/>
      <c r="L7843"/>
    </row>
    <row r="7844" spans="8:12">
      <c r="H7844"/>
      <c r="I7844"/>
      <c r="J7844"/>
      <c r="K7844"/>
      <c r="L7844"/>
    </row>
    <row r="7845" spans="8:12">
      <c r="H7845"/>
      <c r="I7845"/>
      <c r="J7845"/>
      <c r="K7845"/>
      <c r="L7845"/>
    </row>
    <row r="7846" spans="8:12">
      <c r="H7846"/>
      <c r="I7846"/>
      <c r="J7846"/>
      <c r="K7846"/>
      <c r="L7846"/>
    </row>
    <row r="7847" spans="8:12">
      <c r="H7847"/>
      <c r="I7847"/>
      <c r="J7847"/>
      <c r="K7847"/>
      <c r="L7847"/>
    </row>
    <row r="7848" spans="8:12">
      <c r="H7848"/>
      <c r="I7848"/>
      <c r="J7848"/>
      <c r="K7848"/>
      <c r="L7848"/>
    </row>
    <row r="7849" spans="8:12">
      <c r="H7849"/>
      <c r="I7849"/>
      <c r="J7849"/>
      <c r="K7849"/>
      <c r="L7849"/>
    </row>
    <row r="7850" spans="8:12">
      <c r="H7850"/>
      <c r="I7850"/>
      <c r="J7850"/>
      <c r="K7850"/>
      <c r="L7850"/>
    </row>
    <row r="7851" spans="8:12">
      <c r="H7851"/>
      <c r="I7851"/>
      <c r="J7851"/>
      <c r="K7851"/>
      <c r="L7851"/>
    </row>
    <row r="7852" spans="8:12">
      <c r="H7852"/>
      <c r="I7852"/>
      <c r="J7852"/>
      <c r="K7852"/>
      <c r="L7852"/>
    </row>
    <row r="7853" spans="8:12">
      <c r="H7853"/>
      <c r="I7853"/>
      <c r="J7853"/>
      <c r="K7853"/>
      <c r="L7853"/>
    </row>
    <row r="7854" spans="8:12">
      <c r="H7854"/>
      <c r="I7854"/>
      <c r="J7854"/>
      <c r="K7854"/>
      <c r="L7854"/>
    </row>
    <row r="7855" spans="8:12">
      <c r="H7855"/>
      <c r="I7855"/>
      <c r="J7855"/>
      <c r="K7855"/>
      <c r="L7855"/>
    </row>
    <row r="7856" spans="8:12">
      <c r="H7856"/>
      <c r="I7856"/>
      <c r="J7856"/>
      <c r="K7856"/>
      <c r="L7856"/>
    </row>
    <row r="7857" spans="8:12">
      <c r="H7857"/>
      <c r="I7857"/>
      <c r="J7857"/>
      <c r="K7857"/>
      <c r="L7857"/>
    </row>
    <row r="7858" spans="8:12">
      <c r="H7858"/>
      <c r="I7858"/>
      <c r="J7858"/>
      <c r="K7858"/>
      <c r="L7858"/>
    </row>
    <row r="7859" spans="8:12">
      <c r="H7859"/>
      <c r="I7859"/>
      <c r="J7859"/>
      <c r="K7859"/>
      <c r="L7859"/>
    </row>
    <row r="7860" spans="8:12">
      <c r="H7860"/>
      <c r="I7860"/>
      <c r="J7860"/>
      <c r="K7860"/>
      <c r="L7860"/>
    </row>
    <row r="7861" spans="8:12">
      <c r="H7861"/>
      <c r="I7861"/>
      <c r="J7861"/>
      <c r="K7861"/>
      <c r="L7861"/>
    </row>
    <row r="7862" spans="8:12">
      <c r="H7862"/>
      <c r="I7862"/>
      <c r="J7862"/>
      <c r="K7862"/>
      <c r="L7862"/>
    </row>
    <row r="7863" spans="8:12">
      <c r="H7863"/>
      <c r="I7863"/>
      <c r="J7863"/>
      <c r="K7863"/>
      <c r="L7863"/>
    </row>
    <row r="7864" spans="8:12">
      <c r="H7864"/>
      <c r="I7864"/>
      <c r="J7864"/>
      <c r="K7864"/>
      <c r="L7864"/>
    </row>
    <row r="7865" spans="8:12">
      <c r="H7865"/>
      <c r="I7865"/>
      <c r="J7865"/>
      <c r="K7865"/>
      <c r="L7865"/>
    </row>
    <row r="7866" spans="8:12">
      <c r="H7866"/>
      <c r="I7866"/>
      <c r="J7866"/>
      <c r="K7866"/>
      <c r="L7866"/>
    </row>
    <row r="7867" spans="8:12">
      <c r="H7867"/>
      <c r="I7867"/>
      <c r="J7867"/>
      <c r="K7867"/>
      <c r="L7867"/>
    </row>
    <row r="7868" spans="8:12">
      <c r="H7868"/>
      <c r="I7868"/>
      <c r="J7868"/>
      <c r="K7868"/>
      <c r="L7868"/>
    </row>
    <row r="7869" spans="8:12">
      <c r="H7869"/>
      <c r="I7869"/>
      <c r="J7869"/>
      <c r="K7869"/>
      <c r="L7869"/>
    </row>
    <row r="7870" spans="8:12">
      <c r="H7870"/>
      <c r="I7870"/>
      <c r="J7870"/>
      <c r="K7870"/>
      <c r="L7870"/>
    </row>
    <row r="7871" spans="8:12">
      <c r="H7871"/>
      <c r="I7871"/>
      <c r="J7871"/>
      <c r="K7871"/>
      <c r="L7871"/>
    </row>
    <row r="7872" spans="8:12">
      <c r="H7872"/>
      <c r="I7872"/>
      <c r="J7872"/>
      <c r="K7872"/>
      <c r="L7872"/>
    </row>
    <row r="7873" spans="8:12">
      <c r="H7873"/>
      <c r="I7873"/>
      <c r="J7873"/>
      <c r="K7873"/>
      <c r="L7873"/>
    </row>
    <row r="7874" spans="8:12">
      <c r="H7874"/>
      <c r="I7874"/>
      <c r="J7874"/>
      <c r="K7874"/>
      <c r="L7874"/>
    </row>
    <row r="7875" spans="8:12">
      <c r="H7875"/>
      <c r="I7875"/>
      <c r="J7875"/>
      <c r="K7875"/>
      <c r="L7875"/>
    </row>
    <row r="7876" spans="8:12">
      <c r="H7876"/>
      <c r="I7876"/>
      <c r="J7876"/>
      <c r="K7876"/>
      <c r="L7876"/>
    </row>
    <row r="7877" spans="8:12">
      <c r="H7877"/>
      <c r="I7877"/>
      <c r="J7877"/>
      <c r="K7877"/>
      <c r="L7877"/>
    </row>
    <row r="7878" spans="8:12">
      <c r="H7878"/>
      <c r="I7878"/>
      <c r="J7878"/>
      <c r="K7878"/>
      <c r="L7878"/>
    </row>
    <row r="7879" spans="8:12">
      <c r="H7879"/>
      <c r="I7879"/>
      <c r="J7879"/>
      <c r="K7879"/>
      <c r="L7879"/>
    </row>
    <row r="7880" spans="8:12">
      <c r="H7880"/>
      <c r="I7880"/>
      <c r="J7880"/>
      <c r="K7880"/>
      <c r="L7880"/>
    </row>
    <row r="7881" spans="8:12">
      <c r="H7881"/>
      <c r="I7881"/>
      <c r="J7881"/>
      <c r="K7881"/>
      <c r="L7881"/>
    </row>
    <row r="7882" spans="8:12">
      <c r="H7882"/>
      <c r="I7882"/>
      <c r="J7882"/>
      <c r="K7882"/>
      <c r="L7882"/>
    </row>
    <row r="7883" spans="8:12">
      <c r="H7883"/>
      <c r="I7883"/>
      <c r="J7883"/>
      <c r="K7883"/>
      <c r="L7883"/>
    </row>
    <row r="7884" spans="8:12">
      <c r="H7884"/>
      <c r="I7884"/>
      <c r="J7884"/>
      <c r="K7884"/>
      <c r="L7884"/>
    </row>
    <row r="7885" spans="8:12">
      <c r="H7885"/>
      <c r="I7885"/>
      <c r="J7885"/>
      <c r="K7885"/>
      <c r="L7885"/>
    </row>
    <row r="7886" spans="8:12">
      <c r="H7886"/>
      <c r="I7886"/>
      <c r="J7886"/>
      <c r="K7886"/>
      <c r="L7886"/>
    </row>
    <row r="7887" spans="8:12">
      <c r="H7887"/>
      <c r="I7887"/>
      <c r="J7887"/>
      <c r="K7887"/>
      <c r="L7887"/>
    </row>
    <row r="7888" spans="8:12">
      <c r="H7888"/>
      <c r="I7888"/>
      <c r="J7888"/>
      <c r="K7888"/>
      <c r="L7888"/>
    </row>
    <row r="7889" spans="8:12">
      <c r="H7889"/>
      <c r="I7889"/>
      <c r="J7889"/>
      <c r="K7889"/>
      <c r="L7889"/>
    </row>
    <row r="7890" spans="8:12">
      <c r="H7890"/>
      <c r="I7890"/>
      <c r="J7890"/>
      <c r="K7890"/>
      <c r="L7890"/>
    </row>
    <row r="7891" spans="8:12">
      <c r="H7891"/>
      <c r="I7891"/>
      <c r="J7891"/>
      <c r="K7891"/>
      <c r="L7891"/>
    </row>
    <row r="7892" spans="8:12">
      <c r="H7892"/>
      <c r="I7892"/>
      <c r="J7892"/>
      <c r="K7892"/>
      <c r="L7892"/>
    </row>
    <row r="7893" spans="8:12">
      <c r="H7893"/>
      <c r="I7893"/>
      <c r="J7893"/>
      <c r="K7893"/>
      <c r="L7893"/>
    </row>
    <row r="7894" spans="8:12">
      <c r="H7894"/>
      <c r="I7894"/>
      <c r="J7894"/>
      <c r="K7894"/>
      <c r="L7894"/>
    </row>
    <row r="7895" spans="8:12">
      <c r="H7895"/>
      <c r="I7895"/>
      <c r="J7895"/>
      <c r="K7895"/>
      <c r="L7895"/>
    </row>
    <row r="7896" spans="8:12">
      <c r="H7896"/>
      <c r="I7896"/>
      <c r="J7896"/>
      <c r="K7896"/>
      <c r="L7896"/>
    </row>
    <row r="7897" spans="8:12">
      <c r="H7897"/>
      <c r="I7897"/>
      <c r="J7897"/>
      <c r="K7897"/>
      <c r="L7897"/>
    </row>
    <row r="7898" spans="8:12">
      <c r="H7898"/>
      <c r="I7898"/>
      <c r="J7898"/>
      <c r="K7898"/>
      <c r="L7898"/>
    </row>
    <row r="7899" spans="8:12">
      <c r="H7899"/>
      <c r="I7899"/>
      <c r="J7899"/>
      <c r="K7899"/>
      <c r="L7899"/>
    </row>
    <row r="7900" spans="8:12">
      <c r="H7900"/>
      <c r="I7900"/>
      <c r="J7900"/>
      <c r="K7900"/>
      <c r="L7900"/>
    </row>
    <row r="7901" spans="8:12">
      <c r="H7901"/>
      <c r="I7901"/>
      <c r="J7901"/>
      <c r="K7901"/>
      <c r="L7901"/>
    </row>
    <row r="7902" spans="8:12">
      <c r="H7902"/>
      <c r="I7902"/>
      <c r="J7902"/>
      <c r="K7902"/>
      <c r="L7902"/>
    </row>
    <row r="7903" spans="8:12">
      <c r="H7903"/>
      <c r="I7903"/>
      <c r="J7903"/>
      <c r="K7903"/>
      <c r="L7903"/>
    </row>
    <row r="7904" spans="8:12">
      <c r="H7904"/>
      <c r="I7904"/>
      <c r="J7904"/>
      <c r="K7904"/>
      <c r="L7904"/>
    </row>
    <row r="7905" spans="8:12">
      <c r="H7905"/>
      <c r="I7905"/>
      <c r="J7905"/>
      <c r="K7905"/>
      <c r="L7905"/>
    </row>
    <row r="7906" spans="8:12">
      <c r="H7906"/>
      <c r="I7906"/>
      <c r="J7906"/>
      <c r="K7906"/>
      <c r="L7906"/>
    </row>
    <row r="7907" spans="8:12">
      <c r="H7907"/>
      <c r="I7907"/>
      <c r="J7907"/>
      <c r="K7907"/>
      <c r="L7907"/>
    </row>
    <row r="7908" spans="8:12">
      <c r="H7908"/>
      <c r="I7908"/>
      <c r="J7908"/>
      <c r="K7908"/>
      <c r="L7908"/>
    </row>
    <row r="7909" spans="8:12">
      <c r="H7909"/>
      <c r="I7909"/>
      <c r="J7909"/>
      <c r="K7909"/>
      <c r="L7909"/>
    </row>
    <row r="7910" spans="8:12">
      <c r="H7910"/>
      <c r="I7910"/>
      <c r="J7910"/>
      <c r="K7910"/>
      <c r="L7910"/>
    </row>
    <row r="7911" spans="8:12">
      <c r="H7911"/>
      <c r="I7911"/>
      <c r="J7911"/>
      <c r="K7911"/>
      <c r="L7911"/>
    </row>
    <row r="7912" spans="8:12">
      <c r="H7912"/>
      <c r="I7912"/>
      <c r="J7912"/>
      <c r="K7912"/>
      <c r="L7912"/>
    </row>
    <row r="7913" spans="8:12">
      <c r="H7913"/>
      <c r="I7913"/>
      <c r="J7913"/>
      <c r="K7913"/>
      <c r="L7913"/>
    </row>
    <row r="7914" spans="8:12">
      <c r="H7914"/>
      <c r="I7914"/>
      <c r="J7914"/>
      <c r="K7914"/>
      <c r="L7914"/>
    </row>
    <row r="7915" spans="8:12">
      <c r="H7915"/>
      <c r="I7915"/>
      <c r="J7915"/>
      <c r="K7915"/>
      <c r="L7915"/>
    </row>
    <row r="7916" spans="8:12">
      <c r="H7916"/>
      <c r="I7916"/>
      <c r="J7916"/>
      <c r="K7916"/>
      <c r="L7916"/>
    </row>
    <row r="7917" spans="8:12">
      <c r="H7917"/>
      <c r="I7917"/>
      <c r="J7917"/>
      <c r="K7917"/>
      <c r="L7917"/>
    </row>
    <row r="7918" spans="8:12">
      <c r="H7918"/>
      <c r="I7918"/>
      <c r="J7918"/>
      <c r="K7918"/>
      <c r="L7918"/>
    </row>
    <row r="7919" spans="8:12">
      <c r="H7919"/>
      <c r="I7919"/>
      <c r="J7919"/>
      <c r="K7919"/>
      <c r="L7919"/>
    </row>
    <row r="7920" spans="8:12">
      <c r="H7920"/>
      <c r="I7920"/>
      <c r="J7920"/>
      <c r="K7920"/>
      <c r="L7920"/>
    </row>
    <row r="7921" spans="8:12">
      <c r="H7921"/>
      <c r="I7921"/>
      <c r="J7921"/>
      <c r="K7921"/>
      <c r="L7921"/>
    </row>
    <row r="7922" spans="8:12">
      <c r="H7922"/>
      <c r="I7922"/>
      <c r="J7922"/>
      <c r="K7922"/>
      <c r="L7922"/>
    </row>
    <row r="7923" spans="8:12">
      <c r="H7923"/>
      <c r="I7923"/>
      <c r="J7923"/>
      <c r="K7923"/>
      <c r="L7923"/>
    </row>
    <row r="7924" spans="8:12">
      <c r="H7924"/>
      <c r="I7924"/>
      <c r="J7924"/>
      <c r="K7924"/>
      <c r="L7924"/>
    </row>
    <row r="7925" spans="8:12">
      <c r="H7925"/>
      <c r="I7925"/>
      <c r="J7925"/>
      <c r="K7925"/>
      <c r="L7925"/>
    </row>
    <row r="7926" spans="8:12">
      <c r="H7926"/>
      <c r="I7926"/>
      <c r="J7926"/>
      <c r="K7926"/>
      <c r="L7926"/>
    </row>
    <row r="7927" spans="8:12">
      <c r="H7927"/>
      <c r="I7927"/>
      <c r="J7927"/>
      <c r="K7927"/>
      <c r="L7927"/>
    </row>
    <row r="7928" spans="8:12">
      <c r="H7928"/>
      <c r="I7928"/>
      <c r="J7928"/>
      <c r="K7928"/>
      <c r="L7928"/>
    </row>
    <row r="7929" spans="8:12">
      <c r="H7929"/>
      <c r="I7929"/>
      <c r="J7929"/>
      <c r="K7929"/>
      <c r="L7929"/>
    </row>
    <row r="7930" spans="8:12">
      <c r="H7930"/>
      <c r="I7930"/>
      <c r="J7930"/>
      <c r="K7930"/>
      <c r="L7930"/>
    </row>
    <row r="7931" spans="8:12">
      <c r="H7931"/>
      <c r="I7931"/>
      <c r="J7931"/>
      <c r="K7931"/>
      <c r="L7931"/>
    </row>
    <row r="7932" spans="8:12">
      <c r="H7932"/>
      <c r="I7932"/>
      <c r="J7932"/>
      <c r="K7932"/>
      <c r="L7932"/>
    </row>
    <row r="7933" spans="8:12">
      <c r="H7933"/>
      <c r="I7933"/>
      <c r="J7933"/>
      <c r="K7933"/>
      <c r="L7933"/>
    </row>
    <row r="7934" spans="8:12">
      <c r="H7934"/>
      <c r="I7934"/>
      <c r="J7934"/>
      <c r="K7934"/>
      <c r="L7934"/>
    </row>
    <row r="7935" spans="8:12">
      <c r="H7935"/>
      <c r="I7935"/>
      <c r="J7935"/>
      <c r="K7935"/>
      <c r="L7935"/>
    </row>
    <row r="7936" spans="8:12">
      <c r="H7936"/>
      <c r="I7936"/>
      <c r="J7936"/>
      <c r="K7936"/>
      <c r="L7936"/>
    </row>
    <row r="7937" spans="8:12">
      <c r="H7937"/>
      <c r="I7937"/>
      <c r="J7937"/>
      <c r="K7937"/>
      <c r="L7937"/>
    </row>
    <row r="7938" spans="8:12">
      <c r="H7938"/>
      <c r="I7938"/>
      <c r="J7938"/>
      <c r="K7938"/>
      <c r="L7938"/>
    </row>
    <row r="7939" spans="8:12">
      <c r="H7939"/>
      <c r="I7939"/>
      <c r="J7939"/>
      <c r="K7939"/>
      <c r="L7939"/>
    </row>
    <row r="7940" spans="8:12">
      <c r="H7940"/>
      <c r="I7940"/>
      <c r="J7940"/>
      <c r="K7940"/>
      <c r="L7940"/>
    </row>
    <row r="7941" spans="8:12">
      <c r="H7941"/>
      <c r="I7941"/>
      <c r="J7941"/>
      <c r="K7941"/>
      <c r="L7941"/>
    </row>
    <row r="7942" spans="8:12">
      <c r="H7942"/>
      <c r="I7942"/>
      <c r="J7942"/>
      <c r="K7942"/>
      <c r="L7942"/>
    </row>
    <row r="7943" spans="8:12">
      <c r="H7943"/>
      <c r="I7943"/>
      <c r="J7943"/>
      <c r="K7943"/>
      <c r="L7943"/>
    </row>
    <row r="7944" spans="8:12">
      <c r="H7944"/>
      <c r="I7944"/>
      <c r="J7944"/>
      <c r="K7944"/>
      <c r="L7944"/>
    </row>
    <row r="7945" spans="8:12">
      <c r="H7945"/>
      <c r="I7945"/>
      <c r="J7945"/>
      <c r="K7945"/>
      <c r="L7945"/>
    </row>
    <row r="7946" spans="8:12">
      <c r="H7946"/>
      <c r="I7946"/>
      <c r="J7946"/>
      <c r="K7946"/>
      <c r="L7946"/>
    </row>
    <row r="7947" spans="8:12">
      <c r="H7947"/>
      <c r="I7947"/>
      <c r="J7947"/>
      <c r="K7947"/>
      <c r="L7947"/>
    </row>
    <row r="7948" spans="8:12">
      <c r="H7948"/>
      <c r="I7948"/>
      <c r="J7948"/>
      <c r="K7948"/>
      <c r="L7948"/>
    </row>
    <row r="7949" spans="8:12">
      <c r="H7949"/>
      <c r="I7949"/>
      <c r="J7949"/>
      <c r="K7949"/>
      <c r="L7949"/>
    </row>
    <row r="7950" spans="8:12">
      <c r="H7950"/>
      <c r="I7950"/>
      <c r="J7950"/>
      <c r="K7950"/>
      <c r="L7950"/>
    </row>
    <row r="7951" spans="8:12">
      <c r="H7951"/>
      <c r="I7951"/>
      <c r="J7951"/>
      <c r="K7951"/>
      <c r="L7951"/>
    </row>
    <row r="7952" spans="8:12">
      <c r="H7952"/>
      <c r="I7952"/>
      <c r="J7952"/>
      <c r="K7952"/>
      <c r="L7952"/>
    </row>
    <row r="7953" spans="8:12">
      <c r="H7953"/>
      <c r="I7953"/>
      <c r="J7953"/>
      <c r="K7953"/>
      <c r="L7953"/>
    </row>
    <row r="7954" spans="8:12">
      <c r="H7954"/>
      <c r="I7954"/>
      <c r="J7954"/>
      <c r="K7954"/>
      <c r="L7954"/>
    </row>
    <row r="7955" spans="8:12">
      <c r="H7955"/>
      <c r="I7955"/>
      <c r="J7955"/>
      <c r="K7955"/>
      <c r="L7955"/>
    </row>
    <row r="7956" spans="8:12">
      <c r="H7956"/>
      <c r="I7956"/>
      <c r="J7956"/>
      <c r="K7956"/>
      <c r="L7956"/>
    </row>
    <row r="7957" spans="8:12">
      <c r="H7957"/>
      <c r="I7957"/>
      <c r="J7957"/>
      <c r="K7957"/>
      <c r="L7957"/>
    </row>
    <row r="7958" spans="8:12">
      <c r="H7958"/>
      <c r="I7958"/>
      <c r="J7958"/>
      <c r="K7958"/>
      <c r="L7958"/>
    </row>
    <row r="7959" spans="8:12">
      <c r="H7959"/>
      <c r="I7959"/>
      <c r="J7959"/>
      <c r="K7959"/>
      <c r="L7959"/>
    </row>
    <row r="7960" spans="8:12">
      <c r="H7960"/>
      <c r="I7960"/>
      <c r="J7960"/>
      <c r="K7960"/>
      <c r="L7960"/>
    </row>
    <row r="7961" spans="8:12">
      <c r="H7961"/>
      <c r="I7961"/>
      <c r="J7961"/>
      <c r="K7961"/>
      <c r="L7961"/>
    </row>
    <row r="7962" spans="8:12">
      <c r="H7962"/>
      <c r="I7962"/>
      <c r="J7962"/>
      <c r="K7962"/>
      <c r="L7962"/>
    </row>
    <row r="7963" spans="8:12">
      <c r="H7963"/>
      <c r="I7963"/>
      <c r="J7963"/>
      <c r="K7963"/>
      <c r="L7963"/>
    </row>
    <row r="7964" spans="8:12">
      <c r="H7964"/>
      <c r="I7964"/>
      <c r="J7964"/>
      <c r="K7964"/>
      <c r="L7964"/>
    </row>
    <row r="7965" spans="8:12">
      <c r="H7965"/>
      <c r="I7965"/>
      <c r="J7965"/>
      <c r="K7965"/>
      <c r="L7965"/>
    </row>
    <row r="7966" spans="8:12">
      <c r="H7966"/>
      <c r="I7966"/>
      <c r="J7966"/>
      <c r="K7966"/>
      <c r="L7966"/>
    </row>
    <row r="7967" spans="8:12">
      <c r="H7967"/>
      <c r="I7967"/>
      <c r="J7967"/>
      <c r="K7967"/>
      <c r="L7967"/>
    </row>
    <row r="7968" spans="8:12">
      <c r="H7968"/>
      <c r="I7968"/>
      <c r="J7968"/>
      <c r="K7968"/>
      <c r="L7968"/>
    </row>
    <row r="7969" spans="8:12">
      <c r="H7969"/>
      <c r="I7969"/>
      <c r="J7969"/>
      <c r="K7969"/>
      <c r="L7969"/>
    </row>
    <row r="7970" spans="8:12">
      <c r="H7970"/>
      <c r="I7970"/>
      <c r="J7970"/>
      <c r="K7970"/>
      <c r="L7970"/>
    </row>
    <row r="7971" spans="8:12">
      <c r="H7971"/>
      <c r="I7971"/>
      <c r="J7971"/>
      <c r="K7971"/>
      <c r="L7971"/>
    </row>
    <row r="7972" spans="8:12">
      <c r="H7972"/>
      <c r="I7972"/>
      <c r="J7972"/>
      <c r="K7972"/>
      <c r="L7972"/>
    </row>
    <row r="7973" spans="8:12">
      <c r="H7973"/>
      <c r="I7973"/>
      <c r="J7973"/>
      <c r="K7973"/>
      <c r="L7973"/>
    </row>
    <row r="7974" spans="8:12">
      <c r="H7974"/>
      <c r="I7974"/>
      <c r="J7974"/>
      <c r="K7974"/>
      <c r="L7974"/>
    </row>
    <row r="7975" spans="8:12">
      <c r="H7975"/>
      <c r="I7975"/>
      <c r="J7975"/>
      <c r="K7975"/>
      <c r="L7975"/>
    </row>
    <row r="7976" spans="8:12">
      <c r="H7976"/>
      <c r="I7976"/>
      <c r="J7976"/>
      <c r="K7976"/>
      <c r="L7976"/>
    </row>
    <row r="7977" spans="8:12">
      <c r="H7977"/>
      <c r="I7977"/>
      <c r="J7977"/>
      <c r="K7977"/>
      <c r="L7977"/>
    </row>
    <row r="7978" spans="8:12">
      <c r="H7978"/>
      <c r="I7978"/>
      <c r="J7978"/>
      <c r="K7978"/>
      <c r="L7978"/>
    </row>
    <row r="7979" spans="8:12">
      <c r="H7979"/>
      <c r="I7979"/>
      <c r="J7979"/>
      <c r="K7979"/>
      <c r="L7979"/>
    </row>
    <row r="7980" spans="8:12">
      <c r="H7980"/>
      <c r="I7980"/>
      <c r="J7980"/>
      <c r="K7980"/>
      <c r="L7980"/>
    </row>
    <row r="7981" spans="8:12">
      <c r="H7981"/>
      <c r="I7981"/>
      <c r="J7981"/>
      <c r="K7981"/>
      <c r="L7981"/>
    </row>
    <row r="7982" spans="8:12">
      <c r="H7982"/>
      <c r="I7982"/>
      <c r="J7982"/>
      <c r="K7982"/>
      <c r="L7982"/>
    </row>
    <row r="7983" spans="8:12">
      <c r="H7983"/>
      <c r="I7983"/>
      <c r="J7983"/>
      <c r="K7983"/>
      <c r="L7983"/>
    </row>
    <row r="7984" spans="8:12">
      <c r="H7984"/>
      <c r="I7984"/>
      <c r="J7984"/>
      <c r="K7984"/>
      <c r="L7984"/>
    </row>
    <row r="7985" spans="8:12">
      <c r="H7985"/>
      <c r="I7985"/>
      <c r="J7985"/>
      <c r="K7985"/>
      <c r="L7985"/>
    </row>
    <row r="7986" spans="8:12">
      <c r="H7986"/>
      <c r="I7986"/>
      <c r="J7986"/>
      <c r="K7986"/>
      <c r="L7986"/>
    </row>
    <row r="7987" spans="8:12">
      <c r="H7987"/>
      <c r="I7987"/>
      <c r="J7987"/>
      <c r="K7987"/>
      <c r="L7987"/>
    </row>
    <row r="7988" spans="8:12">
      <c r="H7988"/>
      <c r="I7988"/>
      <c r="J7988"/>
      <c r="K7988"/>
      <c r="L7988"/>
    </row>
    <row r="7989" spans="8:12">
      <c r="H7989"/>
      <c r="I7989"/>
      <c r="J7989"/>
      <c r="K7989"/>
      <c r="L7989"/>
    </row>
    <row r="7990" spans="8:12">
      <c r="H7990"/>
      <c r="I7990"/>
      <c r="J7990"/>
      <c r="K7990"/>
      <c r="L7990"/>
    </row>
    <row r="7991" spans="8:12">
      <c r="H7991"/>
      <c r="I7991"/>
      <c r="J7991"/>
      <c r="K7991"/>
      <c r="L7991"/>
    </row>
    <row r="7992" spans="8:12">
      <c r="H7992"/>
      <c r="I7992"/>
      <c r="J7992"/>
      <c r="K7992"/>
      <c r="L7992"/>
    </row>
    <row r="7993" spans="8:12">
      <c r="H7993"/>
      <c r="I7993"/>
      <c r="J7993"/>
      <c r="K7993"/>
      <c r="L7993"/>
    </row>
    <row r="7994" spans="8:12">
      <c r="H7994"/>
      <c r="I7994"/>
      <c r="J7994"/>
      <c r="K7994"/>
      <c r="L7994"/>
    </row>
    <row r="7995" spans="8:12">
      <c r="H7995"/>
      <c r="I7995"/>
      <c r="J7995"/>
      <c r="K7995"/>
      <c r="L7995"/>
    </row>
    <row r="7996" spans="8:12">
      <c r="H7996"/>
      <c r="I7996"/>
      <c r="J7996"/>
      <c r="K7996"/>
      <c r="L7996"/>
    </row>
    <row r="7997" spans="8:12">
      <c r="H7997"/>
      <c r="I7997"/>
      <c r="J7997"/>
      <c r="K7997"/>
      <c r="L7997"/>
    </row>
    <row r="7998" spans="8:12">
      <c r="H7998"/>
      <c r="I7998"/>
      <c r="J7998"/>
      <c r="K7998"/>
      <c r="L7998"/>
    </row>
    <row r="7999" spans="8:12">
      <c r="H7999"/>
      <c r="I7999"/>
      <c r="J7999"/>
      <c r="K7999"/>
      <c r="L7999"/>
    </row>
    <row r="8000" spans="8:12">
      <c r="H8000"/>
      <c r="I8000"/>
      <c r="J8000"/>
      <c r="K8000"/>
      <c r="L8000"/>
    </row>
    <row r="8001" spans="8:12">
      <c r="H8001"/>
      <c r="I8001"/>
      <c r="J8001"/>
      <c r="K8001"/>
      <c r="L8001"/>
    </row>
    <row r="8002" spans="8:12">
      <c r="H8002"/>
      <c r="I8002"/>
      <c r="J8002"/>
      <c r="K8002"/>
      <c r="L8002"/>
    </row>
    <row r="8003" spans="8:12">
      <c r="H8003"/>
      <c r="I8003"/>
      <c r="J8003"/>
      <c r="K8003"/>
      <c r="L8003"/>
    </row>
    <row r="8004" spans="8:12">
      <c r="H8004"/>
      <c r="I8004"/>
      <c r="J8004"/>
      <c r="K8004"/>
      <c r="L8004"/>
    </row>
    <row r="8005" spans="8:12">
      <c r="H8005"/>
      <c r="I8005"/>
      <c r="J8005"/>
      <c r="K8005"/>
      <c r="L8005"/>
    </row>
    <row r="8006" spans="8:12">
      <c r="H8006"/>
      <c r="I8006"/>
      <c r="J8006"/>
      <c r="K8006"/>
      <c r="L8006"/>
    </row>
    <row r="8007" spans="8:12">
      <c r="H8007"/>
      <c r="I8007"/>
      <c r="J8007"/>
      <c r="K8007"/>
      <c r="L8007"/>
    </row>
    <row r="8008" spans="8:12">
      <c r="H8008"/>
      <c r="I8008"/>
      <c r="J8008"/>
      <c r="K8008"/>
      <c r="L8008"/>
    </row>
    <row r="8009" spans="8:12">
      <c r="H8009"/>
      <c r="I8009"/>
      <c r="J8009"/>
      <c r="K8009"/>
      <c r="L8009"/>
    </row>
    <row r="8010" spans="8:12">
      <c r="H8010"/>
      <c r="I8010"/>
      <c r="J8010"/>
      <c r="K8010"/>
      <c r="L8010"/>
    </row>
    <row r="8011" spans="8:12">
      <c r="H8011"/>
      <c r="I8011"/>
      <c r="J8011"/>
      <c r="K8011"/>
      <c r="L8011"/>
    </row>
    <row r="8012" spans="8:12">
      <c r="H8012"/>
      <c r="I8012"/>
      <c r="J8012"/>
      <c r="K8012"/>
      <c r="L8012"/>
    </row>
    <row r="8013" spans="8:12">
      <c r="H8013"/>
      <c r="I8013"/>
      <c r="J8013"/>
      <c r="K8013"/>
      <c r="L8013"/>
    </row>
    <row r="8014" spans="8:12">
      <c r="H8014"/>
      <c r="I8014"/>
      <c r="J8014"/>
      <c r="K8014"/>
      <c r="L8014"/>
    </row>
    <row r="8015" spans="8:12">
      <c r="H8015"/>
      <c r="I8015"/>
      <c r="J8015"/>
      <c r="K8015"/>
      <c r="L8015"/>
    </row>
    <row r="8016" spans="8:12">
      <c r="H8016"/>
      <c r="I8016"/>
      <c r="J8016"/>
      <c r="K8016"/>
      <c r="L8016"/>
    </row>
    <row r="8017" spans="8:12">
      <c r="H8017"/>
      <c r="I8017"/>
      <c r="J8017"/>
      <c r="K8017"/>
      <c r="L8017"/>
    </row>
    <row r="8018" spans="8:12">
      <c r="H8018"/>
      <c r="I8018"/>
      <c r="J8018"/>
      <c r="K8018"/>
      <c r="L8018"/>
    </row>
    <row r="8019" spans="8:12">
      <c r="H8019"/>
      <c r="I8019"/>
      <c r="J8019"/>
      <c r="K8019"/>
      <c r="L8019"/>
    </row>
    <row r="8020" spans="8:12">
      <c r="H8020"/>
      <c r="I8020"/>
      <c r="J8020"/>
      <c r="K8020"/>
      <c r="L8020"/>
    </row>
    <row r="8021" spans="8:12">
      <c r="H8021"/>
      <c r="I8021"/>
      <c r="J8021"/>
      <c r="K8021"/>
      <c r="L8021"/>
    </row>
    <row r="8022" spans="8:12">
      <c r="H8022"/>
      <c r="I8022"/>
      <c r="J8022"/>
      <c r="K8022"/>
      <c r="L8022"/>
    </row>
    <row r="8023" spans="8:12">
      <c r="H8023"/>
      <c r="I8023"/>
      <c r="J8023"/>
      <c r="K8023"/>
      <c r="L8023"/>
    </row>
    <row r="8024" spans="8:12">
      <c r="H8024"/>
      <c r="I8024"/>
      <c r="J8024"/>
      <c r="K8024"/>
      <c r="L8024"/>
    </row>
    <row r="8025" spans="8:12">
      <c r="H8025"/>
      <c r="I8025"/>
      <c r="J8025"/>
      <c r="K8025"/>
      <c r="L8025"/>
    </row>
    <row r="8026" spans="8:12">
      <c r="H8026"/>
      <c r="I8026"/>
      <c r="J8026"/>
      <c r="K8026"/>
      <c r="L8026"/>
    </row>
    <row r="8027" spans="8:12">
      <c r="H8027"/>
      <c r="I8027"/>
      <c r="J8027"/>
      <c r="K8027"/>
      <c r="L8027"/>
    </row>
    <row r="8028" spans="8:12">
      <c r="H8028"/>
      <c r="I8028"/>
      <c r="J8028"/>
      <c r="K8028"/>
      <c r="L8028"/>
    </row>
    <row r="8029" spans="8:12">
      <c r="H8029"/>
      <c r="I8029"/>
      <c r="J8029"/>
      <c r="K8029"/>
      <c r="L8029"/>
    </row>
    <row r="8030" spans="8:12">
      <c r="H8030"/>
      <c r="I8030"/>
      <c r="J8030"/>
      <c r="K8030"/>
      <c r="L8030"/>
    </row>
    <row r="8031" spans="8:12">
      <c r="H8031"/>
      <c r="I8031"/>
      <c r="J8031"/>
      <c r="K8031"/>
      <c r="L8031"/>
    </row>
    <row r="8032" spans="8:12">
      <c r="H8032"/>
      <c r="I8032"/>
      <c r="J8032"/>
      <c r="K8032"/>
      <c r="L8032"/>
    </row>
    <row r="8033" spans="8:12">
      <c r="H8033"/>
      <c r="I8033"/>
      <c r="J8033"/>
      <c r="K8033"/>
      <c r="L8033"/>
    </row>
    <row r="8034" spans="8:12">
      <c r="H8034"/>
      <c r="I8034"/>
      <c r="J8034"/>
      <c r="K8034"/>
      <c r="L8034"/>
    </row>
    <row r="8035" spans="8:12">
      <c r="H8035"/>
      <c r="I8035"/>
      <c r="J8035"/>
      <c r="K8035"/>
      <c r="L8035"/>
    </row>
    <row r="8036" spans="8:12">
      <c r="H8036"/>
      <c r="I8036"/>
      <c r="J8036"/>
      <c r="K8036"/>
      <c r="L8036"/>
    </row>
    <row r="8037" spans="8:12">
      <c r="H8037"/>
      <c r="I8037"/>
      <c r="J8037"/>
      <c r="K8037"/>
      <c r="L8037"/>
    </row>
    <row r="8038" spans="8:12">
      <c r="H8038"/>
      <c r="I8038"/>
      <c r="J8038"/>
      <c r="K8038"/>
      <c r="L8038"/>
    </row>
    <row r="8039" spans="8:12">
      <c r="H8039"/>
      <c r="I8039"/>
      <c r="J8039"/>
      <c r="K8039"/>
      <c r="L8039"/>
    </row>
    <row r="8040" spans="8:12">
      <c r="H8040"/>
      <c r="I8040"/>
      <c r="J8040"/>
      <c r="K8040"/>
      <c r="L8040"/>
    </row>
    <row r="8041" spans="8:12">
      <c r="H8041"/>
      <c r="I8041"/>
      <c r="J8041"/>
      <c r="K8041"/>
      <c r="L8041"/>
    </row>
    <row r="8042" spans="8:12">
      <c r="H8042"/>
      <c r="I8042"/>
      <c r="J8042"/>
      <c r="K8042"/>
      <c r="L8042"/>
    </row>
    <row r="8043" spans="8:12">
      <c r="H8043"/>
      <c r="I8043"/>
      <c r="J8043"/>
      <c r="K8043"/>
      <c r="L8043"/>
    </row>
    <row r="8044" spans="8:12">
      <c r="H8044"/>
      <c r="I8044"/>
      <c r="J8044"/>
      <c r="K8044"/>
      <c r="L8044"/>
    </row>
    <row r="8045" spans="8:12">
      <c r="H8045"/>
      <c r="I8045"/>
      <c r="J8045"/>
      <c r="K8045"/>
      <c r="L8045"/>
    </row>
    <row r="8046" spans="8:12">
      <c r="H8046"/>
      <c r="I8046"/>
      <c r="J8046"/>
      <c r="K8046"/>
      <c r="L8046"/>
    </row>
    <row r="8047" spans="8:12">
      <c r="H8047"/>
      <c r="I8047"/>
      <c r="J8047"/>
      <c r="K8047"/>
      <c r="L8047"/>
    </row>
    <row r="8048" spans="8:12">
      <c r="H8048"/>
      <c r="I8048"/>
      <c r="J8048"/>
      <c r="K8048"/>
      <c r="L8048"/>
    </row>
    <row r="8049" spans="8:12">
      <c r="H8049"/>
      <c r="I8049"/>
      <c r="J8049"/>
      <c r="K8049"/>
      <c r="L8049"/>
    </row>
    <row r="8050" spans="8:12">
      <c r="H8050"/>
      <c r="I8050"/>
      <c r="J8050"/>
      <c r="K8050"/>
      <c r="L8050"/>
    </row>
    <row r="8051" spans="8:12">
      <c r="H8051"/>
      <c r="I8051"/>
      <c r="J8051"/>
      <c r="K8051"/>
      <c r="L8051"/>
    </row>
    <row r="8052" spans="8:12">
      <c r="H8052"/>
      <c r="I8052"/>
      <c r="J8052"/>
      <c r="K8052"/>
      <c r="L8052"/>
    </row>
    <row r="8053" spans="8:12">
      <c r="H8053"/>
      <c r="I8053"/>
      <c r="J8053"/>
      <c r="K8053"/>
      <c r="L8053"/>
    </row>
    <row r="8054" spans="8:12">
      <c r="H8054"/>
      <c r="I8054"/>
      <c r="J8054"/>
      <c r="K8054"/>
      <c r="L8054"/>
    </row>
    <row r="8055" spans="8:12">
      <c r="H8055"/>
      <c r="I8055"/>
      <c r="J8055"/>
      <c r="K8055"/>
      <c r="L8055"/>
    </row>
    <row r="8056" spans="8:12">
      <c r="H8056"/>
      <c r="I8056"/>
      <c r="J8056"/>
      <c r="K8056"/>
      <c r="L8056"/>
    </row>
    <row r="8057" spans="8:12">
      <c r="H8057"/>
      <c r="I8057"/>
      <c r="J8057"/>
      <c r="K8057"/>
      <c r="L8057"/>
    </row>
    <row r="8058" spans="8:12">
      <c r="H8058"/>
      <c r="I8058"/>
      <c r="J8058"/>
      <c r="K8058"/>
      <c r="L8058"/>
    </row>
    <row r="8059" spans="8:12">
      <c r="H8059"/>
      <c r="I8059"/>
      <c r="J8059"/>
      <c r="K8059"/>
      <c r="L8059"/>
    </row>
    <row r="8060" spans="8:12">
      <c r="H8060"/>
      <c r="I8060"/>
      <c r="J8060"/>
      <c r="K8060"/>
      <c r="L8060"/>
    </row>
    <row r="8061" spans="8:12">
      <c r="H8061"/>
      <c r="I8061"/>
      <c r="J8061"/>
      <c r="K8061"/>
      <c r="L8061"/>
    </row>
    <row r="8062" spans="8:12">
      <c r="H8062"/>
      <c r="I8062"/>
      <c r="J8062"/>
      <c r="K8062"/>
      <c r="L8062"/>
    </row>
    <row r="8063" spans="8:12">
      <c r="H8063"/>
      <c r="I8063"/>
      <c r="J8063"/>
      <c r="K8063"/>
      <c r="L8063"/>
    </row>
    <row r="8064" spans="8:12">
      <c r="H8064"/>
      <c r="I8064"/>
      <c r="J8064"/>
      <c r="K8064"/>
      <c r="L8064"/>
    </row>
    <row r="8065" spans="8:12">
      <c r="H8065"/>
      <c r="I8065"/>
      <c r="J8065"/>
      <c r="K8065"/>
      <c r="L8065"/>
    </row>
    <row r="8066" spans="8:12">
      <c r="H8066"/>
      <c r="I8066"/>
      <c r="J8066"/>
      <c r="K8066"/>
      <c r="L8066"/>
    </row>
    <row r="8067" spans="8:12">
      <c r="H8067"/>
      <c r="I8067"/>
      <c r="J8067"/>
      <c r="K8067"/>
      <c r="L8067"/>
    </row>
    <row r="8068" spans="8:12">
      <c r="H8068"/>
      <c r="I8068"/>
      <c r="J8068"/>
      <c r="K8068"/>
      <c r="L8068"/>
    </row>
    <row r="8069" spans="8:12">
      <c r="H8069"/>
      <c r="I8069"/>
      <c r="J8069"/>
      <c r="K8069"/>
      <c r="L8069"/>
    </row>
    <row r="8070" spans="8:12">
      <c r="H8070"/>
      <c r="I8070"/>
      <c r="J8070"/>
      <c r="K8070"/>
      <c r="L8070"/>
    </row>
    <row r="8071" spans="8:12">
      <c r="H8071"/>
      <c r="I8071"/>
      <c r="J8071"/>
      <c r="K8071"/>
      <c r="L8071"/>
    </row>
    <row r="8072" spans="8:12">
      <c r="H8072"/>
      <c r="I8072"/>
      <c r="J8072"/>
      <c r="K8072"/>
      <c r="L8072"/>
    </row>
    <row r="8073" spans="8:12">
      <c r="H8073"/>
      <c r="I8073"/>
      <c r="J8073"/>
      <c r="K8073"/>
      <c r="L8073"/>
    </row>
    <row r="8074" spans="8:12">
      <c r="H8074"/>
      <c r="I8074"/>
      <c r="J8074"/>
      <c r="K8074"/>
      <c r="L8074"/>
    </row>
    <row r="8075" spans="8:12">
      <c r="H8075"/>
      <c r="I8075"/>
      <c r="J8075"/>
      <c r="K8075"/>
      <c r="L8075"/>
    </row>
    <row r="8076" spans="8:12">
      <c r="H8076"/>
      <c r="I8076"/>
      <c r="J8076"/>
      <c r="K8076"/>
      <c r="L8076"/>
    </row>
    <row r="8077" spans="8:12">
      <c r="H8077"/>
      <c r="I8077"/>
      <c r="J8077"/>
      <c r="K8077"/>
      <c r="L8077"/>
    </row>
    <row r="8078" spans="8:12">
      <c r="H8078"/>
      <c r="I8078"/>
      <c r="J8078"/>
      <c r="K8078"/>
      <c r="L8078"/>
    </row>
    <row r="8079" spans="8:12">
      <c r="H8079"/>
      <c r="I8079"/>
      <c r="J8079"/>
      <c r="K8079"/>
      <c r="L8079"/>
    </row>
    <row r="8080" spans="8:12">
      <c r="H8080"/>
      <c r="I8080"/>
      <c r="J8080"/>
      <c r="K8080"/>
      <c r="L8080"/>
    </row>
    <row r="8081" spans="8:12">
      <c r="H8081"/>
      <c r="I8081"/>
      <c r="J8081"/>
      <c r="K8081"/>
      <c r="L8081"/>
    </row>
    <row r="8082" spans="8:12">
      <c r="H8082"/>
      <c r="I8082"/>
      <c r="J8082"/>
      <c r="K8082"/>
      <c r="L8082"/>
    </row>
    <row r="8083" spans="8:12">
      <c r="H8083"/>
      <c r="I8083"/>
      <c r="J8083"/>
      <c r="K8083"/>
      <c r="L8083"/>
    </row>
    <row r="8084" spans="8:12">
      <c r="H8084"/>
      <c r="I8084"/>
      <c r="J8084"/>
      <c r="K8084"/>
      <c r="L8084"/>
    </row>
    <row r="8085" spans="8:12">
      <c r="H8085"/>
      <c r="I8085"/>
      <c r="J8085"/>
      <c r="K8085"/>
      <c r="L8085"/>
    </row>
    <row r="8086" spans="8:12">
      <c r="H8086"/>
      <c r="I8086"/>
      <c r="J8086"/>
      <c r="K8086"/>
      <c r="L8086"/>
    </row>
    <row r="8087" spans="8:12">
      <c r="H8087"/>
      <c r="I8087"/>
      <c r="J8087"/>
      <c r="K8087"/>
      <c r="L8087"/>
    </row>
    <row r="8088" spans="8:12">
      <c r="H8088"/>
      <c r="I8088"/>
      <c r="J8088"/>
      <c r="K8088"/>
      <c r="L8088"/>
    </row>
    <row r="8089" spans="8:12">
      <c r="H8089"/>
      <c r="I8089"/>
      <c r="J8089"/>
      <c r="K8089"/>
      <c r="L8089"/>
    </row>
    <row r="8090" spans="8:12">
      <c r="H8090"/>
      <c r="I8090"/>
      <c r="J8090"/>
      <c r="K8090"/>
      <c r="L8090"/>
    </row>
    <row r="8091" spans="8:12">
      <c r="H8091"/>
      <c r="I8091"/>
      <c r="J8091"/>
      <c r="K8091"/>
      <c r="L8091"/>
    </row>
    <row r="8092" spans="8:12">
      <c r="H8092"/>
      <c r="I8092"/>
      <c r="J8092"/>
      <c r="K8092"/>
      <c r="L8092"/>
    </row>
    <row r="8093" spans="8:12">
      <c r="H8093"/>
      <c r="I8093"/>
      <c r="J8093"/>
      <c r="K8093"/>
      <c r="L8093"/>
    </row>
    <row r="8094" spans="8:12">
      <c r="H8094"/>
      <c r="I8094"/>
      <c r="J8094"/>
      <c r="K8094"/>
      <c r="L8094"/>
    </row>
    <row r="8095" spans="8:12">
      <c r="H8095"/>
      <c r="I8095"/>
      <c r="J8095"/>
      <c r="K8095"/>
      <c r="L8095"/>
    </row>
    <row r="8096" spans="8:12">
      <c r="H8096"/>
      <c r="I8096"/>
      <c r="J8096"/>
      <c r="K8096"/>
      <c r="L8096"/>
    </row>
    <row r="8097" spans="8:12">
      <c r="H8097"/>
      <c r="I8097"/>
      <c r="J8097"/>
      <c r="K8097"/>
      <c r="L8097"/>
    </row>
    <row r="8098" spans="8:12">
      <c r="H8098"/>
      <c r="I8098"/>
      <c r="J8098"/>
      <c r="K8098"/>
      <c r="L8098"/>
    </row>
    <row r="8099" spans="8:12">
      <c r="H8099"/>
      <c r="I8099"/>
      <c r="J8099"/>
      <c r="K8099"/>
      <c r="L8099"/>
    </row>
    <row r="8100" spans="8:12">
      <c r="H8100"/>
      <c r="I8100"/>
      <c r="J8100"/>
      <c r="K8100"/>
      <c r="L8100"/>
    </row>
    <row r="8101" spans="8:12">
      <c r="H8101"/>
      <c r="I8101"/>
      <c r="J8101"/>
      <c r="K8101"/>
      <c r="L8101"/>
    </row>
    <row r="8102" spans="8:12">
      <c r="H8102"/>
      <c r="I8102"/>
      <c r="J8102"/>
      <c r="K8102"/>
      <c r="L8102"/>
    </row>
    <row r="8103" spans="8:12">
      <c r="H8103"/>
      <c r="I8103"/>
      <c r="J8103"/>
      <c r="K8103"/>
      <c r="L8103"/>
    </row>
    <row r="8104" spans="8:12">
      <c r="H8104"/>
      <c r="I8104"/>
      <c r="J8104"/>
      <c r="K8104"/>
      <c r="L8104"/>
    </row>
    <row r="8105" spans="8:12">
      <c r="H8105"/>
      <c r="I8105"/>
      <c r="J8105"/>
      <c r="K8105"/>
      <c r="L8105"/>
    </row>
    <row r="8106" spans="8:12">
      <c r="H8106"/>
      <c r="I8106"/>
      <c r="J8106"/>
      <c r="K8106"/>
      <c r="L8106"/>
    </row>
    <row r="8107" spans="8:12">
      <c r="H8107"/>
      <c r="I8107"/>
      <c r="J8107"/>
      <c r="K8107"/>
      <c r="L8107"/>
    </row>
    <row r="8108" spans="8:12">
      <c r="H8108"/>
      <c r="I8108"/>
      <c r="J8108"/>
      <c r="K8108"/>
      <c r="L8108"/>
    </row>
    <row r="8109" spans="8:12">
      <c r="H8109"/>
      <c r="I8109"/>
      <c r="J8109"/>
      <c r="K8109"/>
      <c r="L8109"/>
    </row>
    <row r="8110" spans="8:12">
      <c r="H8110"/>
      <c r="I8110"/>
      <c r="J8110"/>
      <c r="K8110"/>
      <c r="L8110"/>
    </row>
    <row r="8111" spans="8:12">
      <c r="H8111"/>
      <c r="I8111"/>
      <c r="J8111"/>
      <c r="K8111"/>
      <c r="L8111"/>
    </row>
    <row r="8112" spans="8:12">
      <c r="H8112"/>
      <c r="I8112"/>
      <c r="J8112"/>
      <c r="K8112"/>
      <c r="L8112"/>
    </row>
    <row r="8113" spans="8:12">
      <c r="H8113"/>
      <c r="I8113"/>
      <c r="J8113"/>
      <c r="K8113"/>
      <c r="L8113"/>
    </row>
    <row r="8114" spans="8:12">
      <c r="H8114"/>
      <c r="I8114"/>
      <c r="J8114"/>
      <c r="K8114"/>
      <c r="L8114"/>
    </row>
    <row r="8115" spans="8:12">
      <c r="H8115"/>
      <c r="I8115"/>
      <c r="J8115"/>
      <c r="K8115"/>
      <c r="L8115"/>
    </row>
    <row r="8116" spans="8:12">
      <c r="H8116"/>
      <c r="I8116"/>
      <c r="J8116"/>
      <c r="K8116"/>
      <c r="L8116"/>
    </row>
    <row r="8117" spans="8:12">
      <c r="H8117"/>
      <c r="I8117"/>
      <c r="J8117"/>
      <c r="K8117"/>
      <c r="L8117"/>
    </row>
    <row r="8118" spans="8:12">
      <c r="H8118"/>
      <c r="I8118"/>
      <c r="J8118"/>
      <c r="K8118"/>
      <c r="L8118"/>
    </row>
    <row r="8119" spans="8:12">
      <c r="H8119"/>
      <c r="I8119"/>
      <c r="J8119"/>
      <c r="K8119"/>
      <c r="L8119"/>
    </row>
    <row r="8120" spans="8:12">
      <c r="H8120"/>
      <c r="I8120"/>
      <c r="J8120"/>
      <c r="K8120"/>
      <c r="L8120"/>
    </row>
    <row r="8121" spans="8:12">
      <c r="H8121"/>
      <c r="I8121"/>
      <c r="J8121"/>
      <c r="K8121"/>
      <c r="L8121"/>
    </row>
    <row r="8122" spans="8:12">
      <c r="H8122"/>
      <c r="I8122"/>
      <c r="J8122"/>
      <c r="K8122"/>
      <c r="L8122"/>
    </row>
    <row r="8123" spans="8:12">
      <c r="H8123"/>
      <c r="I8123"/>
      <c r="J8123"/>
      <c r="K8123"/>
      <c r="L8123"/>
    </row>
    <row r="8124" spans="8:12">
      <c r="H8124"/>
      <c r="I8124"/>
      <c r="J8124"/>
      <c r="K8124"/>
      <c r="L8124"/>
    </row>
    <row r="8125" spans="8:12">
      <c r="H8125"/>
      <c r="I8125"/>
      <c r="J8125"/>
      <c r="K8125"/>
      <c r="L8125"/>
    </row>
    <row r="8126" spans="8:12">
      <c r="H8126"/>
      <c r="I8126"/>
      <c r="J8126"/>
      <c r="K8126"/>
      <c r="L8126"/>
    </row>
    <row r="8127" spans="8:12">
      <c r="H8127"/>
      <c r="I8127"/>
      <c r="J8127"/>
      <c r="K8127"/>
      <c r="L8127"/>
    </row>
    <row r="8128" spans="8:12">
      <c r="H8128"/>
      <c r="I8128"/>
      <c r="J8128"/>
      <c r="K8128"/>
      <c r="L8128"/>
    </row>
    <row r="8129" spans="8:12">
      <c r="H8129"/>
      <c r="I8129"/>
      <c r="J8129"/>
      <c r="K8129"/>
      <c r="L8129"/>
    </row>
    <row r="8130" spans="8:12">
      <c r="H8130"/>
      <c r="I8130"/>
      <c r="J8130"/>
      <c r="K8130"/>
      <c r="L8130"/>
    </row>
    <row r="8131" spans="8:12">
      <c r="H8131"/>
      <c r="I8131"/>
      <c r="J8131"/>
      <c r="K8131"/>
      <c r="L8131"/>
    </row>
    <row r="8132" spans="8:12">
      <c r="H8132"/>
      <c r="I8132"/>
      <c r="J8132"/>
      <c r="K8132"/>
      <c r="L8132"/>
    </row>
    <row r="8133" spans="8:12">
      <c r="H8133"/>
      <c r="I8133"/>
      <c r="J8133"/>
      <c r="K8133"/>
      <c r="L8133"/>
    </row>
    <row r="8134" spans="8:12">
      <c r="H8134"/>
      <c r="I8134"/>
      <c r="J8134"/>
      <c r="K8134"/>
      <c r="L8134"/>
    </row>
    <row r="8135" spans="8:12">
      <c r="H8135"/>
      <c r="I8135"/>
      <c r="J8135"/>
      <c r="K8135"/>
      <c r="L8135"/>
    </row>
    <row r="8136" spans="8:12">
      <c r="H8136"/>
      <c r="I8136"/>
      <c r="J8136"/>
      <c r="K8136"/>
      <c r="L8136"/>
    </row>
    <row r="8137" spans="8:12">
      <c r="H8137"/>
      <c r="I8137"/>
      <c r="J8137"/>
      <c r="K8137"/>
      <c r="L8137"/>
    </row>
    <row r="8138" spans="8:12">
      <c r="H8138"/>
      <c r="I8138"/>
      <c r="J8138"/>
      <c r="K8138"/>
      <c r="L8138"/>
    </row>
    <row r="8139" spans="8:12">
      <c r="H8139"/>
      <c r="I8139"/>
      <c r="J8139"/>
      <c r="K8139"/>
      <c r="L8139"/>
    </row>
    <row r="8140" spans="8:12">
      <c r="H8140"/>
      <c r="I8140"/>
      <c r="J8140"/>
      <c r="K8140"/>
      <c r="L8140"/>
    </row>
    <row r="8141" spans="8:12">
      <c r="H8141"/>
      <c r="I8141"/>
      <c r="J8141"/>
      <c r="K8141"/>
      <c r="L8141"/>
    </row>
    <row r="8142" spans="8:12">
      <c r="H8142"/>
      <c r="I8142"/>
      <c r="J8142"/>
      <c r="K8142"/>
      <c r="L8142"/>
    </row>
    <row r="8143" spans="8:12">
      <c r="H8143"/>
      <c r="I8143"/>
      <c r="J8143"/>
      <c r="K8143"/>
      <c r="L8143"/>
    </row>
    <row r="8144" spans="8:12">
      <c r="H8144"/>
      <c r="I8144"/>
      <c r="J8144"/>
      <c r="K8144"/>
      <c r="L8144"/>
    </row>
    <row r="8145" spans="8:12">
      <c r="H8145"/>
      <c r="I8145"/>
      <c r="J8145"/>
      <c r="K8145"/>
      <c r="L8145"/>
    </row>
    <row r="8146" spans="8:12">
      <c r="H8146"/>
      <c r="I8146"/>
      <c r="J8146"/>
      <c r="K8146"/>
      <c r="L8146"/>
    </row>
    <row r="8147" spans="8:12">
      <c r="H8147"/>
      <c r="I8147"/>
      <c r="J8147"/>
      <c r="K8147"/>
      <c r="L8147"/>
    </row>
    <row r="8148" spans="8:12">
      <c r="H8148"/>
      <c r="I8148"/>
      <c r="J8148"/>
      <c r="K8148"/>
      <c r="L8148"/>
    </row>
    <row r="8149" spans="8:12">
      <c r="H8149"/>
      <c r="I8149"/>
      <c r="J8149"/>
      <c r="K8149"/>
      <c r="L8149"/>
    </row>
    <row r="8150" spans="8:12">
      <c r="H8150"/>
      <c r="I8150"/>
      <c r="J8150"/>
      <c r="K8150"/>
      <c r="L8150"/>
    </row>
    <row r="8151" spans="8:12">
      <c r="H8151"/>
      <c r="I8151"/>
      <c r="J8151"/>
      <c r="K8151"/>
      <c r="L8151"/>
    </row>
    <row r="8152" spans="8:12">
      <c r="H8152"/>
      <c r="I8152"/>
      <c r="J8152"/>
      <c r="K8152"/>
      <c r="L8152"/>
    </row>
    <row r="8153" spans="8:12">
      <c r="H8153"/>
      <c r="I8153"/>
      <c r="J8153"/>
      <c r="K8153"/>
      <c r="L8153"/>
    </row>
    <row r="8154" spans="8:12">
      <c r="H8154"/>
      <c r="I8154"/>
      <c r="J8154"/>
      <c r="K8154"/>
      <c r="L8154"/>
    </row>
    <row r="8155" spans="8:12">
      <c r="H8155"/>
      <c r="I8155"/>
      <c r="J8155"/>
      <c r="K8155"/>
      <c r="L8155"/>
    </row>
    <row r="8156" spans="8:12">
      <c r="H8156"/>
      <c r="I8156"/>
      <c r="J8156"/>
      <c r="K8156"/>
      <c r="L8156"/>
    </row>
    <row r="8157" spans="8:12">
      <c r="H8157"/>
      <c r="I8157"/>
      <c r="J8157"/>
      <c r="K8157"/>
      <c r="L8157"/>
    </row>
    <row r="8158" spans="8:12">
      <c r="H8158"/>
      <c r="I8158"/>
      <c r="J8158"/>
      <c r="K8158"/>
      <c r="L8158"/>
    </row>
    <row r="8159" spans="8:12">
      <c r="H8159"/>
      <c r="I8159"/>
      <c r="J8159"/>
      <c r="K8159"/>
      <c r="L8159"/>
    </row>
    <row r="8160" spans="8:12">
      <c r="H8160"/>
      <c r="I8160"/>
      <c r="J8160"/>
      <c r="K8160"/>
      <c r="L8160"/>
    </row>
    <row r="8161" spans="8:12">
      <c r="H8161"/>
      <c r="I8161"/>
      <c r="J8161"/>
      <c r="K8161"/>
      <c r="L8161"/>
    </row>
    <row r="8162" spans="8:12">
      <c r="H8162"/>
      <c r="I8162"/>
      <c r="J8162"/>
      <c r="K8162"/>
      <c r="L8162"/>
    </row>
    <row r="8163" spans="8:12">
      <c r="H8163"/>
      <c r="I8163"/>
      <c r="J8163"/>
      <c r="K8163"/>
      <c r="L8163"/>
    </row>
    <row r="8164" spans="8:12">
      <c r="H8164"/>
      <c r="I8164"/>
      <c r="J8164"/>
      <c r="K8164"/>
      <c r="L8164"/>
    </row>
    <row r="8165" spans="8:12">
      <c r="H8165"/>
      <c r="I8165"/>
      <c r="J8165"/>
      <c r="K8165"/>
      <c r="L8165"/>
    </row>
    <row r="8166" spans="8:12">
      <c r="H8166"/>
      <c r="I8166"/>
      <c r="J8166"/>
      <c r="K8166"/>
      <c r="L8166"/>
    </row>
    <row r="8167" spans="8:12">
      <c r="H8167"/>
      <c r="I8167"/>
      <c r="J8167"/>
      <c r="K8167"/>
      <c r="L8167"/>
    </row>
    <row r="8168" spans="8:12">
      <c r="H8168"/>
      <c r="I8168"/>
      <c r="J8168"/>
      <c r="K8168"/>
      <c r="L8168"/>
    </row>
    <row r="8169" spans="8:12">
      <c r="H8169"/>
      <c r="I8169"/>
      <c r="J8169"/>
      <c r="K8169"/>
      <c r="L8169"/>
    </row>
    <row r="8170" spans="8:12">
      <c r="H8170"/>
      <c r="I8170"/>
      <c r="J8170"/>
      <c r="K8170"/>
      <c r="L8170"/>
    </row>
    <row r="8171" spans="8:12">
      <c r="H8171"/>
      <c r="I8171"/>
      <c r="J8171"/>
      <c r="K8171"/>
      <c r="L8171"/>
    </row>
    <row r="8172" spans="8:12">
      <c r="H8172"/>
      <c r="I8172"/>
      <c r="J8172"/>
      <c r="K8172"/>
      <c r="L8172"/>
    </row>
    <row r="8173" spans="8:12">
      <c r="H8173"/>
      <c r="I8173"/>
      <c r="J8173"/>
      <c r="K8173"/>
      <c r="L8173"/>
    </row>
    <row r="8174" spans="8:12">
      <c r="H8174"/>
      <c r="I8174"/>
      <c r="J8174"/>
      <c r="K8174"/>
      <c r="L8174"/>
    </row>
    <row r="8175" spans="8:12">
      <c r="H8175"/>
      <c r="I8175"/>
      <c r="J8175"/>
      <c r="K8175"/>
      <c r="L8175"/>
    </row>
    <row r="8176" spans="8:12">
      <c r="H8176"/>
      <c r="I8176"/>
      <c r="J8176"/>
      <c r="K8176"/>
      <c r="L8176"/>
    </row>
    <row r="8177" spans="8:12">
      <c r="H8177"/>
      <c r="I8177"/>
      <c r="J8177"/>
      <c r="K8177"/>
      <c r="L8177"/>
    </row>
    <row r="8178" spans="8:12">
      <c r="H8178"/>
      <c r="I8178"/>
      <c r="J8178"/>
      <c r="K8178"/>
      <c r="L8178"/>
    </row>
    <row r="8179" spans="8:12">
      <c r="H8179"/>
      <c r="I8179"/>
      <c r="J8179"/>
      <c r="K8179"/>
      <c r="L8179"/>
    </row>
    <row r="8180" spans="8:12">
      <c r="H8180"/>
      <c r="I8180"/>
      <c r="J8180"/>
      <c r="K8180"/>
      <c r="L8180"/>
    </row>
    <row r="8181" spans="8:12">
      <c r="H8181"/>
      <c r="I8181"/>
      <c r="J8181"/>
      <c r="K8181"/>
      <c r="L8181"/>
    </row>
    <row r="8182" spans="8:12">
      <c r="H8182"/>
      <c r="I8182"/>
      <c r="J8182"/>
      <c r="K8182"/>
      <c r="L8182"/>
    </row>
    <row r="8183" spans="8:12">
      <c r="H8183"/>
      <c r="I8183"/>
      <c r="J8183"/>
      <c r="K8183"/>
      <c r="L8183"/>
    </row>
    <row r="8184" spans="8:12">
      <c r="H8184"/>
      <c r="I8184"/>
      <c r="J8184"/>
      <c r="K8184"/>
      <c r="L8184"/>
    </row>
    <row r="8185" spans="8:12">
      <c r="H8185"/>
      <c r="I8185"/>
      <c r="J8185"/>
      <c r="K8185"/>
      <c r="L8185"/>
    </row>
    <row r="8186" spans="8:12">
      <c r="H8186"/>
      <c r="I8186"/>
      <c r="J8186"/>
      <c r="K8186"/>
      <c r="L8186"/>
    </row>
    <row r="8187" spans="8:12">
      <c r="H8187"/>
      <c r="I8187"/>
      <c r="J8187"/>
      <c r="K8187"/>
      <c r="L8187"/>
    </row>
    <row r="8188" spans="8:12">
      <c r="H8188"/>
      <c r="I8188"/>
      <c r="J8188"/>
      <c r="K8188"/>
      <c r="L8188"/>
    </row>
    <row r="8189" spans="8:12">
      <c r="H8189"/>
      <c r="I8189"/>
      <c r="J8189"/>
      <c r="K8189"/>
      <c r="L8189"/>
    </row>
    <row r="8190" spans="8:12">
      <c r="H8190"/>
      <c r="I8190"/>
      <c r="J8190"/>
      <c r="K8190"/>
      <c r="L8190"/>
    </row>
    <row r="8191" spans="8:12">
      <c r="H8191"/>
      <c r="I8191"/>
      <c r="J8191"/>
      <c r="K8191"/>
      <c r="L8191"/>
    </row>
    <row r="8192" spans="8:12">
      <c r="H8192"/>
      <c r="I8192"/>
      <c r="J8192"/>
      <c r="K8192"/>
      <c r="L8192"/>
    </row>
    <row r="8193" spans="8:12">
      <c r="H8193"/>
      <c r="I8193"/>
      <c r="J8193"/>
      <c r="K8193"/>
      <c r="L8193"/>
    </row>
    <row r="8194" spans="8:12">
      <c r="H8194"/>
      <c r="I8194"/>
      <c r="J8194"/>
      <c r="K8194"/>
      <c r="L8194"/>
    </row>
    <row r="8195" spans="8:12">
      <c r="H8195"/>
      <c r="I8195"/>
      <c r="J8195"/>
      <c r="K8195"/>
      <c r="L8195"/>
    </row>
    <row r="8196" spans="8:12">
      <c r="H8196"/>
      <c r="I8196"/>
      <c r="J8196"/>
      <c r="K8196"/>
      <c r="L8196"/>
    </row>
    <row r="8197" spans="8:12">
      <c r="H8197"/>
      <c r="I8197"/>
      <c r="J8197"/>
      <c r="K8197"/>
      <c r="L8197"/>
    </row>
    <row r="8198" spans="8:12">
      <c r="H8198"/>
      <c r="I8198"/>
      <c r="J8198"/>
      <c r="K8198"/>
      <c r="L8198"/>
    </row>
    <row r="8199" spans="8:12">
      <c r="H8199"/>
      <c r="I8199"/>
      <c r="J8199"/>
      <c r="K8199"/>
      <c r="L8199"/>
    </row>
    <row r="8200" spans="8:12">
      <c r="H8200"/>
      <c r="I8200"/>
      <c r="J8200"/>
      <c r="K8200"/>
      <c r="L8200"/>
    </row>
    <row r="8201" spans="8:12">
      <c r="H8201"/>
      <c r="I8201"/>
      <c r="J8201"/>
      <c r="K8201"/>
      <c r="L8201"/>
    </row>
    <row r="8202" spans="8:12">
      <c r="H8202"/>
      <c r="I8202"/>
      <c r="J8202"/>
      <c r="K8202"/>
      <c r="L8202"/>
    </row>
    <row r="8203" spans="8:12">
      <c r="H8203"/>
      <c r="I8203"/>
      <c r="J8203"/>
      <c r="K8203"/>
      <c r="L8203"/>
    </row>
    <row r="8204" spans="8:12">
      <c r="H8204"/>
      <c r="I8204"/>
      <c r="J8204"/>
      <c r="K8204"/>
      <c r="L8204"/>
    </row>
    <row r="8205" spans="8:12">
      <c r="H8205"/>
      <c r="I8205"/>
      <c r="J8205"/>
      <c r="K8205"/>
      <c r="L8205"/>
    </row>
    <row r="8206" spans="8:12">
      <c r="H8206"/>
      <c r="I8206"/>
      <c r="J8206"/>
      <c r="K8206"/>
      <c r="L8206"/>
    </row>
    <row r="8207" spans="8:12">
      <c r="H8207"/>
      <c r="I8207"/>
      <c r="J8207"/>
      <c r="K8207"/>
      <c r="L8207"/>
    </row>
    <row r="8208" spans="8:12">
      <c r="H8208"/>
      <c r="I8208"/>
      <c r="J8208"/>
      <c r="K8208"/>
      <c r="L8208"/>
    </row>
    <row r="8209" spans="8:12">
      <c r="H8209"/>
      <c r="I8209"/>
      <c r="J8209"/>
      <c r="K8209"/>
      <c r="L8209"/>
    </row>
    <row r="8210" spans="8:12">
      <c r="H8210"/>
      <c r="I8210"/>
      <c r="J8210"/>
      <c r="K8210"/>
      <c r="L8210"/>
    </row>
    <row r="8211" spans="8:12">
      <c r="H8211"/>
      <c r="I8211"/>
      <c r="J8211"/>
      <c r="K8211"/>
      <c r="L8211"/>
    </row>
    <row r="8212" spans="8:12">
      <c r="H8212"/>
      <c r="I8212"/>
      <c r="J8212"/>
      <c r="K8212"/>
      <c r="L8212"/>
    </row>
    <row r="8213" spans="8:12">
      <c r="H8213"/>
      <c r="I8213"/>
      <c r="J8213"/>
      <c r="K8213"/>
      <c r="L8213"/>
    </row>
    <row r="8214" spans="8:12">
      <c r="H8214"/>
      <c r="I8214"/>
      <c r="J8214"/>
      <c r="K8214"/>
      <c r="L8214"/>
    </row>
    <row r="8215" spans="8:12">
      <c r="H8215"/>
      <c r="I8215"/>
      <c r="J8215"/>
      <c r="K8215"/>
      <c r="L8215"/>
    </row>
    <row r="8216" spans="8:12">
      <c r="H8216"/>
      <c r="I8216"/>
      <c r="J8216"/>
      <c r="K8216"/>
      <c r="L8216"/>
    </row>
    <row r="8217" spans="8:12">
      <c r="H8217"/>
      <c r="I8217"/>
      <c r="J8217"/>
      <c r="K8217"/>
      <c r="L8217"/>
    </row>
    <row r="8218" spans="8:12">
      <c r="H8218"/>
      <c r="I8218"/>
      <c r="J8218"/>
      <c r="K8218"/>
      <c r="L8218"/>
    </row>
    <row r="8219" spans="8:12">
      <c r="H8219"/>
      <c r="I8219"/>
      <c r="J8219"/>
      <c r="K8219"/>
      <c r="L8219"/>
    </row>
    <row r="8220" spans="8:12">
      <c r="H8220"/>
      <c r="I8220"/>
      <c r="J8220"/>
      <c r="K8220"/>
      <c r="L8220"/>
    </row>
    <row r="8221" spans="8:12">
      <c r="H8221"/>
      <c r="I8221"/>
      <c r="J8221"/>
      <c r="K8221"/>
      <c r="L8221"/>
    </row>
    <row r="8222" spans="8:12">
      <c r="H8222"/>
      <c r="I8222"/>
      <c r="J8222"/>
      <c r="K8222"/>
      <c r="L8222"/>
    </row>
    <row r="8223" spans="8:12">
      <c r="H8223"/>
      <c r="I8223"/>
      <c r="J8223"/>
      <c r="K8223"/>
      <c r="L8223"/>
    </row>
    <row r="8224" spans="8:12">
      <c r="H8224"/>
      <c r="I8224"/>
      <c r="J8224"/>
      <c r="K8224"/>
      <c r="L8224"/>
    </row>
    <row r="8225" spans="8:12">
      <c r="H8225"/>
      <c r="I8225"/>
      <c r="J8225"/>
      <c r="K8225"/>
      <c r="L8225"/>
    </row>
    <row r="8226" spans="8:12">
      <c r="H8226"/>
      <c r="I8226"/>
      <c r="J8226"/>
      <c r="K8226"/>
      <c r="L8226"/>
    </row>
    <row r="8227" spans="8:12">
      <c r="H8227"/>
      <c r="I8227"/>
      <c r="J8227"/>
      <c r="K8227"/>
      <c r="L8227"/>
    </row>
    <row r="8228" spans="8:12">
      <c r="H8228"/>
      <c r="I8228"/>
      <c r="J8228"/>
      <c r="K8228"/>
      <c r="L8228"/>
    </row>
    <row r="8229" spans="8:12">
      <c r="H8229"/>
      <c r="I8229"/>
      <c r="J8229"/>
      <c r="K8229"/>
      <c r="L8229"/>
    </row>
    <row r="8230" spans="8:12">
      <c r="H8230"/>
      <c r="I8230"/>
      <c r="J8230"/>
      <c r="K8230"/>
      <c r="L8230"/>
    </row>
    <row r="8231" spans="8:12">
      <c r="H8231"/>
      <c r="I8231"/>
      <c r="J8231"/>
      <c r="K8231"/>
      <c r="L8231"/>
    </row>
    <row r="8232" spans="8:12">
      <c r="H8232"/>
      <c r="I8232"/>
      <c r="J8232"/>
      <c r="K8232"/>
      <c r="L8232"/>
    </row>
    <row r="8233" spans="8:12">
      <c r="H8233"/>
      <c r="I8233"/>
      <c r="J8233"/>
      <c r="K8233"/>
      <c r="L8233"/>
    </row>
    <row r="8234" spans="8:12">
      <c r="H8234"/>
      <c r="I8234"/>
      <c r="J8234"/>
      <c r="K8234"/>
      <c r="L8234"/>
    </row>
    <row r="8235" spans="8:12">
      <c r="H8235"/>
      <c r="I8235"/>
      <c r="J8235"/>
      <c r="K8235"/>
      <c r="L8235"/>
    </row>
    <row r="8236" spans="8:12">
      <c r="H8236"/>
      <c r="I8236"/>
      <c r="J8236"/>
      <c r="K8236"/>
      <c r="L8236"/>
    </row>
    <row r="8237" spans="8:12">
      <c r="H8237"/>
      <c r="I8237"/>
      <c r="J8237"/>
      <c r="K8237"/>
      <c r="L8237"/>
    </row>
    <row r="8238" spans="8:12">
      <c r="H8238"/>
      <c r="I8238"/>
      <c r="J8238"/>
      <c r="K8238"/>
      <c r="L8238"/>
    </row>
    <row r="8239" spans="8:12">
      <c r="H8239"/>
      <c r="I8239"/>
      <c r="J8239"/>
      <c r="K8239"/>
      <c r="L8239"/>
    </row>
    <row r="8240" spans="8:12">
      <c r="H8240"/>
      <c r="I8240"/>
      <c r="J8240"/>
      <c r="K8240"/>
      <c r="L8240"/>
    </row>
    <row r="8241" spans="8:12">
      <c r="H8241"/>
      <c r="I8241"/>
      <c r="J8241"/>
      <c r="K8241"/>
      <c r="L8241"/>
    </row>
    <row r="8242" spans="8:12">
      <c r="H8242"/>
      <c r="I8242"/>
      <c r="J8242"/>
      <c r="K8242"/>
      <c r="L8242"/>
    </row>
    <row r="8243" spans="8:12">
      <c r="H8243"/>
      <c r="I8243"/>
      <c r="J8243"/>
      <c r="K8243"/>
      <c r="L8243"/>
    </row>
    <row r="8244" spans="8:12">
      <c r="H8244"/>
      <c r="I8244"/>
      <c r="J8244"/>
      <c r="K8244"/>
      <c r="L8244"/>
    </row>
    <row r="8245" spans="8:12">
      <c r="H8245"/>
      <c r="I8245"/>
      <c r="J8245"/>
      <c r="K8245"/>
      <c r="L8245"/>
    </row>
    <row r="8246" spans="8:12">
      <c r="H8246"/>
      <c r="I8246"/>
      <c r="J8246"/>
      <c r="K8246"/>
      <c r="L8246"/>
    </row>
    <row r="8247" spans="8:12">
      <c r="H8247"/>
      <c r="I8247"/>
      <c r="J8247"/>
      <c r="K8247"/>
      <c r="L8247"/>
    </row>
    <row r="8248" spans="8:12">
      <c r="H8248"/>
      <c r="I8248"/>
      <c r="J8248"/>
      <c r="K8248"/>
      <c r="L8248"/>
    </row>
    <row r="8249" spans="8:12">
      <c r="H8249"/>
      <c r="I8249"/>
      <c r="J8249"/>
      <c r="K8249"/>
      <c r="L8249"/>
    </row>
    <row r="8250" spans="8:12">
      <c r="H8250"/>
      <c r="I8250"/>
      <c r="J8250"/>
      <c r="K8250"/>
      <c r="L8250"/>
    </row>
    <row r="8251" spans="8:12">
      <c r="H8251"/>
      <c r="I8251"/>
      <c r="J8251"/>
      <c r="K8251"/>
      <c r="L8251"/>
    </row>
    <row r="8252" spans="8:12">
      <c r="H8252"/>
      <c r="I8252"/>
      <c r="J8252"/>
      <c r="K8252"/>
      <c r="L8252"/>
    </row>
    <row r="8253" spans="8:12">
      <c r="H8253"/>
      <c r="I8253"/>
      <c r="J8253"/>
      <c r="K8253"/>
      <c r="L8253"/>
    </row>
    <row r="8254" spans="8:12">
      <c r="H8254"/>
      <c r="I8254"/>
      <c r="J8254"/>
      <c r="K8254"/>
      <c r="L8254"/>
    </row>
    <row r="8255" spans="8:12">
      <c r="H8255"/>
      <c r="I8255"/>
      <c r="J8255"/>
      <c r="K8255"/>
      <c r="L8255"/>
    </row>
    <row r="8256" spans="8:12">
      <c r="H8256"/>
      <c r="I8256"/>
      <c r="J8256"/>
      <c r="K8256"/>
      <c r="L8256"/>
    </row>
    <row r="8257" spans="8:12">
      <c r="H8257"/>
      <c r="I8257"/>
      <c r="J8257"/>
      <c r="K8257"/>
      <c r="L8257"/>
    </row>
    <row r="8258" spans="8:12">
      <c r="H8258"/>
      <c r="I8258"/>
      <c r="J8258"/>
      <c r="K8258"/>
      <c r="L8258"/>
    </row>
    <row r="8259" spans="8:12">
      <c r="H8259"/>
      <c r="I8259"/>
      <c r="J8259"/>
      <c r="K8259"/>
      <c r="L8259"/>
    </row>
    <row r="8260" spans="8:12">
      <c r="H8260"/>
      <c r="I8260"/>
      <c r="J8260"/>
      <c r="K8260"/>
      <c r="L8260"/>
    </row>
    <row r="8261" spans="8:12">
      <c r="H8261"/>
      <c r="I8261"/>
      <c r="J8261"/>
      <c r="K8261"/>
      <c r="L8261"/>
    </row>
    <row r="8262" spans="8:12">
      <c r="H8262"/>
      <c r="I8262"/>
      <c r="J8262"/>
      <c r="K8262"/>
      <c r="L8262"/>
    </row>
    <row r="8263" spans="8:12">
      <c r="H8263"/>
      <c r="I8263"/>
      <c r="J8263"/>
      <c r="K8263"/>
      <c r="L8263"/>
    </row>
    <row r="8264" spans="8:12">
      <c r="H8264"/>
      <c r="I8264"/>
      <c r="J8264"/>
      <c r="K8264"/>
      <c r="L8264"/>
    </row>
    <row r="8265" spans="8:12">
      <c r="H8265"/>
      <c r="I8265"/>
      <c r="J8265"/>
      <c r="K8265"/>
      <c r="L8265"/>
    </row>
    <row r="8266" spans="8:12">
      <c r="H8266"/>
      <c r="I8266"/>
      <c r="J8266"/>
      <c r="K8266"/>
      <c r="L8266"/>
    </row>
    <row r="8267" spans="8:12">
      <c r="H8267"/>
      <c r="I8267"/>
      <c r="J8267"/>
      <c r="K8267"/>
      <c r="L8267"/>
    </row>
    <row r="8268" spans="8:12">
      <c r="H8268"/>
      <c r="I8268"/>
      <c r="J8268"/>
      <c r="K8268"/>
      <c r="L8268"/>
    </row>
    <row r="8269" spans="8:12">
      <c r="H8269"/>
      <c r="I8269"/>
      <c r="J8269"/>
      <c r="K8269"/>
      <c r="L8269"/>
    </row>
    <row r="8270" spans="8:12">
      <c r="H8270"/>
      <c r="I8270"/>
      <c r="J8270"/>
      <c r="K8270"/>
      <c r="L8270"/>
    </row>
    <row r="8271" spans="8:12">
      <c r="H8271"/>
      <c r="I8271"/>
      <c r="J8271"/>
      <c r="K8271"/>
      <c r="L8271"/>
    </row>
    <row r="8272" spans="8:12">
      <c r="H8272"/>
      <c r="I8272"/>
      <c r="J8272"/>
      <c r="K8272"/>
      <c r="L8272"/>
    </row>
    <row r="8273" spans="8:12">
      <c r="H8273"/>
      <c r="I8273"/>
      <c r="J8273"/>
      <c r="K8273"/>
      <c r="L8273"/>
    </row>
    <row r="8274" spans="8:12">
      <c r="H8274"/>
      <c r="I8274"/>
      <c r="J8274"/>
      <c r="K8274"/>
      <c r="L8274"/>
    </row>
    <row r="8275" spans="8:12">
      <c r="H8275"/>
      <c r="I8275"/>
      <c r="J8275"/>
      <c r="K8275"/>
      <c r="L8275"/>
    </row>
    <row r="8276" spans="8:12">
      <c r="H8276"/>
      <c r="I8276"/>
      <c r="J8276"/>
      <c r="K8276"/>
      <c r="L8276"/>
    </row>
    <row r="8277" spans="8:12">
      <c r="H8277"/>
      <c r="I8277"/>
      <c r="J8277"/>
      <c r="K8277"/>
      <c r="L8277"/>
    </row>
    <row r="8278" spans="8:12">
      <c r="H8278"/>
      <c r="I8278"/>
      <c r="J8278"/>
      <c r="K8278"/>
      <c r="L8278"/>
    </row>
    <row r="8279" spans="8:12">
      <c r="H8279"/>
      <c r="I8279"/>
      <c r="J8279"/>
      <c r="K8279"/>
      <c r="L8279"/>
    </row>
    <row r="8280" spans="8:12">
      <c r="H8280"/>
      <c r="I8280"/>
      <c r="J8280"/>
      <c r="K8280"/>
      <c r="L8280"/>
    </row>
    <row r="8281" spans="8:12">
      <c r="H8281"/>
      <c r="I8281"/>
      <c r="J8281"/>
      <c r="K8281"/>
      <c r="L8281"/>
    </row>
    <row r="8282" spans="8:12">
      <c r="H8282"/>
      <c r="I8282"/>
      <c r="J8282"/>
      <c r="K8282"/>
      <c r="L8282"/>
    </row>
    <row r="8283" spans="8:12">
      <c r="H8283"/>
      <c r="I8283"/>
      <c r="J8283"/>
      <c r="K8283"/>
      <c r="L8283"/>
    </row>
    <row r="8284" spans="8:12">
      <c r="H8284"/>
      <c r="I8284"/>
      <c r="J8284"/>
      <c r="K8284"/>
      <c r="L8284"/>
    </row>
    <row r="8285" spans="8:12">
      <c r="H8285"/>
      <c r="I8285"/>
      <c r="J8285"/>
      <c r="K8285"/>
      <c r="L8285"/>
    </row>
    <row r="8286" spans="8:12">
      <c r="H8286"/>
      <c r="I8286"/>
      <c r="J8286"/>
      <c r="K8286"/>
      <c r="L8286"/>
    </row>
    <row r="8287" spans="8:12">
      <c r="H8287"/>
      <c r="I8287"/>
      <c r="J8287"/>
      <c r="K8287"/>
      <c r="L8287"/>
    </row>
    <row r="8288" spans="8:12">
      <c r="H8288"/>
      <c r="I8288"/>
      <c r="J8288"/>
      <c r="K8288"/>
      <c r="L8288"/>
    </row>
    <row r="8289" spans="8:12">
      <c r="H8289"/>
      <c r="I8289"/>
      <c r="J8289"/>
      <c r="K8289"/>
      <c r="L8289"/>
    </row>
    <row r="8290" spans="8:12">
      <c r="H8290"/>
      <c r="I8290"/>
      <c r="J8290"/>
      <c r="K8290"/>
      <c r="L8290"/>
    </row>
    <row r="8291" spans="8:12">
      <c r="H8291"/>
      <c r="I8291"/>
      <c r="J8291"/>
      <c r="K8291"/>
      <c r="L8291"/>
    </row>
    <row r="8292" spans="8:12">
      <c r="H8292"/>
      <c r="I8292"/>
      <c r="J8292"/>
      <c r="K8292"/>
      <c r="L8292"/>
    </row>
    <row r="8293" spans="8:12">
      <c r="H8293"/>
      <c r="I8293"/>
      <c r="J8293"/>
      <c r="K8293"/>
      <c r="L8293"/>
    </row>
    <row r="8294" spans="8:12">
      <c r="H8294"/>
      <c r="I8294"/>
      <c r="J8294"/>
      <c r="K8294"/>
      <c r="L8294"/>
    </row>
    <row r="8295" spans="8:12">
      <c r="H8295"/>
      <c r="I8295"/>
      <c r="J8295"/>
      <c r="K8295"/>
      <c r="L8295"/>
    </row>
    <row r="8296" spans="8:12">
      <c r="H8296"/>
      <c r="I8296"/>
      <c r="J8296"/>
      <c r="K8296"/>
      <c r="L8296"/>
    </row>
    <row r="8297" spans="8:12">
      <c r="H8297"/>
      <c r="I8297"/>
      <c r="J8297"/>
      <c r="K8297"/>
      <c r="L8297"/>
    </row>
    <row r="8298" spans="8:12">
      <c r="H8298"/>
      <c r="I8298"/>
      <c r="J8298"/>
      <c r="K8298"/>
      <c r="L8298"/>
    </row>
    <row r="8299" spans="8:12">
      <c r="H8299"/>
      <c r="I8299"/>
      <c r="J8299"/>
      <c r="K8299"/>
      <c r="L8299"/>
    </row>
    <row r="8300" spans="8:12">
      <c r="H8300"/>
      <c r="I8300"/>
      <c r="J8300"/>
      <c r="K8300"/>
      <c r="L8300"/>
    </row>
    <row r="8301" spans="8:12">
      <c r="H8301"/>
      <c r="I8301"/>
      <c r="J8301"/>
      <c r="K8301"/>
      <c r="L8301"/>
    </row>
    <row r="8302" spans="8:12">
      <c r="H8302"/>
      <c r="I8302"/>
      <c r="J8302"/>
      <c r="K8302"/>
      <c r="L8302"/>
    </row>
    <row r="8303" spans="8:12">
      <c r="H8303"/>
      <c r="I8303"/>
      <c r="J8303"/>
      <c r="K8303"/>
      <c r="L8303"/>
    </row>
    <row r="8304" spans="8:12">
      <c r="H8304"/>
      <c r="I8304"/>
      <c r="J8304"/>
      <c r="K8304"/>
      <c r="L8304"/>
    </row>
    <row r="8305" spans="8:12">
      <c r="H8305"/>
      <c r="I8305"/>
      <c r="J8305"/>
      <c r="K8305"/>
      <c r="L8305"/>
    </row>
    <row r="8306" spans="8:12">
      <c r="H8306"/>
      <c r="I8306"/>
      <c r="J8306"/>
      <c r="K8306"/>
      <c r="L8306"/>
    </row>
    <row r="8307" spans="8:12">
      <c r="H8307"/>
      <c r="I8307"/>
      <c r="J8307"/>
      <c r="K8307"/>
      <c r="L8307"/>
    </row>
    <row r="8308" spans="8:12">
      <c r="H8308"/>
      <c r="I8308"/>
      <c r="J8308"/>
      <c r="K8308"/>
      <c r="L8308"/>
    </row>
    <row r="8309" spans="8:12">
      <c r="H8309"/>
      <c r="I8309"/>
      <c r="J8309"/>
      <c r="K8309"/>
      <c r="L8309"/>
    </row>
    <row r="8310" spans="8:12">
      <c r="H8310"/>
      <c r="I8310"/>
      <c r="J8310"/>
      <c r="K8310"/>
      <c r="L8310"/>
    </row>
    <row r="8311" spans="8:12">
      <c r="H8311"/>
      <c r="I8311"/>
      <c r="J8311"/>
      <c r="K8311"/>
      <c r="L8311"/>
    </row>
    <row r="8312" spans="8:12">
      <c r="H8312"/>
      <c r="I8312"/>
      <c r="J8312"/>
      <c r="K8312"/>
      <c r="L8312"/>
    </row>
    <row r="8313" spans="8:12">
      <c r="H8313"/>
      <c r="I8313"/>
      <c r="J8313"/>
      <c r="K8313"/>
      <c r="L8313"/>
    </row>
    <row r="8314" spans="8:12">
      <c r="H8314"/>
      <c r="I8314"/>
      <c r="J8314"/>
      <c r="K8314"/>
      <c r="L8314"/>
    </row>
    <row r="8315" spans="8:12">
      <c r="H8315"/>
      <c r="I8315"/>
      <c r="J8315"/>
      <c r="K8315"/>
      <c r="L8315"/>
    </row>
    <row r="8316" spans="8:12">
      <c r="H8316"/>
      <c r="I8316"/>
      <c r="J8316"/>
      <c r="K8316"/>
      <c r="L8316"/>
    </row>
    <row r="8317" spans="8:12">
      <c r="H8317"/>
      <c r="I8317"/>
      <c r="J8317"/>
      <c r="K8317"/>
      <c r="L8317"/>
    </row>
    <row r="8318" spans="8:12">
      <c r="H8318"/>
      <c r="I8318"/>
      <c r="J8318"/>
      <c r="K8318"/>
      <c r="L8318"/>
    </row>
    <row r="8319" spans="8:12">
      <c r="H8319"/>
      <c r="I8319"/>
      <c r="J8319"/>
      <c r="K8319"/>
      <c r="L8319"/>
    </row>
    <row r="8320" spans="8:12">
      <c r="H8320"/>
      <c r="I8320"/>
      <c r="J8320"/>
      <c r="K8320"/>
      <c r="L8320"/>
    </row>
    <row r="8321" spans="8:12">
      <c r="H8321"/>
      <c r="I8321"/>
      <c r="J8321"/>
      <c r="K8321"/>
      <c r="L8321"/>
    </row>
    <row r="8322" spans="8:12">
      <c r="H8322"/>
      <c r="I8322"/>
      <c r="J8322"/>
      <c r="K8322"/>
      <c r="L8322"/>
    </row>
    <row r="8323" spans="8:12">
      <c r="H8323"/>
      <c r="I8323"/>
      <c r="J8323"/>
      <c r="K8323"/>
      <c r="L8323"/>
    </row>
    <row r="8324" spans="8:12">
      <c r="H8324"/>
      <c r="I8324"/>
      <c r="J8324"/>
      <c r="K8324"/>
      <c r="L8324"/>
    </row>
    <row r="8325" spans="8:12">
      <c r="H8325"/>
      <c r="I8325"/>
      <c r="J8325"/>
      <c r="K8325"/>
      <c r="L8325"/>
    </row>
    <row r="8326" spans="8:12">
      <c r="H8326"/>
      <c r="I8326"/>
      <c r="J8326"/>
      <c r="K8326"/>
      <c r="L8326"/>
    </row>
    <row r="8327" spans="8:12">
      <c r="H8327"/>
      <c r="I8327"/>
      <c r="J8327"/>
      <c r="K8327"/>
      <c r="L8327"/>
    </row>
    <row r="8328" spans="8:12">
      <c r="H8328"/>
      <c r="I8328"/>
      <c r="J8328"/>
      <c r="K8328"/>
      <c r="L8328"/>
    </row>
    <row r="8329" spans="8:12">
      <c r="H8329"/>
      <c r="I8329"/>
      <c r="J8329"/>
      <c r="K8329"/>
      <c r="L8329"/>
    </row>
    <row r="8330" spans="8:12">
      <c r="H8330"/>
      <c r="I8330"/>
      <c r="J8330"/>
      <c r="K8330"/>
      <c r="L8330"/>
    </row>
    <row r="8331" spans="8:12">
      <c r="H8331"/>
      <c r="I8331"/>
      <c r="J8331"/>
      <c r="K8331"/>
      <c r="L8331"/>
    </row>
    <row r="8332" spans="8:12">
      <c r="H8332"/>
      <c r="I8332"/>
      <c r="J8332"/>
      <c r="K8332"/>
      <c r="L8332"/>
    </row>
    <row r="8333" spans="8:12">
      <c r="H8333"/>
      <c r="I8333"/>
      <c r="J8333"/>
      <c r="K8333"/>
      <c r="L8333"/>
    </row>
    <row r="8334" spans="8:12">
      <c r="H8334"/>
      <c r="I8334"/>
      <c r="J8334"/>
      <c r="K8334"/>
      <c r="L8334"/>
    </row>
    <row r="8335" spans="8:12">
      <c r="H8335"/>
      <c r="I8335"/>
      <c r="J8335"/>
      <c r="K8335"/>
      <c r="L8335"/>
    </row>
    <row r="8336" spans="8:12">
      <c r="H8336"/>
      <c r="I8336"/>
      <c r="J8336"/>
      <c r="K8336"/>
      <c r="L8336"/>
    </row>
    <row r="8337" spans="8:12">
      <c r="H8337"/>
      <c r="I8337"/>
      <c r="J8337"/>
      <c r="K8337"/>
      <c r="L8337"/>
    </row>
    <row r="8338" spans="8:12">
      <c r="H8338"/>
      <c r="I8338"/>
      <c r="J8338"/>
      <c r="K8338"/>
      <c r="L8338"/>
    </row>
    <row r="8339" spans="8:12">
      <c r="H8339"/>
      <c r="I8339"/>
      <c r="J8339"/>
      <c r="K8339"/>
      <c r="L8339"/>
    </row>
    <row r="8340" spans="8:12">
      <c r="H8340"/>
      <c r="I8340"/>
      <c r="J8340"/>
      <c r="K8340"/>
      <c r="L8340"/>
    </row>
    <row r="8341" spans="8:12">
      <c r="H8341"/>
      <c r="I8341"/>
      <c r="J8341"/>
      <c r="K8341"/>
      <c r="L8341"/>
    </row>
    <row r="8342" spans="8:12">
      <c r="H8342"/>
      <c r="I8342"/>
      <c r="J8342"/>
      <c r="K8342"/>
      <c r="L8342"/>
    </row>
    <row r="8343" spans="8:12">
      <c r="H8343"/>
      <c r="I8343"/>
      <c r="J8343"/>
      <c r="K8343"/>
      <c r="L8343"/>
    </row>
    <row r="8344" spans="8:12">
      <c r="H8344"/>
      <c r="I8344"/>
      <c r="J8344"/>
      <c r="K8344"/>
      <c r="L8344"/>
    </row>
    <row r="8345" spans="8:12">
      <c r="H8345"/>
      <c r="I8345"/>
      <c r="J8345"/>
      <c r="K8345"/>
      <c r="L8345"/>
    </row>
    <row r="8346" spans="8:12">
      <c r="H8346"/>
      <c r="I8346"/>
      <c r="J8346"/>
      <c r="K8346"/>
      <c r="L8346"/>
    </row>
    <row r="8347" spans="8:12">
      <c r="H8347"/>
      <c r="I8347"/>
      <c r="J8347"/>
      <c r="K8347"/>
      <c r="L8347"/>
    </row>
    <row r="8348" spans="8:12">
      <c r="H8348"/>
      <c r="I8348"/>
      <c r="J8348"/>
      <c r="K8348"/>
      <c r="L8348"/>
    </row>
    <row r="8349" spans="8:12">
      <c r="H8349"/>
      <c r="I8349"/>
      <c r="J8349"/>
      <c r="K8349"/>
      <c r="L8349"/>
    </row>
    <row r="8350" spans="8:12">
      <c r="H8350"/>
      <c r="I8350"/>
      <c r="J8350"/>
      <c r="K8350"/>
      <c r="L8350"/>
    </row>
    <row r="8351" spans="8:12">
      <c r="H8351"/>
      <c r="I8351"/>
      <c r="J8351"/>
      <c r="K8351"/>
      <c r="L8351"/>
    </row>
    <row r="8352" spans="8:12">
      <c r="H8352"/>
      <c r="I8352"/>
      <c r="J8352"/>
      <c r="K8352"/>
      <c r="L8352"/>
    </row>
    <row r="8353" spans="8:12">
      <c r="H8353"/>
      <c r="I8353"/>
      <c r="J8353"/>
      <c r="K8353"/>
      <c r="L8353"/>
    </row>
    <row r="8354" spans="8:12">
      <c r="H8354"/>
      <c r="I8354"/>
      <c r="J8354"/>
      <c r="K8354"/>
      <c r="L8354"/>
    </row>
    <row r="8355" spans="8:12">
      <c r="H8355"/>
      <c r="I8355"/>
      <c r="J8355"/>
      <c r="K8355"/>
      <c r="L8355"/>
    </row>
    <row r="8356" spans="8:12">
      <c r="H8356"/>
      <c r="I8356"/>
      <c r="J8356"/>
      <c r="K8356"/>
      <c r="L8356"/>
    </row>
    <row r="8357" spans="8:12">
      <c r="H8357"/>
      <c r="I8357"/>
      <c r="J8357"/>
      <c r="K8357"/>
      <c r="L8357"/>
    </row>
    <row r="8358" spans="8:12">
      <c r="H8358"/>
      <c r="I8358"/>
      <c r="J8358"/>
      <c r="K8358"/>
      <c r="L8358"/>
    </row>
    <row r="8359" spans="8:12">
      <c r="H8359"/>
      <c r="I8359"/>
      <c r="J8359"/>
      <c r="K8359"/>
      <c r="L8359"/>
    </row>
    <row r="8360" spans="8:12">
      <c r="H8360"/>
      <c r="I8360"/>
      <c r="J8360"/>
      <c r="K8360"/>
      <c r="L8360"/>
    </row>
    <row r="8361" spans="8:12">
      <c r="H8361"/>
      <c r="I8361"/>
      <c r="J8361"/>
      <c r="K8361"/>
      <c r="L8361"/>
    </row>
    <row r="8362" spans="8:12">
      <c r="H8362"/>
      <c r="I8362"/>
      <c r="J8362"/>
      <c r="K8362"/>
      <c r="L8362"/>
    </row>
    <row r="8363" spans="8:12">
      <c r="H8363"/>
      <c r="I8363"/>
      <c r="J8363"/>
      <c r="K8363"/>
      <c r="L8363"/>
    </row>
    <row r="8364" spans="8:12">
      <c r="H8364"/>
      <c r="I8364"/>
      <c r="J8364"/>
      <c r="K8364"/>
      <c r="L8364"/>
    </row>
    <row r="8365" spans="8:12">
      <c r="H8365"/>
      <c r="I8365"/>
      <c r="J8365"/>
      <c r="K8365"/>
      <c r="L8365"/>
    </row>
    <row r="8366" spans="8:12">
      <c r="H8366"/>
      <c r="I8366"/>
      <c r="J8366"/>
      <c r="K8366"/>
      <c r="L8366"/>
    </row>
    <row r="8367" spans="8:12">
      <c r="H8367"/>
      <c r="I8367"/>
      <c r="J8367"/>
      <c r="K8367"/>
      <c r="L8367"/>
    </row>
    <row r="8368" spans="8:12">
      <c r="H8368"/>
      <c r="I8368"/>
      <c r="J8368"/>
      <c r="K8368"/>
      <c r="L8368"/>
    </row>
    <row r="8369" spans="8:12">
      <c r="H8369"/>
      <c r="I8369"/>
      <c r="J8369"/>
      <c r="K8369"/>
      <c r="L8369"/>
    </row>
    <row r="8370" spans="8:12">
      <c r="H8370"/>
      <c r="I8370"/>
      <c r="J8370"/>
      <c r="K8370"/>
      <c r="L8370"/>
    </row>
    <row r="8371" spans="8:12">
      <c r="H8371"/>
      <c r="I8371"/>
      <c r="J8371"/>
      <c r="K8371"/>
      <c r="L8371"/>
    </row>
    <row r="8372" spans="8:12">
      <c r="H8372"/>
      <c r="I8372"/>
      <c r="J8372"/>
      <c r="K8372"/>
      <c r="L8372"/>
    </row>
    <row r="8373" spans="8:12">
      <c r="H8373"/>
      <c r="I8373"/>
      <c r="J8373"/>
      <c r="K8373"/>
      <c r="L8373"/>
    </row>
    <row r="8374" spans="8:12">
      <c r="H8374"/>
      <c r="I8374"/>
      <c r="J8374"/>
      <c r="K8374"/>
      <c r="L8374"/>
    </row>
    <row r="8375" spans="8:12">
      <c r="H8375"/>
      <c r="I8375"/>
      <c r="J8375"/>
      <c r="K8375"/>
      <c r="L8375"/>
    </row>
    <row r="8376" spans="8:12">
      <c r="H8376"/>
      <c r="I8376"/>
      <c r="J8376"/>
      <c r="K8376"/>
      <c r="L8376"/>
    </row>
    <row r="8377" spans="8:12">
      <c r="H8377"/>
      <c r="I8377"/>
      <c r="J8377"/>
      <c r="K8377"/>
      <c r="L8377"/>
    </row>
    <row r="8378" spans="8:12">
      <c r="H8378"/>
      <c r="I8378"/>
      <c r="J8378"/>
      <c r="K8378"/>
      <c r="L8378"/>
    </row>
    <row r="8379" spans="8:12">
      <c r="H8379"/>
      <c r="I8379"/>
      <c r="J8379"/>
      <c r="K8379"/>
      <c r="L8379"/>
    </row>
    <row r="8380" spans="8:12">
      <c r="H8380"/>
      <c r="I8380"/>
      <c r="J8380"/>
      <c r="K8380"/>
      <c r="L8380"/>
    </row>
    <row r="8381" spans="8:12">
      <c r="H8381"/>
      <c r="I8381"/>
      <c r="J8381"/>
      <c r="K8381"/>
      <c r="L8381"/>
    </row>
    <row r="8382" spans="8:12">
      <c r="H8382"/>
      <c r="I8382"/>
      <c r="J8382"/>
      <c r="K8382"/>
      <c r="L8382"/>
    </row>
    <row r="8383" spans="8:12">
      <c r="H8383"/>
      <c r="I8383"/>
      <c r="J8383"/>
      <c r="K8383"/>
      <c r="L8383"/>
    </row>
    <row r="8384" spans="8:12">
      <c r="H8384"/>
      <c r="I8384"/>
      <c r="J8384"/>
      <c r="K8384"/>
      <c r="L8384"/>
    </row>
    <row r="8385" spans="8:12">
      <c r="H8385"/>
      <c r="I8385"/>
      <c r="J8385"/>
      <c r="K8385"/>
      <c r="L8385"/>
    </row>
    <row r="8386" spans="8:12">
      <c r="H8386"/>
      <c r="I8386"/>
      <c r="J8386"/>
      <c r="K8386"/>
      <c r="L8386"/>
    </row>
    <row r="8387" spans="8:12">
      <c r="H8387"/>
      <c r="I8387"/>
      <c r="J8387"/>
      <c r="K8387"/>
      <c r="L8387"/>
    </row>
    <row r="8388" spans="8:12">
      <c r="H8388"/>
      <c r="I8388"/>
      <c r="J8388"/>
      <c r="K8388"/>
      <c r="L8388"/>
    </row>
    <row r="8389" spans="8:12">
      <c r="H8389"/>
      <c r="I8389"/>
      <c r="J8389"/>
      <c r="K8389"/>
      <c r="L8389"/>
    </row>
    <row r="8390" spans="8:12">
      <c r="H8390"/>
      <c r="I8390"/>
      <c r="J8390"/>
      <c r="K8390"/>
      <c r="L8390"/>
    </row>
    <row r="8391" spans="8:12">
      <c r="H8391"/>
      <c r="I8391"/>
      <c r="J8391"/>
      <c r="K8391"/>
      <c r="L8391"/>
    </row>
    <row r="8392" spans="8:12">
      <c r="H8392"/>
      <c r="I8392"/>
      <c r="J8392"/>
      <c r="K8392"/>
      <c r="L8392"/>
    </row>
    <row r="8393" spans="8:12">
      <c r="H8393"/>
      <c r="I8393"/>
      <c r="J8393"/>
      <c r="K8393"/>
      <c r="L8393"/>
    </row>
    <row r="8394" spans="8:12">
      <c r="H8394"/>
      <c r="I8394"/>
      <c r="J8394"/>
      <c r="K8394"/>
      <c r="L8394"/>
    </row>
    <row r="8395" spans="8:12">
      <c r="H8395"/>
      <c r="I8395"/>
      <c r="J8395"/>
      <c r="K8395"/>
      <c r="L8395"/>
    </row>
    <row r="8396" spans="8:12">
      <c r="H8396"/>
      <c r="I8396"/>
      <c r="J8396"/>
      <c r="K8396"/>
      <c r="L8396"/>
    </row>
    <row r="8397" spans="8:12">
      <c r="H8397"/>
      <c r="I8397"/>
      <c r="J8397"/>
      <c r="K8397"/>
      <c r="L8397"/>
    </row>
    <row r="8398" spans="8:12">
      <c r="H8398"/>
      <c r="I8398"/>
      <c r="J8398"/>
      <c r="K8398"/>
      <c r="L8398"/>
    </row>
    <row r="8399" spans="8:12">
      <c r="H8399"/>
      <c r="I8399"/>
      <c r="J8399"/>
      <c r="K8399"/>
      <c r="L8399"/>
    </row>
    <row r="8400" spans="8:12">
      <c r="H8400"/>
      <c r="I8400"/>
      <c r="J8400"/>
      <c r="K8400"/>
      <c r="L8400"/>
    </row>
    <row r="8401" spans="8:12">
      <c r="H8401"/>
      <c r="I8401"/>
      <c r="J8401"/>
      <c r="K8401"/>
      <c r="L8401"/>
    </row>
    <row r="8402" spans="8:12">
      <c r="H8402"/>
      <c r="I8402"/>
      <c r="J8402"/>
      <c r="K8402"/>
      <c r="L8402"/>
    </row>
    <row r="8403" spans="8:12">
      <c r="H8403"/>
      <c r="I8403"/>
      <c r="J8403"/>
      <c r="K8403"/>
      <c r="L8403"/>
    </row>
    <row r="8404" spans="8:12">
      <c r="H8404"/>
      <c r="I8404"/>
      <c r="J8404"/>
      <c r="K8404"/>
      <c r="L8404"/>
    </row>
    <row r="8405" spans="8:12">
      <c r="H8405"/>
      <c r="I8405"/>
      <c r="J8405"/>
      <c r="K8405"/>
      <c r="L8405"/>
    </row>
    <row r="8406" spans="8:12">
      <c r="H8406"/>
      <c r="I8406"/>
      <c r="J8406"/>
      <c r="K8406"/>
      <c r="L8406"/>
    </row>
    <row r="8407" spans="8:12">
      <c r="H8407"/>
      <c r="I8407"/>
      <c r="J8407"/>
      <c r="K8407"/>
      <c r="L8407"/>
    </row>
    <row r="8408" spans="8:12">
      <c r="H8408"/>
      <c r="I8408"/>
      <c r="J8408"/>
      <c r="K8408"/>
      <c r="L8408"/>
    </row>
    <row r="8409" spans="8:12">
      <c r="H8409"/>
      <c r="I8409"/>
      <c r="J8409"/>
      <c r="K8409"/>
      <c r="L8409"/>
    </row>
    <row r="8410" spans="8:12">
      <c r="H8410"/>
      <c r="I8410"/>
      <c r="J8410"/>
      <c r="K8410"/>
      <c r="L8410"/>
    </row>
    <row r="8411" spans="8:12">
      <c r="H8411"/>
      <c r="I8411"/>
      <c r="J8411"/>
      <c r="K8411"/>
      <c r="L8411"/>
    </row>
    <row r="8412" spans="8:12">
      <c r="H8412"/>
      <c r="I8412"/>
      <c r="J8412"/>
      <c r="K8412"/>
      <c r="L8412"/>
    </row>
    <row r="8413" spans="8:12">
      <c r="H8413"/>
      <c r="I8413"/>
      <c r="J8413"/>
      <c r="K8413"/>
      <c r="L8413"/>
    </row>
    <row r="8414" spans="8:12">
      <c r="H8414"/>
      <c r="I8414"/>
      <c r="J8414"/>
      <c r="K8414"/>
      <c r="L8414"/>
    </row>
    <row r="8415" spans="8:12">
      <c r="H8415"/>
      <c r="I8415"/>
      <c r="J8415"/>
      <c r="K8415"/>
      <c r="L8415"/>
    </row>
    <row r="8416" spans="8:12">
      <c r="H8416"/>
      <c r="I8416"/>
      <c r="J8416"/>
      <c r="K8416"/>
      <c r="L8416"/>
    </row>
    <row r="8417" spans="8:12">
      <c r="H8417"/>
      <c r="I8417"/>
      <c r="J8417"/>
      <c r="K8417"/>
      <c r="L8417"/>
    </row>
    <row r="8418" spans="8:12">
      <c r="H8418"/>
      <c r="I8418"/>
      <c r="J8418"/>
      <c r="K8418"/>
      <c r="L8418"/>
    </row>
    <row r="8419" spans="8:12">
      <c r="H8419"/>
      <c r="I8419"/>
      <c r="J8419"/>
      <c r="K8419"/>
      <c r="L8419"/>
    </row>
    <row r="8420" spans="8:12">
      <c r="H8420"/>
      <c r="I8420"/>
      <c r="J8420"/>
      <c r="K8420"/>
      <c r="L8420"/>
    </row>
    <row r="8421" spans="8:12">
      <c r="H8421"/>
      <c r="I8421"/>
      <c r="J8421"/>
      <c r="K8421"/>
      <c r="L8421"/>
    </row>
    <row r="8422" spans="8:12">
      <c r="H8422"/>
      <c r="I8422"/>
      <c r="J8422"/>
      <c r="K8422"/>
      <c r="L8422"/>
    </row>
    <row r="8423" spans="8:12">
      <c r="H8423"/>
      <c r="I8423"/>
      <c r="J8423"/>
      <c r="K8423"/>
      <c r="L8423"/>
    </row>
    <row r="8424" spans="8:12">
      <c r="H8424"/>
      <c r="I8424"/>
      <c r="J8424"/>
      <c r="K8424"/>
      <c r="L8424"/>
    </row>
    <row r="8425" spans="8:12">
      <c r="H8425"/>
      <c r="I8425"/>
      <c r="J8425"/>
      <c r="K8425"/>
      <c r="L8425"/>
    </row>
    <row r="8426" spans="8:12">
      <c r="H8426"/>
      <c r="I8426"/>
      <c r="J8426"/>
      <c r="K8426"/>
      <c r="L8426"/>
    </row>
    <row r="8427" spans="8:12">
      <c r="H8427"/>
      <c r="I8427"/>
      <c r="J8427"/>
      <c r="K8427"/>
      <c r="L8427"/>
    </row>
    <row r="8428" spans="8:12">
      <c r="H8428"/>
      <c r="I8428"/>
      <c r="J8428"/>
      <c r="K8428"/>
      <c r="L8428"/>
    </row>
    <row r="8429" spans="8:12">
      <c r="H8429"/>
      <c r="I8429"/>
      <c r="J8429"/>
      <c r="K8429"/>
      <c r="L8429"/>
    </row>
    <row r="8430" spans="8:12">
      <c r="H8430"/>
      <c r="I8430"/>
      <c r="J8430"/>
      <c r="K8430"/>
      <c r="L8430"/>
    </row>
    <row r="8431" spans="8:12">
      <c r="H8431"/>
      <c r="I8431"/>
      <c r="J8431"/>
      <c r="K8431"/>
      <c r="L8431"/>
    </row>
    <row r="8432" spans="8:12">
      <c r="H8432"/>
      <c r="I8432"/>
      <c r="J8432"/>
      <c r="K8432"/>
      <c r="L8432"/>
    </row>
    <row r="8433" spans="8:12">
      <c r="H8433"/>
      <c r="I8433"/>
      <c r="J8433"/>
      <c r="K8433"/>
      <c r="L8433"/>
    </row>
    <row r="8434" spans="8:12">
      <c r="H8434"/>
      <c r="I8434"/>
      <c r="J8434"/>
      <c r="K8434"/>
      <c r="L8434"/>
    </row>
    <row r="8435" spans="8:12">
      <c r="H8435"/>
      <c r="I8435"/>
      <c r="J8435"/>
      <c r="K8435"/>
      <c r="L8435"/>
    </row>
    <row r="8436" spans="8:12">
      <c r="H8436"/>
      <c r="I8436"/>
      <c r="J8436"/>
      <c r="K8436"/>
      <c r="L8436"/>
    </row>
    <row r="8437" spans="8:12">
      <c r="H8437"/>
      <c r="I8437"/>
      <c r="J8437"/>
      <c r="K8437"/>
      <c r="L8437"/>
    </row>
    <row r="8438" spans="8:12">
      <c r="H8438"/>
      <c r="I8438"/>
      <c r="J8438"/>
      <c r="K8438"/>
      <c r="L8438"/>
    </row>
    <row r="8439" spans="8:12">
      <c r="H8439"/>
      <c r="I8439"/>
      <c r="J8439"/>
      <c r="K8439"/>
      <c r="L8439"/>
    </row>
    <row r="8440" spans="8:12">
      <c r="H8440"/>
      <c r="I8440"/>
      <c r="J8440"/>
      <c r="K8440"/>
      <c r="L8440"/>
    </row>
    <row r="8441" spans="8:12">
      <c r="H8441"/>
      <c r="I8441"/>
      <c r="J8441"/>
      <c r="K8441"/>
      <c r="L8441"/>
    </row>
    <row r="8442" spans="8:12">
      <c r="H8442"/>
      <c r="I8442"/>
      <c r="J8442"/>
      <c r="K8442"/>
      <c r="L8442"/>
    </row>
    <row r="8443" spans="8:12">
      <c r="H8443"/>
      <c r="I8443"/>
      <c r="J8443"/>
      <c r="K8443"/>
      <c r="L8443"/>
    </row>
    <row r="8444" spans="8:12">
      <c r="H8444"/>
      <c r="I8444"/>
      <c r="J8444"/>
      <c r="K8444"/>
      <c r="L8444"/>
    </row>
    <row r="8445" spans="8:12">
      <c r="H8445"/>
      <c r="I8445"/>
      <c r="J8445"/>
      <c r="K8445"/>
      <c r="L8445"/>
    </row>
    <row r="8446" spans="8:12">
      <c r="H8446"/>
      <c r="I8446"/>
      <c r="J8446"/>
      <c r="K8446"/>
      <c r="L8446"/>
    </row>
    <row r="8447" spans="8:12">
      <c r="H8447"/>
      <c r="I8447"/>
      <c r="J8447"/>
      <c r="K8447"/>
      <c r="L8447"/>
    </row>
    <row r="8448" spans="8:12">
      <c r="H8448"/>
      <c r="I8448"/>
      <c r="J8448"/>
      <c r="K8448"/>
      <c r="L8448"/>
    </row>
    <row r="8449" spans="8:12">
      <c r="H8449"/>
      <c r="I8449"/>
      <c r="J8449"/>
      <c r="K8449"/>
      <c r="L8449"/>
    </row>
    <row r="8450" spans="8:12">
      <c r="H8450"/>
      <c r="I8450"/>
      <c r="J8450"/>
      <c r="K8450"/>
      <c r="L8450"/>
    </row>
    <row r="8451" spans="8:12">
      <c r="H8451"/>
      <c r="I8451"/>
      <c r="J8451"/>
      <c r="K8451"/>
      <c r="L8451"/>
    </row>
    <row r="8452" spans="8:12">
      <c r="H8452"/>
      <c r="I8452"/>
      <c r="J8452"/>
      <c r="K8452"/>
      <c r="L8452"/>
    </row>
    <row r="8453" spans="8:12">
      <c r="H8453"/>
      <c r="I8453"/>
      <c r="J8453"/>
      <c r="K8453"/>
      <c r="L8453"/>
    </row>
    <row r="8454" spans="8:12">
      <c r="H8454"/>
      <c r="I8454"/>
      <c r="J8454"/>
      <c r="K8454"/>
      <c r="L8454"/>
    </row>
    <row r="8455" spans="8:12">
      <c r="H8455"/>
      <c r="I8455"/>
      <c r="J8455"/>
      <c r="K8455"/>
      <c r="L8455"/>
    </row>
    <row r="8456" spans="8:12">
      <c r="H8456"/>
      <c r="I8456"/>
      <c r="J8456"/>
      <c r="K8456"/>
      <c r="L8456"/>
    </row>
    <row r="8457" spans="8:12">
      <c r="H8457"/>
      <c r="I8457"/>
      <c r="J8457"/>
      <c r="K8457"/>
      <c r="L8457"/>
    </row>
    <row r="8458" spans="8:12">
      <c r="H8458"/>
      <c r="I8458"/>
      <c r="J8458"/>
      <c r="K8458"/>
      <c r="L8458"/>
    </row>
    <row r="8459" spans="8:12">
      <c r="H8459"/>
      <c r="I8459"/>
      <c r="J8459"/>
      <c r="K8459"/>
      <c r="L8459"/>
    </row>
    <row r="8460" spans="8:12">
      <c r="H8460"/>
      <c r="I8460"/>
      <c r="J8460"/>
      <c r="K8460"/>
      <c r="L8460"/>
    </row>
    <row r="8461" spans="8:12">
      <c r="H8461"/>
      <c r="I8461"/>
      <c r="J8461"/>
      <c r="K8461"/>
      <c r="L8461"/>
    </row>
    <row r="8462" spans="8:12">
      <c r="H8462"/>
      <c r="I8462"/>
      <c r="J8462"/>
      <c r="K8462"/>
      <c r="L8462"/>
    </row>
    <row r="8463" spans="8:12">
      <c r="H8463"/>
      <c r="I8463"/>
      <c r="J8463"/>
      <c r="K8463"/>
      <c r="L8463"/>
    </row>
    <row r="8464" spans="8:12">
      <c r="H8464"/>
      <c r="I8464"/>
      <c r="J8464"/>
      <c r="K8464"/>
      <c r="L8464"/>
    </row>
    <row r="8465" spans="8:12">
      <c r="H8465"/>
      <c r="I8465"/>
      <c r="J8465"/>
      <c r="K8465"/>
      <c r="L8465"/>
    </row>
    <row r="8466" spans="8:12">
      <c r="H8466"/>
      <c r="I8466"/>
      <c r="J8466"/>
      <c r="K8466"/>
      <c r="L8466"/>
    </row>
    <row r="8467" spans="8:12">
      <c r="H8467"/>
      <c r="I8467"/>
      <c r="J8467"/>
      <c r="K8467"/>
      <c r="L8467"/>
    </row>
    <row r="8468" spans="8:12">
      <c r="H8468"/>
      <c r="I8468"/>
      <c r="J8468"/>
      <c r="K8468"/>
      <c r="L8468"/>
    </row>
    <row r="8469" spans="8:12">
      <c r="H8469"/>
      <c r="I8469"/>
      <c r="J8469"/>
      <c r="K8469"/>
      <c r="L8469"/>
    </row>
    <row r="8470" spans="8:12">
      <c r="H8470"/>
      <c r="I8470"/>
      <c r="J8470"/>
      <c r="K8470"/>
      <c r="L8470"/>
    </row>
    <row r="8471" spans="8:12">
      <c r="H8471"/>
      <c r="I8471"/>
      <c r="J8471"/>
      <c r="K8471"/>
      <c r="L8471"/>
    </row>
    <row r="8472" spans="8:12">
      <c r="H8472"/>
      <c r="I8472"/>
      <c r="J8472"/>
      <c r="K8472"/>
      <c r="L8472"/>
    </row>
    <row r="8473" spans="8:12">
      <c r="H8473"/>
      <c r="I8473"/>
      <c r="J8473"/>
      <c r="K8473"/>
      <c r="L8473"/>
    </row>
    <row r="8474" spans="8:12">
      <c r="H8474"/>
      <c r="I8474"/>
      <c r="J8474"/>
      <c r="K8474"/>
      <c r="L8474"/>
    </row>
    <row r="8475" spans="8:12">
      <c r="H8475"/>
      <c r="I8475"/>
      <c r="J8475"/>
      <c r="K8475"/>
      <c r="L8475"/>
    </row>
    <row r="8476" spans="8:12">
      <c r="H8476"/>
      <c r="I8476"/>
      <c r="J8476"/>
      <c r="K8476"/>
      <c r="L8476"/>
    </row>
    <row r="8477" spans="8:12">
      <c r="H8477"/>
      <c r="I8477"/>
      <c r="J8477"/>
      <c r="K8477"/>
      <c r="L8477"/>
    </row>
    <row r="8478" spans="8:12">
      <c r="H8478"/>
      <c r="I8478"/>
      <c r="J8478"/>
      <c r="K8478"/>
      <c r="L8478"/>
    </row>
    <row r="8479" spans="8:12">
      <c r="H8479"/>
      <c r="I8479"/>
      <c r="J8479"/>
      <c r="K8479"/>
      <c r="L8479"/>
    </row>
    <row r="8480" spans="8:12">
      <c r="H8480"/>
      <c r="I8480"/>
      <c r="J8480"/>
      <c r="K8480"/>
      <c r="L8480"/>
    </row>
    <row r="8481" spans="8:12">
      <c r="H8481"/>
      <c r="I8481"/>
      <c r="J8481"/>
      <c r="K8481"/>
      <c r="L8481"/>
    </row>
    <row r="8482" spans="8:12">
      <c r="H8482"/>
      <c r="I8482"/>
      <c r="J8482"/>
      <c r="K8482"/>
      <c r="L8482"/>
    </row>
    <row r="8483" spans="8:12">
      <c r="H8483"/>
      <c r="I8483"/>
      <c r="J8483"/>
      <c r="K8483"/>
      <c r="L8483"/>
    </row>
    <row r="8484" spans="8:12">
      <c r="H8484"/>
      <c r="I8484"/>
      <c r="J8484"/>
      <c r="K8484"/>
      <c r="L8484"/>
    </row>
    <row r="8485" spans="8:12">
      <c r="H8485"/>
      <c r="I8485"/>
      <c r="J8485"/>
      <c r="K8485"/>
      <c r="L8485"/>
    </row>
    <row r="8486" spans="8:12">
      <c r="H8486"/>
      <c r="I8486"/>
      <c r="J8486"/>
      <c r="K8486"/>
      <c r="L8486"/>
    </row>
    <row r="8487" spans="8:12">
      <c r="H8487"/>
      <c r="I8487"/>
      <c r="J8487"/>
      <c r="K8487"/>
      <c r="L8487"/>
    </row>
    <row r="8488" spans="8:12">
      <c r="H8488"/>
      <c r="I8488"/>
      <c r="J8488"/>
      <c r="K8488"/>
      <c r="L8488"/>
    </row>
    <row r="8489" spans="8:12">
      <c r="H8489"/>
      <c r="I8489"/>
      <c r="J8489"/>
      <c r="K8489"/>
      <c r="L8489"/>
    </row>
    <row r="8490" spans="8:12">
      <c r="H8490"/>
      <c r="I8490"/>
      <c r="J8490"/>
      <c r="K8490"/>
      <c r="L8490"/>
    </row>
    <row r="8491" spans="8:12">
      <c r="H8491"/>
      <c r="I8491"/>
      <c r="J8491"/>
      <c r="K8491"/>
      <c r="L8491"/>
    </row>
    <row r="8492" spans="8:12">
      <c r="H8492"/>
      <c r="I8492"/>
      <c r="J8492"/>
      <c r="K8492"/>
      <c r="L8492"/>
    </row>
    <row r="8493" spans="8:12">
      <c r="H8493"/>
      <c r="I8493"/>
      <c r="J8493"/>
      <c r="K8493"/>
      <c r="L8493"/>
    </row>
    <row r="8494" spans="8:12">
      <c r="H8494"/>
      <c r="I8494"/>
      <c r="J8494"/>
      <c r="K8494"/>
      <c r="L8494"/>
    </row>
    <row r="8495" spans="8:12">
      <c r="H8495"/>
      <c r="I8495"/>
      <c r="J8495"/>
      <c r="K8495"/>
      <c r="L8495"/>
    </row>
    <row r="8496" spans="8:12">
      <c r="H8496"/>
      <c r="I8496"/>
      <c r="J8496"/>
      <c r="K8496"/>
      <c r="L8496"/>
    </row>
    <row r="8497" spans="8:12">
      <c r="H8497"/>
      <c r="I8497"/>
      <c r="J8497"/>
      <c r="K8497"/>
      <c r="L8497"/>
    </row>
    <row r="8498" spans="8:12">
      <c r="H8498"/>
      <c r="I8498"/>
      <c r="J8498"/>
      <c r="K8498"/>
      <c r="L8498"/>
    </row>
    <row r="8499" spans="8:12">
      <c r="H8499"/>
      <c r="I8499"/>
      <c r="J8499"/>
      <c r="K8499"/>
      <c r="L8499"/>
    </row>
    <row r="8500" spans="8:12">
      <c r="H8500"/>
      <c r="I8500"/>
      <c r="J8500"/>
      <c r="K8500"/>
      <c r="L8500"/>
    </row>
    <row r="8501" spans="8:12">
      <c r="H8501"/>
      <c r="I8501"/>
      <c r="J8501"/>
      <c r="K8501"/>
      <c r="L8501"/>
    </row>
    <row r="8502" spans="8:12">
      <c r="H8502"/>
      <c r="I8502"/>
      <c r="J8502"/>
      <c r="K8502"/>
      <c r="L8502"/>
    </row>
    <row r="8503" spans="8:12">
      <c r="H8503"/>
      <c r="I8503"/>
      <c r="J8503"/>
      <c r="K8503"/>
      <c r="L8503"/>
    </row>
    <row r="8504" spans="8:12">
      <c r="H8504"/>
      <c r="I8504"/>
      <c r="J8504"/>
      <c r="K8504"/>
      <c r="L8504"/>
    </row>
    <row r="8505" spans="8:12">
      <c r="H8505"/>
      <c r="I8505"/>
      <c r="J8505"/>
      <c r="K8505"/>
      <c r="L8505"/>
    </row>
    <row r="8506" spans="8:12">
      <c r="H8506"/>
      <c r="I8506"/>
      <c r="J8506"/>
      <c r="K8506"/>
      <c r="L8506"/>
    </row>
    <row r="8507" spans="8:12">
      <c r="H8507"/>
      <c r="I8507"/>
      <c r="J8507"/>
      <c r="K8507"/>
      <c r="L8507"/>
    </row>
    <row r="8508" spans="8:12">
      <c r="H8508"/>
      <c r="I8508"/>
      <c r="J8508"/>
      <c r="K8508"/>
      <c r="L8508"/>
    </row>
    <row r="8509" spans="8:12">
      <c r="H8509"/>
      <c r="I8509"/>
      <c r="J8509"/>
      <c r="K8509"/>
      <c r="L8509"/>
    </row>
    <row r="8510" spans="8:12">
      <c r="H8510"/>
      <c r="I8510"/>
      <c r="J8510"/>
      <c r="K8510"/>
      <c r="L8510"/>
    </row>
    <row r="8511" spans="8:12">
      <c r="H8511"/>
      <c r="I8511"/>
      <c r="J8511"/>
      <c r="K8511"/>
      <c r="L8511"/>
    </row>
    <row r="8512" spans="8:12">
      <c r="H8512"/>
      <c r="I8512"/>
      <c r="J8512"/>
      <c r="K8512"/>
      <c r="L8512"/>
    </row>
    <row r="8513" spans="8:12">
      <c r="H8513"/>
      <c r="I8513"/>
      <c r="J8513"/>
      <c r="K8513"/>
      <c r="L8513"/>
    </row>
    <row r="8514" spans="8:12">
      <c r="H8514"/>
      <c r="I8514"/>
      <c r="J8514"/>
      <c r="K8514"/>
      <c r="L8514"/>
    </row>
    <row r="8515" spans="8:12">
      <c r="H8515"/>
      <c r="I8515"/>
      <c r="J8515"/>
      <c r="K8515"/>
      <c r="L8515"/>
    </row>
    <row r="8516" spans="8:12">
      <c r="H8516"/>
      <c r="I8516"/>
      <c r="J8516"/>
      <c r="K8516"/>
      <c r="L8516"/>
    </row>
    <row r="8517" spans="8:12">
      <c r="H8517"/>
      <c r="I8517"/>
      <c r="J8517"/>
      <c r="K8517"/>
      <c r="L8517"/>
    </row>
    <row r="8518" spans="8:12">
      <c r="H8518"/>
      <c r="I8518"/>
      <c r="J8518"/>
      <c r="K8518"/>
      <c r="L8518"/>
    </row>
    <row r="8519" spans="8:12">
      <c r="H8519"/>
      <c r="I8519"/>
      <c r="J8519"/>
      <c r="K8519"/>
      <c r="L8519"/>
    </row>
    <row r="8520" spans="8:12">
      <c r="H8520"/>
      <c r="I8520"/>
      <c r="J8520"/>
      <c r="K8520"/>
      <c r="L8520"/>
    </row>
    <row r="8521" spans="8:12">
      <c r="H8521"/>
      <c r="I8521"/>
      <c r="J8521"/>
      <c r="K8521"/>
      <c r="L8521"/>
    </row>
    <row r="8522" spans="8:12">
      <c r="H8522"/>
      <c r="I8522"/>
      <c r="J8522"/>
      <c r="K8522"/>
      <c r="L8522"/>
    </row>
    <row r="8523" spans="8:12">
      <c r="H8523"/>
      <c r="I8523"/>
      <c r="J8523"/>
      <c r="K8523"/>
      <c r="L8523"/>
    </row>
    <row r="8524" spans="8:12">
      <c r="H8524"/>
      <c r="I8524"/>
      <c r="J8524"/>
      <c r="K8524"/>
      <c r="L8524"/>
    </row>
    <row r="8525" spans="8:12">
      <c r="H8525"/>
      <c r="I8525"/>
      <c r="J8525"/>
      <c r="K8525"/>
      <c r="L8525"/>
    </row>
    <row r="8526" spans="8:12">
      <c r="H8526"/>
      <c r="I8526"/>
      <c r="J8526"/>
      <c r="K8526"/>
      <c r="L8526"/>
    </row>
    <row r="8527" spans="8:12">
      <c r="H8527"/>
      <c r="I8527"/>
      <c r="J8527"/>
      <c r="K8527"/>
      <c r="L8527"/>
    </row>
    <row r="8528" spans="8:12">
      <c r="H8528"/>
      <c r="I8528"/>
      <c r="J8528"/>
      <c r="K8528"/>
      <c r="L8528"/>
    </row>
    <row r="8529" spans="8:12">
      <c r="H8529"/>
      <c r="I8529"/>
      <c r="J8529"/>
      <c r="K8529"/>
      <c r="L8529"/>
    </row>
    <row r="8530" spans="8:12">
      <c r="H8530"/>
      <c r="I8530"/>
      <c r="J8530"/>
      <c r="K8530"/>
      <c r="L8530"/>
    </row>
    <row r="8531" spans="8:12">
      <c r="H8531"/>
      <c r="I8531"/>
      <c r="J8531"/>
      <c r="K8531"/>
      <c r="L8531"/>
    </row>
    <row r="8532" spans="8:12">
      <c r="H8532"/>
      <c r="I8532"/>
      <c r="J8532"/>
      <c r="K8532"/>
      <c r="L8532"/>
    </row>
    <row r="8533" spans="8:12">
      <c r="H8533"/>
      <c r="I8533"/>
      <c r="J8533"/>
      <c r="K8533"/>
      <c r="L8533"/>
    </row>
    <row r="8534" spans="8:12">
      <c r="H8534"/>
      <c r="I8534"/>
      <c r="J8534"/>
      <c r="K8534"/>
      <c r="L8534"/>
    </row>
    <row r="8535" spans="8:12">
      <c r="H8535"/>
      <c r="I8535"/>
      <c r="J8535"/>
      <c r="K8535"/>
      <c r="L8535"/>
    </row>
    <row r="8536" spans="8:12">
      <c r="H8536"/>
      <c r="I8536"/>
      <c r="J8536"/>
      <c r="K8536"/>
      <c r="L8536"/>
    </row>
    <row r="8537" spans="8:12">
      <c r="H8537"/>
      <c r="I8537"/>
      <c r="J8537"/>
      <c r="K8537"/>
      <c r="L8537"/>
    </row>
    <row r="8538" spans="8:12">
      <c r="H8538"/>
      <c r="I8538"/>
      <c r="J8538"/>
      <c r="K8538"/>
      <c r="L8538"/>
    </row>
    <row r="8539" spans="8:12">
      <c r="H8539"/>
      <c r="I8539"/>
      <c r="J8539"/>
      <c r="K8539"/>
      <c r="L8539"/>
    </row>
    <row r="8540" spans="8:12">
      <c r="H8540"/>
      <c r="I8540"/>
      <c r="J8540"/>
      <c r="K8540"/>
      <c r="L8540"/>
    </row>
    <row r="8541" spans="8:12">
      <c r="H8541"/>
      <c r="I8541"/>
      <c r="J8541"/>
      <c r="K8541"/>
      <c r="L8541"/>
    </row>
    <row r="8542" spans="8:12">
      <c r="H8542"/>
      <c r="I8542"/>
      <c r="J8542"/>
      <c r="K8542"/>
      <c r="L8542"/>
    </row>
    <row r="8543" spans="8:12">
      <c r="H8543"/>
      <c r="I8543"/>
      <c r="J8543"/>
      <c r="K8543"/>
      <c r="L8543"/>
    </row>
    <row r="8544" spans="8:12">
      <c r="H8544"/>
      <c r="I8544"/>
      <c r="J8544"/>
      <c r="K8544"/>
      <c r="L8544"/>
    </row>
    <row r="8545" spans="8:12">
      <c r="H8545"/>
      <c r="I8545"/>
      <c r="J8545"/>
      <c r="K8545"/>
      <c r="L8545"/>
    </row>
    <row r="8546" spans="8:12">
      <c r="H8546"/>
      <c r="I8546"/>
      <c r="J8546"/>
      <c r="K8546"/>
      <c r="L8546"/>
    </row>
    <row r="8547" spans="8:12">
      <c r="H8547"/>
      <c r="I8547"/>
      <c r="J8547"/>
      <c r="K8547"/>
      <c r="L8547"/>
    </row>
    <row r="8548" spans="8:12">
      <c r="H8548"/>
      <c r="I8548"/>
      <c r="J8548"/>
      <c r="K8548"/>
      <c r="L8548"/>
    </row>
    <row r="8549" spans="8:12">
      <c r="H8549"/>
      <c r="I8549"/>
      <c r="J8549"/>
      <c r="K8549"/>
      <c r="L8549"/>
    </row>
    <row r="8550" spans="8:12">
      <c r="H8550"/>
      <c r="I8550"/>
      <c r="J8550"/>
      <c r="K8550"/>
      <c r="L8550"/>
    </row>
    <row r="8551" spans="8:12">
      <c r="H8551"/>
      <c r="I8551"/>
      <c r="J8551"/>
      <c r="K8551"/>
      <c r="L8551"/>
    </row>
    <row r="8552" spans="8:12">
      <c r="H8552"/>
      <c r="I8552"/>
      <c r="J8552"/>
      <c r="K8552"/>
      <c r="L8552"/>
    </row>
    <row r="8553" spans="8:12">
      <c r="H8553"/>
      <c r="I8553"/>
      <c r="J8553"/>
      <c r="K8553"/>
      <c r="L8553"/>
    </row>
    <row r="8554" spans="8:12">
      <c r="H8554"/>
      <c r="I8554"/>
      <c r="J8554"/>
      <c r="K8554"/>
      <c r="L8554"/>
    </row>
    <row r="8555" spans="8:12">
      <c r="H8555"/>
      <c r="I8555"/>
      <c r="J8555"/>
      <c r="K8555"/>
      <c r="L8555"/>
    </row>
    <row r="8556" spans="8:12">
      <c r="H8556"/>
      <c r="I8556"/>
      <c r="J8556"/>
      <c r="K8556"/>
      <c r="L8556"/>
    </row>
    <row r="8557" spans="8:12">
      <c r="H8557"/>
      <c r="I8557"/>
      <c r="J8557"/>
      <c r="K8557"/>
      <c r="L8557"/>
    </row>
    <row r="8558" spans="8:12">
      <c r="H8558"/>
      <c r="I8558"/>
      <c r="J8558"/>
      <c r="K8558"/>
      <c r="L8558"/>
    </row>
    <row r="8559" spans="8:12">
      <c r="H8559"/>
      <c r="I8559"/>
      <c r="J8559"/>
      <c r="K8559"/>
      <c r="L8559"/>
    </row>
    <row r="8560" spans="8:12">
      <c r="H8560"/>
      <c r="I8560"/>
      <c r="J8560"/>
      <c r="K8560"/>
      <c r="L8560"/>
    </row>
    <row r="8561" spans="8:12">
      <c r="H8561"/>
      <c r="I8561"/>
      <c r="J8561"/>
      <c r="K8561"/>
      <c r="L8561"/>
    </row>
    <row r="8562" spans="8:12">
      <c r="H8562"/>
      <c r="I8562"/>
      <c r="J8562"/>
      <c r="K8562"/>
      <c r="L8562"/>
    </row>
    <row r="8563" spans="8:12">
      <c r="H8563"/>
      <c r="I8563"/>
      <c r="J8563"/>
      <c r="K8563"/>
      <c r="L8563"/>
    </row>
    <row r="8564" spans="8:12">
      <c r="H8564"/>
      <c r="I8564"/>
      <c r="J8564"/>
      <c r="K8564"/>
      <c r="L8564"/>
    </row>
    <row r="8565" spans="8:12">
      <c r="H8565"/>
      <c r="I8565"/>
      <c r="J8565"/>
      <c r="K8565"/>
      <c r="L8565"/>
    </row>
    <row r="8566" spans="8:12">
      <c r="H8566"/>
      <c r="I8566"/>
      <c r="J8566"/>
      <c r="K8566"/>
      <c r="L8566"/>
    </row>
    <row r="8567" spans="8:12">
      <c r="H8567"/>
      <c r="I8567"/>
      <c r="J8567"/>
      <c r="K8567"/>
      <c r="L8567"/>
    </row>
    <row r="8568" spans="8:12">
      <c r="H8568"/>
      <c r="I8568"/>
      <c r="J8568"/>
      <c r="K8568"/>
      <c r="L8568"/>
    </row>
    <row r="8569" spans="8:12">
      <c r="H8569"/>
      <c r="I8569"/>
      <c r="J8569"/>
      <c r="K8569"/>
      <c r="L8569"/>
    </row>
    <row r="8570" spans="8:12">
      <c r="H8570"/>
      <c r="I8570"/>
      <c r="J8570"/>
      <c r="K8570"/>
      <c r="L8570"/>
    </row>
    <row r="8571" spans="8:12">
      <c r="H8571"/>
      <c r="I8571"/>
      <c r="J8571"/>
      <c r="K8571"/>
      <c r="L8571"/>
    </row>
    <row r="8572" spans="8:12">
      <c r="H8572"/>
      <c r="I8572"/>
      <c r="J8572"/>
      <c r="K8572"/>
      <c r="L8572"/>
    </row>
    <row r="8573" spans="8:12">
      <c r="H8573"/>
      <c r="I8573"/>
      <c r="J8573"/>
      <c r="K8573"/>
      <c r="L8573"/>
    </row>
    <row r="8574" spans="8:12">
      <c r="H8574"/>
      <c r="I8574"/>
      <c r="J8574"/>
      <c r="K8574"/>
      <c r="L8574"/>
    </row>
    <row r="8575" spans="8:12">
      <c r="H8575"/>
      <c r="I8575"/>
      <c r="J8575"/>
      <c r="K8575"/>
      <c r="L8575"/>
    </row>
    <row r="8576" spans="8:12">
      <c r="H8576"/>
      <c r="I8576"/>
      <c r="J8576"/>
      <c r="K8576"/>
      <c r="L8576"/>
    </row>
    <row r="8577" spans="8:12">
      <c r="H8577"/>
      <c r="I8577"/>
      <c r="J8577"/>
      <c r="K8577"/>
      <c r="L8577"/>
    </row>
    <row r="8578" spans="8:12">
      <c r="H8578"/>
      <c r="I8578"/>
      <c r="J8578"/>
      <c r="K8578"/>
      <c r="L8578"/>
    </row>
    <row r="8579" spans="8:12">
      <c r="H8579"/>
      <c r="I8579"/>
      <c r="J8579"/>
      <c r="K8579"/>
      <c r="L8579"/>
    </row>
    <row r="8580" spans="8:12">
      <c r="H8580"/>
      <c r="I8580"/>
      <c r="J8580"/>
      <c r="K8580"/>
      <c r="L8580"/>
    </row>
    <row r="8581" spans="8:12">
      <c r="H8581"/>
      <c r="I8581"/>
      <c r="J8581"/>
      <c r="K8581"/>
      <c r="L8581"/>
    </row>
    <row r="8582" spans="8:12">
      <c r="H8582"/>
      <c r="I8582"/>
      <c r="J8582"/>
      <c r="K8582"/>
      <c r="L8582"/>
    </row>
    <row r="8583" spans="8:12">
      <c r="H8583"/>
      <c r="I8583"/>
      <c r="J8583"/>
      <c r="K8583"/>
      <c r="L8583"/>
    </row>
    <row r="8584" spans="8:12">
      <c r="H8584"/>
      <c r="I8584"/>
      <c r="J8584"/>
      <c r="K8584"/>
      <c r="L8584"/>
    </row>
    <row r="8585" spans="8:12">
      <c r="H8585"/>
      <c r="I8585"/>
      <c r="J8585"/>
      <c r="K8585"/>
      <c r="L8585"/>
    </row>
    <row r="8586" spans="8:12">
      <c r="H8586"/>
      <c r="I8586"/>
      <c r="J8586"/>
      <c r="K8586"/>
      <c r="L8586"/>
    </row>
    <row r="8587" spans="8:12">
      <c r="H8587"/>
      <c r="I8587"/>
      <c r="J8587"/>
      <c r="K8587"/>
      <c r="L8587"/>
    </row>
    <row r="8588" spans="8:12">
      <c r="H8588"/>
      <c r="I8588"/>
      <c r="J8588"/>
      <c r="K8588"/>
      <c r="L8588"/>
    </row>
    <row r="8589" spans="8:12">
      <c r="H8589"/>
      <c r="I8589"/>
      <c r="J8589"/>
      <c r="K8589"/>
      <c r="L8589"/>
    </row>
    <row r="8590" spans="8:12">
      <c r="H8590"/>
      <c r="I8590"/>
      <c r="J8590"/>
      <c r="K8590"/>
      <c r="L8590"/>
    </row>
    <row r="8591" spans="8:12">
      <c r="H8591"/>
      <c r="I8591"/>
      <c r="J8591"/>
      <c r="K8591"/>
      <c r="L8591"/>
    </row>
    <row r="8592" spans="8:12">
      <c r="H8592"/>
      <c r="I8592"/>
      <c r="J8592"/>
      <c r="K8592"/>
      <c r="L8592"/>
    </row>
    <row r="8593" spans="8:12">
      <c r="H8593"/>
      <c r="I8593"/>
      <c r="J8593"/>
      <c r="K8593"/>
      <c r="L8593"/>
    </row>
    <row r="8594" spans="8:12">
      <c r="H8594"/>
      <c r="I8594"/>
      <c r="J8594"/>
      <c r="K8594"/>
      <c r="L8594"/>
    </row>
    <row r="8595" spans="8:12">
      <c r="H8595"/>
      <c r="I8595"/>
      <c r="J8595"/>
      <c r="K8595"/>
      <c r="L8595"/>
    </row>
    <row r="8596" spans="8:12">
      <c r="H8596"/>
      <c r="I8596"/>
      <c r="J8596"/>
      <c r="K8596"/>
      <c r="L8596"/>
    </row>
    <row r="8597" spans="8:12">
      <c r="H8597"/>
      <c r="I8597"/>
      <c r="J8597"/>
      <c r="K8597"/>
      <c r="L8597"/>
    </row>
    <row r="8598" spans="8:12">
      <c r="H8598"/>
      <c r="I8598"/>
      <c r="J8598"/>
      <c r="K8598"/>
      <c r="L8598"/>
    </row>
    <row r="8599" spans="8:12">
      <c r="H8599"/>
      <c r="I8599"/>
      <c r="J8599"/>
      <c r="K8599"/>
      <c r="L8599"/>
    </row>
    <row r="8600" spans="8:12">
      <c r="H8600"/>
      <c r="I8600"/>
      <c r="J8600"/>
      <c r="K8600"/>
      <c r="L8600"/>
    </row>
    <row r="8601" spans="8:12">
      <c r="H8601"/>
      <c r="I8601"/>
      <c r="J8601"/>
      <c r="K8601"/>
      <c r="L8601"/>
    </row>
    <row r="8602" spans="8:12">
      <c r="H8602"/>
      <c r="I8602"/>
      <c r="J8602"/>
      <c r="K8602"/>
      <c r="L8602"/>
    </row>
    <row r="8603" spans="8:12">
      <c r="H8603"/>
      <c r="I8603"/>
      <c r="J8603"/>
      <c r="K8603"/>
      <c r="L8603"/>
    </row>
    <row r="8604" spans="8:12">
      <c r="H8604"/>
      <c r="I8604"/>
      <c r="J8604"/>
      <c r="K8604"/>
      <c r="L8604"/>
    </row>
    <row r="8605" spans="8:12">
      <c r="H8605"/>
      <c r="I8605"/>
      <c r="J8605"/>
      <c r="K8605"/>
      <c r="L8605"/>
    </row>
    <row r="8606" spans="8:12">
      <c r="H8606"/>
      <c r="I8606"/>
      <c r="J8606"/>
      <c r="K8606"/>
      <c r="L8606"/>
    </row>
    <row r="8607" spans="8:12">
      <c r="H8607"/>
      <c r="I8607"/>
      <c r="J8607"/>
      <c r="K8607"/>
      <c r="L8607"/>
    </row>
    <row r="8608" spans="8:12">
      <c r="H8608"/>
      <c r="I8608"/>
      <c r="J8608"/>
      <c r="K8608"/>
      <c r="L8608"/>
    </row>
    <row r="8609" spans="8:12">
      <c r="H8609"/>
      <c r="I8609"/>
      <c r="J8609"/>
      <c r="K8609"/>
      <c r="L8609"/>
    </row>
    <row r="8610" spans="8:12">
      <c r="H8610"/>
      <c r="I8610"/>
      <c r="J8610"/>
      <c r="K8610"/>
      <c r="L8610"/>
    </row>
    <row r="8611" spans="8:12">
      <c r="H8611"/>
      <c r="I8611"/>
      <c r="J8611"/>
      <c r="K8611"/>
      <c r="L8611"/>
    </row>
    <row r="8612" spans="8:12">
      <c r="H8612"/>
      <c r="I8612"/>
      <c r="J8612"/>
      <c r="K8612"/>
      <c r="L8612"/>
    </row>
    <row r="8613" spans="8:12">
      <c r="H8613"/>
      <c r="I8613"/>
      <c r="J8613"/>
      <c r="K8613"/>
      <c r="L8613"/>
    </row>
    <row r="8614" spans="8:12">
      <c r="H8614"/>
      <c r="I8614"/>
      <c r="J8614"/>
      <c r="K8614"/>
      <c r="L8614"/>
    </row>
    <row r="8615" spans="8:12">
      <c r="H8615"/>
      <c r="I8615"/>
      <c r="J8615"/>
      <c r="K8615"/>
      <c r="L8615"/>
    </row>
    <row r="8616" spans="8:12">
      <c r="H8616"/>
      <c r="I8616"/>
      <c r="J8616"/>
      <c r="K8616"/>
      <c r="L8616"/>
    </row>
    <row r="8617" spans="8:12">
      <c r="H8617"/>
      <c r="I8617"/>
      <c r="J8617"/>
      <c r="K8617"/>
      <c r="L8617"/>
    </row>
    <row r="8618" spans="8:12">
      <c r="H8618"/>
      <c r="I8618"/>
      <c r="J8618"/>
      <c r="K8618"/>
      <c r="L8618"/>
    </row>
    <row r="8619" spans="8:12">
      <c r="H8619"/>
      <c r="I8619"/>
      <c r="J8619"/>
      <c r="K8619"/>
      <c r="L8619"/>
    </row>
    <row r="8620" spans="8:12">
      <c r="H8620"/>
      <c r="I8620"/>
      <c r="J8620"/>
      <c r="K8620"/>
      <c r="L8620"/>
    </row>
    <row r="8621" spans="8:12">
      <c r="H8621"/>
      <c r="I8621"/>
      <c r="J8621"/>
      <c r="K8621"/>
      <c r="L8621"/>
    </row>
    <row r="8622" spans="8:12">
      <c r="H8622"/>
      <c r="I8622"/>
      <c r="J8622"/>
      <c r="K8622"/>
      <c r="L8622"/>
    </row>
    <row r="8623" spans="8:12">
      <c r="H8623"/>
      <c r="I8623"/>
      <c r="J8623"/>
      <c r="K8623"/>
      <c r="L8623"/>
    </row>
    <row r="8624" spans="8:12">
      <c r="H8624"/>
      <c r="I8624"/>
      <c r="J8624"/>
      <c r="K8624"/>
      <c r="L8624"/>
    </row>
    <row r="8625" spans="8:12">
      <c r="H8625"/>
      <c r="I8625"/>
      <c r="J8625"/>
      <c r="K8625"/>
      <c r="L8625"/>
    </row>
    <row r="8626" spans="8:12">
      <c r="H8626"/>
      <c r="I8626"/>
      <c r="J8626"/>
      <c r="K8626"/>
      <c r="L8626"/>
    </row>
    <row r="8627" spans="8:12">
      <c r="H8627"/>
      <c r="I8627"/>
      <c r="J8627"/>
      <c r="K8627"/>
      <c r="L8627"/>
    </row>
    <row r="8628" spans="8:12">
      <c r="H8628"/>
      <c r="I8628"/>
      <c r="J8628"/>
      <c r="K8628"/>
      <c r="L8628"/>
    </row>
    <row r="8629" spans="8:12">
      <c r="H8629"/>
      <c r="I8629"/>
      <c r="J8629"/>
      <c r="K8629"/>
      <c r="L8629"/>
    </row>
    <row r="8630" spans="8:12">
      <c r="H8630"/>
      <c r="I8630"/>
      <c r="J8630"/>
      <c r="K8630"/>
      <c r="L8630"/>
    </row>
    <row r="8631" spans="8:12">
      <c r="H8631"/>
      <c r="I8631"/>
      <c r="J8631"/>
      <c r="K8631"/>
      <c r="L8631"/>
    </row>
    <row r="8632" spans="8:12">
      <c r="H8632"/>
      <c r="I8632"/>
      <c r="J8632"/>
      <c r="K8632"/>
      <c r="L8632"/>
    </row>
    <row r="8633" spans="8:12">
      <c r="H8633"/>
      <c r="I8633"/>
      <c r="J8633"/>
      <c r="K8633"/>
      <c r="L8633"/>
    </row>
    <row r="8634" spans="8:12">
      <c r="H8634"/>
      <c r="I8634"/>
      <c r="J8634"/>
      <c r="K8634"/>
      <c r="L8634"/>
    </row>
    <row r="8635" spans="8:12">
      <c r="H8635"/>
      <c r="I8635"/>
      <c r="J8635"/>
      <c r="K8635"/>
      <c r="L8635"/>
    </row>
    <row r="8636" spans="8:12">
      <c r="H8636"/>
      <c r="I8636"/>
      <c r="J8636"/>
      <c r="K8636"/>
      <c r="L8636"/>
    </row>
    <row r="8637" spans="8:12">
      <c r="H8637"/>
      <c r="I8637"/>
      <c r="J8637"/>
      <c r="K8637"/>
      <c r="L8637"/>
    </row>
    <row r="8638" spans="8:12">
      <c r="H8638"/>
      <c r="I8638"/>
      <c r="J8638"/>
      <c r="K8638"/>
      <c r="L8638"/>
    </row>
    <row r="8639" spans="8:12">
      <c r="H8639"/>
      <c r="I8639"/>
      <c r="J8639"/>
      <c r="K8639"/>
      <c r="L8639"/>
    </row>
    <row r="8640" spans="8:12">
      <c r="H8640"/>
      <c r="I8640"/>
      <c r="J8640"/>
      <c r="K8640"/>
      <c r="L8640"/>
    </row>
    <row r="8641" spans="8:12">
      <c r="H8641"/>
      <c r="I8641"/>
      <c r="J8641"/>
      <c r="K8641"/>
      <c r="L8641"/>
    </row>
    <row r="8642" spans="8:12">
      <c r="H8642"/>
      <c r="I8642"/>
      <c r="J8642"/>
      <c r="K8642"/>
      <c r="L8642"/>
    </row>
    <row r="8643" spans="8:12">
      <c r="H8643"/>
      <c r="I8643"/>
      <c r="J8643"/>
      <c r="K8643"/>
      <c r="L8643"/>
    </row>
    <row r="8644" spans="8:12">
      <c r="H8644"/>
      <c r="I8644"/>
      <c r="J8644"/>
      <c r="K8644"/>
      <c r="L8644"/>
    </row>
    <row r="8645" spans="8:12">
      <c r="H8645"/>
      <c r="I8645"/>
      <c r="J8645"/>
      <c r="K8645"/>
      <c r="L8645"/>
    </row>
    <row r="8646" spans="8:12">
      <c r="H8646"/>
      <c r="I8646"/>
      <c r="J8646"/>
      <c r="K8646"/>
      <c r="L8646"/>
    </row>
    <row r="8647" spans="8:12">
      <c r="H8647"/>
      <c r="I8647"/>
      <c r="J8647"/>
      <c r="K8647"/>
      <c r="L8647"/>
    </row>
    <row r="8648" spans="8:12">
      <c r="H8648"/>
      <c r="I8648"/>
      <c r="J8648"/>
      <c r="K8648"/>
      <c r="L8648"/>
    </row>
    <row r="8649" spans="8:12">
      <c r="H8649"/>
      <c r="I8649"/>
      <c r="J8649"/>
      <c r="K8649"/>
      <c r="L8649"/>
    </row>
    <row r="8650" spans="8:12">
      <c r="H8650"/>
      <c r="I8650"/>
      <c r="J8650"/>
      <c r="K8650"/>
      <c r="L8650"/>
    </row>
    <row r="8651" spans="8:12">
      <c r="H8651"/>
      <c r="I8651"/>
      <c r="J8651"/>
      <c r="K8651"/>
      <c r="L8651"/>
    </row>
    <row r="8652" spans="8:12">
      <c r="H8652"/>
      <c r="I8652"/>
      <c r="J8652"/>
      <c r="K8652"/>
      <c r="L8652"/>
    </row>
    <row r="8653" spans="8:12">
      <c r="H8653"/>
      <c r="I8653"/>
      <c r="J8653"/>
      <c r="K8653"/>
      <c r="L8653"/>
    </row>
    <row r="8654" spans="8:12">
      <c r="H8654"/>
      <c r="I8654"/>
      <c r="J8654"/>
      <c r="K8654"/>
      <c r="L8654"/>
    </row>
    <row r="8655" spans="8:12">
      <c r="H8655"/>
      <c r="I8655"/>
      <c r="J8655"/>
      <c r="K8655"/>
      <c r="L8655"/>
    </row>
    <row r="8656" spans="8:12">
      <c r="H8656"/>
      <c r="I8656"/>
      <c r="J8656"/>
      <c r="K8656"/>
      <c r="L8656"/>
    </row>
    <row r="8657" spans="8:12">
      <c r="H8657"/>
      <c r="I8657"/>
      <c r="J8657"/>
      <c r="K8657"/>
      <c r="L8657"/>
    </row>
    <row r="8658" spans="8:12">
      <c r="H8658"/>
      <c r="I8658"/>
      <c r="J8658"/>
      <c r="K8658"/>
      <c r="L8658"/>
    </row>
    <row r="8659" spans="8:12">
      <c r="H8659"/>
      <c r="I8659"/>
      <c r="J8659"/>
      <c r="K8659"/>
      <c r="L8659"/>
    </row>
    <row r="8660" spans="8:12">
      <c r="H8660"/>
      <c r="I8660"/>
      <c r="J8660"/>
      <c r="K8660"/>
      <c r="L8660"/>
    </row>
    <row r="8661" spans="8:12">
      <c r="H8661"/>
      <c r="I8661"/>
      <c r="J8661"/>
      <c r="K8661"/>
      <c r="L8661"/>
    </row>
    <row r="8662" spans="8:12">
      <c r="H8662"/>
      <c r="I8662"/>
      <c r="J8662"/>
      <c r="K8662"/>
      <c r="L8662"/>
    </row>
    <row r="8663" spans="8:12">
      <c r="H8663"/>
      <c r="I8663"/>
      <c r="J8663"/>
      <c r="K8663"/>
      <c r="L8663"/>
    </row>
    <row r="8664" spans="8:12">
      <c r="H8664"/>
      <c r="I8664"/>
      <c r="J8664"/>
      <c r="K8664"/>
      <c r="L8664"/>
    </row>
    <row r="8665" spans="8:12">
      <c r="H8665"/>
      <c r="I8665"/>
      <c r="J8665"/>
      <c r="K8665"/>
      <c r="L8665"/>
    </row>
    <row r="8666" spans="8:12">
      <c r="H8666"/>
      <c r="I8666"/>
      <c r="J8666"/>
      <c r="K8666"/>
      <c r="L8666"/>
    </row>
    <row r="8667" spans="8:12">
      <c r="H8667"/>
      <c r="I8667"/>
      <c r="J8667"/>
      <c r="K8667"/>
      <c r="L8667"/>
    </row>
    <row r="8668" spans="8:12">
      <c r="H8668"/>
      <c r="I8668"/>
      <c r="J8668"/>
      <c r="K8668"/>
      <c r="L8668"/>
    </row>
    <row r="8669" spans="8:12">
      <c r="H8669"/>
      <c r="I8669"/>
      <c r="J8669"/>
      <c r="K8669"/>
      <c r="L8669"/>
    </row>
    <row r="8670" spans="8:12">
      <c r="H8670"/>
      <c r="I8670"/>
      <c r="J8670"/>
      <c r="K8670"/>
      <c r="L8670"/>
    </row>
    <row r="8671" spans="8:12">
      <c r="H8671"/>
      <c r="I8671"/>
      <c r="J8671"/>
      <c r="K8671"/>
      <c r="L8671"/>
    </row>
    <row r="8672" spans="8:12">
      <c r="H8672"/>
      <c r="I8672"/>
      <c r="J8672"/>
      <c r="K8672"/>
      <c r="L8672"/>
    </row>
    <row r="8673" spans="8:12">
      <c r="H8673"/>
      <c r="I8673"/>
      <c r="J8673"/>
      <c r="K8673"/>
      <c r="L8673"/>
    </row>
    <row r="8674" spans="8:12">
      <c r="H8674"/>
      <c r="I8674"/>
      <c r="J8674"/>
      <c r="K8674"/>
      <c r="L8674"/>
    </row>
    <row r="8675" spans="8:12">
      <c r="H8675"/>
      <c r="I8675"/>
      <c r="J8675"/>
      <c r="K8675"/>
      <c r="L8675"/>
    </row>
    <row r="8676" spans="8:12">
      <c r="H8676"/>
      <c r="I8676"/>
      <c r="J8676"/>
      <c r="K8676"/>
      <c r="L8676"/>
    </row>
    <row r="8677" spans="8:12">
      <c r="H8677"/>
      <c r="I8677"/>
      <c r="J8677"/>
      <c r="K8677"/>
      <c r="L8677"/>
    </row>
    <row r="8678" spans="8:12">
      <c r="H8678"/>
      <c r="I8678"/>
      <c r="J8678"/>
      <c r="K8678"/>
      <c r="L8678"/>
    </row>
    <row r="8679" spans="8:12">
      <c r="H8679"/>
      <c r="I8679"/>
      <c r="J8679"/>
      <c r="K8679"/>
      <c r="L8679"/>
    </row>
    <row r="8680" spans="8:12">
      <c r="H8680"/>
      <c r="I8680"/>
      <c r="J8680"/>
      <c r="K8680"/>
      <c r="L8680"/>
    </row>
    <row r="8681" spans="8:12">
      <c r="H8681"/>
      <c r="I8681"/>
      <c r="J8681"/>
      <c r="K8681"/>
      <c r="L8681"/>
    </row>
    <row r="8682" spans="8:12">
      <c r="H8682"/>
      <c r="I8682"/>
      <c r="J8682"/>
      <c r="K8682"/>
      <c r="L8682"/>
    </row>
    <row r="8683" spans="8:12">
      <c r="H8683"/>
      <c r="I8683"/>
      <c r="J8683"/>
      <c r="K8683"/>
      <c r="L8683"/>
    </row>
    <row r="8684" spans="8:12">
      <c r="H8684"/>
      <c r="I8684"/>
      <c r="J8684"/>
      <c r="K8684"/>
      <c r="L8684"/>
    </row>
    <row r="8685" spans="8:12">
      <c r="H8685"/>
      <c r="I8685"/>
      <c r="J8685"/>
      <c r="K8685"/>
      <c r="L8685"/>
    </row>
    <row r="8686" spans="8:12">
      <c r="H8686"/>
      <c r="I8686"/>
      <c r="J8686"/>
      <c r="K8686"/>
      <c r="L8686"/>
    </row>
    <row r="8687" spans="8:12">
      <c r="H8687"/>
      <c r="I8687"/>
      <c r="J8687"/>
      <c r="K8687"/>
      <c r="L8687"/>
    </row>
    <row r="8688" spans="8:12">
      <c r="H8688"/>
      <c r="I8688"/>
      <c r="J8688"/>
      <c r="K8688"/>
      <c r="L8688"/>
    </row>
    <row r="8689" spans="8:12">
      <c r="H8689"/>
      <c r="I8689"/>
      <c r="J8689"/>
      <c r="K8689"/>
      <c r="L8689"/>
    </row>
    <row r="8690" spans="8:12">
      <c r="H8690"/>
      <c r="I8690"/>
      <c r="J8690"/>
      <c r="K8690"/>
      <c r="L8690"/>
    </row>
    <row r="8691" spans="8:12">
      <c r="H8691"/>
      <c r="I8691"/>
      <c r="J8691"/>
      <c r="K8691"/>
      <c r="L8691"/>
    </row>
    <row r="8692" spans="8:12">
      <c r="H8692"/>
      <c r="I8692"/>
      <c r="J8692"/>
      <c r="K8692"/>
      <c r="L8692"/>
    </row>
    <row r="8693" spans="8:12">
      <c r="H8693"/>
      <c r="I8693"/>
      <c r="J8693"/>
      <c r="K8693"/>
      <c r="L8693"/>
    </row>
    <row r="8694" spans="8:12">
      <c r="H8694"/>
      <c r="I8694"/>
      <c r="J8694"/>
      <c r="K8694"/>
      <c r="L8694"/>
    </row>
    <row r="8695" spans="8:12">
      <c r="H8695"/>
      <c r="I8695"/>
      <c r="J8695"/>
      <c r="K8695"/>
      <c r="L8695"/>
    </row>
    <row r="8696" spans="8:12">
      <c r="H8696"/>
      <c r="I8696"/>
      <c r="J8696"/>
      <c r="K8696"/>
      <c r="L8696"/>
    </row>
    <row r="8697" spans="8:12">
      <c r="H8697"/>
      <c r="I8697"/>
      <c r="J8697"/>
      <c r="K8697"/>
      <c r="L8697"/>
    </row>
    <row r="8698" spans="8:12">
      <c r="H8698"/>
      <c r="I8698"/>
      <c r="J8698"/>
      <c r="K8698"/>
      <c r="L8698"/>
    </row>
    <row r="8699" spans="8:12">
      <c r="H8699"/>
      <c r="I8699"/>
      <c r="J8699"/>
      <c r="K8699"/>
      <c r="L8699"/>
    </row>
    <row r="8700" spans="8:12">
      <c r="H8700"/>
      <c r="I8700"/>
      <c r="J8700"/>
      <c r="K8700"/>
      <c r="L8700"/>
    </row>
    <row r="8701" spans="8:12">
      <c r="H8701"/>
      <c r="I8701"/>
      <c r="J8701"/>
      <c r="K8701"/>
      <c r="L8701"/>
    </row>
    <row r="8702" spans="8:12">
      <c r="H8702"/>
      <c r="I8702"/>
      <c r="J8702"/>
      <c r="K8702"/>
      <c r="L8702"/>
    </row>
    <row r="8703" spans="8:12">
      <c r="H8703"/>
      <c r="I8703"/>
      <c r="J8703"/>
      <c r="K8703"/>
      <c r="L8703"/>
    </row>
    <row r="8704" spans="8:12">
      <c r="H8704"/>
      <c r="I8704"/>
      <c r="J8704"/>
      <c r="K8704"/>
      <c r="L8704"/>
    </row>
    <row r="8705" spans="8:12">
      <c r="H8705"/>
      <c r="I8705"/>
      <c r="J8705"/>
      <c r="K8705"/>
      <c r="L8705"/>
    </row>
    <row r="8706" spans="8:12">
      <c r="H8706"/>
      <c r="I8706"/>
      <c r="J8706"/>
      <c r="K8706"/>
      <c r="L8706"/>
    </row>
    <row r="8707" spans="8:12">
      <c r="H8707"/>
      <c r="I8707"/>
      <c r="J8707"/>
      <c r="K8707"/>
      <c r="L8707"/>
    </row>
    <row r="8708" spans="8:12">
      <c r="H8708"/>
      <c r="I8708"/>
      <c r="J8708"/>
      <c r="K8708"/>
      <c r="L8708"/>
    </row>
    <row r="8709" spans="8:12">
      <c r="H8709"/>
      <c r="I8709"/>
      <c r="J8709"/>
      <c r="K8709"/>
      <c r="L8709"/>
    </row>
    <row r="8710" spans="8:12">
      <c r="H8710"/>
      <c r="I8710"/>
      <c r="J8710"/>
      <c r="K8710"/>
      <c r="L8710"/>
    </row>
    <row r="8711" spans="8:12">
      <c r="H8711"/>
      <c r="I8711"/>
      <c r="J8711"/>
      <c r="K8711"/>
      <c r="L8711"/>
    </row>
    <row r="8712" spans="8:12">
      <c r="H8712"/>
      <c r="I8712"/>
      <c r="J8712"/>
      <c r="K8712"/>
      <c r="L8712"/>
    </row>
    <row r="8713" spans="8:12">
      <c r="H8713"/>
      <c r="I8713"/>
      <c r="J8713"/>
      <c r="K8713"/>
      <c r="L8713"/>
    </row>
    <row r="8714" spans="8:12">
      <c r="H8714"/>
      <c r="I8714"/>
      <c r="J8714"/>
      <c r="K8714"/>
      <c r="L8714"/>
    </row>
    <row r="8715" spans="8:12">
      <c r="H8715"/>
      <c r="I8715"/>
      <c r="J8715"/>
      <c r="K8715"/>
      <c r="L8715"/>
    </row>
    <row r="8716" spans="8:12">
      <c r="H8716"/>
      <c r="I8716"/>
      <c r="J8716"/>
      <c r="K8716"/>
      <c r="L8716"/>
    </row>
    <row r="8717" spans="8:12">
      <c r="H8717"/>
      <c r="I8717"/>
      <c r="J8717"/>
      <c r="K8717"/>
      <c r="L8717"/>
    </row>
    <row r="8718" spans="8:12">
      <c r="H8718"/>
      <c r="I8718"/>
      <c r="J8718"/>
      <c r="K8718"/>
      <c r="L8718"/>
    </row>
    <row r="8719" spans="8:12">
      <c r="H8719"/>
      <c r="I8719"/>
      <c r="J8719"/>
      <c r="K8719"/>
      <c r="L8719"/>
    </row>
    <row r="8720" spans="8:12">
      <c r="H8720"/>
      <c r="I8720"/>
      <c r="J8720"/>
      <c r="K8720"/>
      <c r="L8720"/>
    </row>
    <row r="8721" spans="8:12">
      <c r="H8721"/>
      <c r="I8721"/>
      <c r="J8721"/>
      <c r="K8721"/>
      <c r="L8721"/>
    </row>
    <row r="8722" spans="8:12">
      <c r="H8722"/>
      <c r="I8722"/>
      <c r="J8722"/>
      <c r="K8722"/>
      <c r="L8722"/>
    </row>
    <row r="8723" spans="8:12">
      <c r="H8723"/>
      <c r="I8723"/>
      <c r="J8723"/>
      <c r="K8723"/>
      <c r="L8723"/>
    </row>
    <row r="8724" spans="8:12">
      <c r="H8724"/>
      <c r="I8724"/>
      <c r="J8724"/>
      <c r="K8724"/>
      <c r="L8724"/>
    </row>
    <row r="8725" spans="8:12">
      <c r="H8725"/>
      <c r="I8725"/>
      <c r="J8725"/>
      <c r="K8725"/>
      <c r="L8725"/>
    </row>
    <row r="8726" spans="8:12">
      <c r="H8726"/>
      <c r="I8726"/>
      <c r="J8726"/>
      <c r="K8726"/>
      <c r="L8726"/>
    </row>
    <row r="8727" spans="8:12">
      <c r="H8727"/>
      <c r="I8727"/>
      <c r="J8727"/>
      <c r="K8727"/>
      <c r="L8727"/>
    </row>
    <row r="8728" spans="8:12">
      <c r="H8728"/>
      <c r="I8728"/>
      <c r="J8728"/>
      <c r="K8728"/>
      <c r="L8728"/>
    </row>
    <row r="8729" spans="8:12">
      <c r="H8729"/>
      <c r="I8729"/>
      <c r="J8729"/>
      <c r="K8729"/>
      <c r="L8729"/>
    </row>
    <row r="8730" spans="8:12">
      <c r="H8730"/>
      <c r="I8730"/>
      <c r="J8730"/>
      <c r="K8730"/>
      <c r="L8730"/>
    </row>
    <row r="8731" spans="8:12">
      <c r="H8731"/>
      <c r="I8731"/>
      <c r="J8731"/>
      <c r="K8731"/>
      <c r="L8731"/>
    </row>
    <row r="8732" spans="8:12">
      <c r="H8732"/>
      <c r="I8732"/>
      <c r="J8732"/>
      <c r="K8732"/>
      <c r="L8732"/>
    </row>
    <row r="8733" spans="8:12">
      <c r="H8733"/>
      <c r="I8733"/>
      <c r="J8733"/>
      <c r="K8733"/>
      <c r="L8733"/>
    </row>
    <row r="8734" spans="8:12">
      <c r="H8734"/>
      <c r="I8734"/>
      <c r="J8734"/>
      <c r="K8734"/>
      <c r="L8734"/>
    </row>
    <row r="8735" spans="8:12">
      <c r="H8735"/>
      <c r="I8735"/>
      <c r="J8735"/>
      <c r="K8735"/>
      <c r="L8735"/>
    </row>
    <row r="8736" spans="8:12">
      <c r="H8736"/>
      <c r="I8736"/>
      <c r="J8736"/>
      <c r="K8736"/>
      <c r="L8736"/>
    </row>
    <row r="8737" spans="8:12">
      <c r="H8737"/>
      <c r="I8737"/>
      <c r="J8737"/>
      <c r="K8737"/>
      <c r="L8737"/>
    </row>
    <row r="8738" spans="8:12">
      <c r="H8738"/>
      <c r="I8738"/>
      <c r="J8738"/>
      <c r="K8738"/>
      <c r="L8738"/>
    </row>
    <row r="8739" spans="8:12">
      <c r="H8739"/>
      <c r="I8739"/>
      <c r="J8739"/>
      <c r="K8739"/>
      <c r="L8739"/>
    </row>
    <row r="8740" spans="8:12">
      <c r="H8740"/>
      <c r="I8740"/>
      <c r="J8740"/>
      <c r="K8740"/>
      <c r="L8740"/>
    </row>
    <row r="8741" spans="8:12">
      <c r="H8741"/>
      <c r="I8741"/>
      <c r="J8741"/>
      <c r="K8741"/>
      <c r="L8741"/>
    </row>
    <row r="8742" spans="8:12">
      <c r="H8742"/>
      <c r="I8742"/>
      <c r="J8742"/>
      <c r="K8742"/>
      <c r="L8742"/>
    </row>
    <row r="8743" spans="8:12">
      <c r="H8743"/>
      <c r="I8743"/>
      <c r="J8743"/>
      <c r="K8743"/>
      <c r="L8743"/>
    </row>
    <row r="8744" spans="8:12">
      <c r="H8744"/>
      <c r="I8744"/>
      <c r="J8744"/>
      <c r="K8744"/>
      <c r="L8744"/>
    </row>
    <row r="8745" spans="8:12">
      <c r="H8745"/>
      <c r="I8745"/>
      <c r="J8745"/>
      <c r="K8745"/>
      <c r="L8745"/>
    </row>
    <row r="8746" spans="8:12">
      <c r="H8746"/>
      <c r="I8746"/>
      <c r="J8746"/>
      <c r="K8746"/>
      <c r="L8746"/>
    </row>
    <row r="8747" spans="8:12">
      <c r="H8747"/>
      <c r="I8747"/>
      <c r="J8747"/>
      <c r="K8747"/>
      <c r="L8747"/>
    </row>
    <row r="8748" spans="8:12">
      <c r="H8748"/>
      <c r="I8748"/>
      <c r="J8748"/>
      <c r="K8748"/>
      <c r="L8748"/>
    </row>
    <row r="8749" spans="8:12">
      <c r="H8749"/>
      <c r="I8749"/>
      <c r="J8749"/>
      <c r="K8749"/>
      <c r="L8749"/>
    </row>
    <row r="8750" spans="8:12">
      <c r="H8750"/>
      <c r="I8750"/>
      <c r="J8750"/>
      <c r="K8750"/>
      <c r="L8750"/>
    </row>
    <row r="8751" spans="8:12">
      <c r="H8751"/>
      <c r="I8751"/>
      <c r="J8751"/>
      <c r="K8751"/>
      <c r="L8751"/>
    </row>
    <row r="8752" spans="8:12">
      <c r="H8752"/>
      <c r="I8752"/>
      <c r="J8752"/>
      <c r="K8752"/>
      <c r="L8752"/>
    </row>
    <row r="8753" spans="8:12">
      <c r="H8753"/>
      <c r="I8753"/>
      <c r="J8753"/>
      <c r="K8753"/>
      <c r="L8753"/>
    </row>
    <row r="8754" spans="8:12">
      <c r="H8754"/>
      <c r="I8754"/>
      <c r="J8754"/>
      <c r="K8754"/>
      <c r="L8754"/>
    </row>
    <row r="8755" spans="8:12">
      <c r="H8755"/>
      <c r="I8755"/>
      <c r="J8755"/>
      <c r="K8755"/>
      <c r="L8755"/>
    </row>
    <row r="8756" spans="8:12">
      <c r="H8756"/>
      <c r="I8756"/>
      <c r="J8756"/>
      <c r="K8756"/>
      <c r="L8756"/>
    </row>
    <row r="8757" spans="8:12">
      <c r="H8757"/>
      <c r="I8757"/>
      <c r="J8757"/>
      <c r="K8757"/>
      <c r="L8757"/>
    </row>
    <row r="8758" spans="8:12">
      <c r="H8758"/>
      <c r="I8758"/>
      <c r="J8758"/>
      <c r="K8758"/>
      <c r="L8758"/>
    </row>
    <row r="8759" spans="8:12">
      <c r="H8759"/>
      <c r="I8759"/>
      <c r="J8759"/>
      <c r="K8759"/>
      <c r="L8759"/>
    </row>
    <row r="8760" spans="8:12">
      <c r="H8760"/>
      <c r="I8760"/>
      <c r="J8760"/>
      <c r="K8760"/>
      <c r="L8760"/>
    </row>
    <row r="8761" spans="8:12">
      <c r="H8761"/>
      <c r="I8761"/>
      <c r="J8761"/>
      <c r="K8761"/>
      <c r="L8761"/>
    </row>
    <row r="8762" spans="8:12">
      <c r="H8762"/>
      <c r="I8762"/>
      <c r="J8762"/>
      <c r="K8762"/>
      <c r="L8762"/>
    </row>
    <row r="8763" spans="8:12">
      <c r="H8763"/>
      <c r="I8763"/>
      <c r="J8763"/>
      <c r="K8763"/>
      <c r="L8763"/>
    </row>
    <row r="8764" spans="8:12">
      <c r="H8764"/>
      <c r="I8764"/>
      <c r="J8764"/>
      <c r="K8764"/>
      <c r="L8764"/>
    </row>
    <row r="8765" spans="8:12">
      <c r="H8765"/>
      <c r="I8765"/>
      <c r="J8765"/>
      <c r="K8765"/>
      <c r="L8765"/>
    </row>
    <row r="8766" spans="8:12">
      <c r="H8766"/>
      <c r="I8766"/>
      <c r="J8766"/>
      <c r="K8766"/>
      <c r="L8766"/>
    </row>
    <row r="8767" spans="8:12">
      <c r="H8767"/>
      <c r="I8767"/>
      <c r="J8767"/>
      <c r="K8767"/>
      <c r="L8767"/>
    </row>
    <row r="8768" spans="8:12">
      <c r="H8768"/>
      <c r="I8768"/>
      <c r="J8768"/>
      <c r="K8768"/>
      <c r="L8768"/>
    </row>
    <row r="8769" spans="8:12">
      <c r="H8769"/>
      <c r="I8769"/>
      <c r="J8769"/>
      <c r="K8769"/>
      <c r="L8769"/>
    </row>
    <row r="8770" spans="8:12">
      <c r="H8770"/>
      <c r="I8770"/>
      <c r="J8770"/>
      <c r="K8770"/>
      <c r="L8770"/>
    </row>
    <row r="8771" spans="8:12">
      <c r="H8771"/>
      <c r="I8771"/>
      <c r="J8771"/>
      <c r="K8771"/>
      <c r="L8771"/>
    </row>
    <row r="8772" spans="8:12">
      <c r="H8772"/>
      <c r="I8772"/>
      <c r="J8772"/>
      <c r="K8772"/>
      <c r="L8772"/>
    </row>
    <row r="8773" spans="8:12">
      <c r="H8773"/>
      <c r="I8773"/>
      <c r="J8773"/>
      <c r="K8773"/>
      <c r="L8773"/>
    </row>
    <row r="8774" spans="8:12">
      <c r="H8774"/>
      <c r="I8774"/>
      <c r="J8774"/>
      <c r="K8774"/>
      <c r="L8774"/>
    </row>
    <row r="8775" spans="8:12">
      <c r="H8775"/>
      <c r="I8775"/>
      <c r="J8775"/>
      <c r="K8775"/>
      <c r="L8775"/>
    </row>
    <row r="8776" spans="8:12">
      <c r="H8776"/>
      <c r="I8776"/>
      <c r="J8776"/>
      <c r="K8776"/>
      <c r="L8776"/>
    </row>
    <row r="8777" spans="8:12">
      <c r="H8777"/>
      <c r="I8777"/>
      <c r="J8777"/>
      <c r="K8777"/>
      <c r="L8777"/>
    </row>
    <row r="8778" spans="8:12">
      <c r="H8778"/>
      <c r="I8778"/>
      <c r="J8778"/>
      <c r="K8778"/>
      <c r="L8778"/>
    </row>
    <row r="8779" spans="8:12">
      <c r="H8779"/>
      <c r="I8779"/>
      <c r="J8779"/>
      <c r="K8779"/>
      <c r="L8779"/>
    </row>
    <row r="8780" spans="8:12">
      <c r="H8780"/>
      <c r="I8780"/>
      <c r="J8780"/>
      <c r="K8780"/>
      <c r="L8780"/>
    </row>
    <row r="8781" spans="8:12">
      <c r="H8781"/>
      <c r="I8781"/>
      <c r="J8781"/>
      <c r="K8781"/>
      <c r="L8781"/>
    </row>
    <row r="8782" spans="8:12">
      <c r="H8782"/>
      <c r="I8782"/>
      <c r="J8782"/>
      <c r="K8782"/>
      <c r="L8782"/>
    </row>
    <row r="8783" spans="8:12">
      <c r="H8783"/>
      <c r="I8783"/>
      <c r="J8783"/>
      <c r="K8783"/>
      <c r="L8783"/>
    </row>
    <row r="8784" spans="8:12">
      <c r="H8784"/>
      <c r="I8784"/>
      <c r="J8784"/>
      <c r="K8784"/>
      <c r="L8784"/>
    </row>
    <row r="8785" spans="8:12">
      <c r="H8785"/>
      <c r="I8785"/>
      <c r="J8785"/>
      <c r="K8785"/>
      <c r="L8785"/>
    </row>
    <row r="8786" spans="8:12">
      <c r="H8786"/>
      <c r="I8786"/>
      <c r="J8786"/>
      <c r="K8786"/>
      <c r="L8786"/>
    </row>
    <row r="8787" spans="8:12">
      <c r="H8787"/>
      <c r="I8787"/>
      <c r="J8787"/>
      <c r="K8787"/>
      <c r="L8787"/>
    </row>
    <row r="8788" spans="8:12">
      <c r="H8788"/>
      <c r="I8788"/>
      <c r="J8788"/>
      <c r="K8788"/>
      <c r="L8788"/>
    </row>
    <row r="8789" spans="8:12">
      <c r="H8789"/>
      <c r="I8789"/>
      <c r="J8789"/>
      <c r="K8789"/>
      <c r="L8789"/>
    </row>
    <row r="8790" spans="8:12">
      <c r="H8790"/>
      <c r="I8790"/>
      <c r="J8790"/>
      <c r="K8790"/>
      <c r="L8790"/>
    </row>
    <row r="8791" spans="8:12">
      <c r="H8791"/>
      <c r="I8791"/>
      <c r="J8791"/>
      <c r="K8791"/>
      <c r="L8791"/>
    </row>
    <row r="8792" spans="8:12">
      <c r="H8792"/>
      <c r="I8792"/>
      <c r="J8792"/>
      <c r="K8792"/>
      <c r="L8792"/>
    </row>
    <row r="8793" spans="8:12">
      <c r="H8793"/>
      <c r="I8793"/>
      <c r="J8793"/>
      <c r="K8793"/>
      <c r="L8793"/>
    </row>
    <row r="8794" spans="8:12">
      <c r="H8794"/>
      <c r="I8794"/>
      <c r="J8794"/>
      <c r="K8794"/>
      <c r="L8794"/>
    </row>
    <row r="8795" spans="8:12">
      <c r="H8795"/>
      <c r="I8795"/>
      <c r="J8795"/>
      <c r="K8795"/>
      <c r="L8795"/>
    </row>
    <row r="8796" spans="8:12">
      <c r="H8796"/>
      <c r="I8796"/>
      <c r="J8796"/>
      <c r="K8796"/>
      <c r="L8796"/>
    </row>
    <row r="8797" spans="8:12">
      <c r="H8797"/>
      <c r="I8797"/>
      <c r="J8797"/>
      <c r="K8797"/>
      <c r="L8797"/>
    </row>
    <row r="8798" spans="8:12">
      <c r="H8798"/>
      <c r="I8798"/>
      <c r="J8798"/>
      <c r="K8798"/>
      <c r="L8798"/>
    </row>
    <row r="8799" spans="8:12">
      <c r="H8799"/>
      <c r="I8799"/>
      <c r="J8799"/>
      <c r="K8799"/>
      <c r="L8799"/>
    </row>
    <row r="8800" spans="8:12">
      <c r="H8800"/>
      <c r="I8800"/>
      <c r="J8800"/>
      <c r="K8800"/>
      <c r="L8800"/>
    </row>
    <row r="8801" spans="8:12">
      <c r="H8801"/>
      <c r="I8801"/>
      <c r="J8801"/>
      <c r="K8801"/>
      <c r="L8801"/>
    </row>
    <row r="8802" spans="8:12">
      <c r="H8802"/>
      <c r="I8802"/>
      <c r="J8802"/>
      <c r="K8802"/>
      <c r="L8802"/>
    </row>
    <row r="8803" spans="8:12">
      <c r="H8803"/>
      <c r="I8803"/>
      <c r="J8803"/>
      <c r="K8803"/>
      <c r="L8803"/>
    </row>
    <row r="8804" spans="8:12">
      <c r="H8804"/>
      <c r="I8804"/>
      <c r="J8804"/>
      <c r="K8804"/>
      <c r="L8804"/>
    </row>
    <row r="8805" spans="8:12">
      <c r="H8805"/>
      <c r="I8805"/>
      <c r="J8805"/>
      <c r="K8805"/>
      <c r="L8805"/>
    </row>
    <row r="8806" spans="8:12">
      <c r="H8806"/>
      <c r="I8806"/>
      <c r="J8806"/>
      <c r="K8806"/>
      <c r="L8806"/>
    </row>
    <row r="8807" spans="8:12">
      <c r="H8807"/>
      <c r="I8807"/>
      <c r="J8807"/>
      <c r="K8807"/>
      <c r="L8807"/>
    </row>
    <row r="8808" spans="8:12">
      <c r="H8808"/>
      <c r="I8808"/>
      <c r="J8808"/>
      <c r="K8808"/>
      <c r="L8808"/>
    </row>
    <row r="8809" spans="8:12">
      <c r="H8809"/>
      <c r="I8809"/>
      <c r="J8809"/>
      <c r="K8809"/>
      <c r="L8809"/>
    </row>
    <row r="8810" spans="8:12">
      <c r="H8810"/>
      <c r="I8810"/>
      <c r="J8810"/>
      <c r="K8810"/>
      <c r="L8810"/>
    </row>
    <row r="8811" spans="8:12">
      <c r="H8811"/>
      <c r="I8811"/>
      <c r="J8811"/>
      <c r="K8811"/>
      <c r="L8811"/>
    </row>
    <row r="8812" spans="8:12">
      <c r="H8812"/>
      <c r="I8812"/>
      <c r="J8812"/>
      <c r="K8812"/>
      <c r="L8812"/>
    </row>
    <row r="8813" spans="8:12">
      <c r="H8813"/>
      <c r="I8813"/>
      <c r="J8813"/>
      <c r="K8813"/>
      <c r="L8813"/>
    </row>
    <row r="8814" spans="8:12">
      <c r="H8814"/>
      <c r="I8814"/>
      <c r="J8814"/>
      <c r="K8814"/>
      <c r="L8814"/>
    </row>
    <row r="8815" spans="8:12">
      <c r="H8815"/>
      <c r="I8815"/>
      <c r="J8815"/>
      <c r="K8815"/>
      <c r="L8815"/>
    </row>
    <row r="8816" spans="8:12">
      <c r="H8816"/>
      <c r="I8816"/>
      <c r="J8816"/>
      <c r="K8816"/>
      <c r="L8816"/>
    </row>
    <row r="8817" spans="8:12">
      <c r="H8817"/>
      <c r="I8817"/>
      <c r="J8817"/>
      <c r="K8817"/>
      <c r="L8817"/>
    </row>
    <row r="8818" spans="8:12">
      <c r="H8818"/>
      <c r="I8818"/>
      <c r="J8818"/>
      <c r="K8818"/>
      <c r="L8818"/>
    </row>
    <row r="8819" spans="8:12">
      <c r="H8819"/>
      <c r="I8819"/>
      <c r="J8819"/>
      <c r="K8819"/>
      <c r="L8819"/>
    </row>
    <row r="8820" spans="8:12">
      <c r="H8820"/>
      <c r="I8820"/>
      <c r="J8820"/>
      <c r="K8820"/>
      <c r="L8820"/>
    </row>
    <row r="8821" spans="8:12">
      <c r="H8821"/>
      <c r="I8821"/>
      <c r="J8821"/>
      <c r="K8821"/>
      <c r="L8821"/>
    </row>
    <row r="8822" spans="8:12">
      <c r="H8822"/>
      <c r="I8822"/>
      <c r="J8822"/>
      <c r="K8822"/>
      <c r="L8822"/>
    </row>
    <row r="8823" spans="8:12">
      <c r="H8823"/>
      <c r="I8823"/>
      <c r="J8823"/>
      <c r="K8823"/>
      <c r="L8823"/>
    </row>
    <row r="8824" spans="8:12">
      <c r="H8824"/>
      <c r="I8824"/>
      <c r="J8824"/>
      <c r="K8824"/>
      <c r="L8824"/>
    </row>
    <row r="8825" spans="8:12">
      <c r="H8825"/>
      <c r="I8825"/>
      <c r="J8825"/>
      <c r="K8825"/>
      <c r="L8825"/>
    </row>
    <row r="8826" spans="8:12">
      <c r="H8826"/>
      <c r="I8826"/>
      <c r="J8826"/>
      <c r="K8826"/>
      <c r="L8826"/>
    </row>
    <row r="8827" spans="8:12">
      <c r="H8827"/>
      <c r="I8827"/>
      <c r="J8827"/>
      <c r="K8827"/>
      <c r="L8827"/>
    </row>
    <row r="8828" spans="8:12">
      <c r="H8828"/>
      <c r="I8828"/>
      <c r="J8828"/>
      <c r="K8828"/>
      <c r="L8828"/>
    </row>
    <row r="8829" spans="8:12">
      <c r="H8829"/>
      <c r="I8829"/>
      <c r="J8829"/>
      <c r="K8829"/>
      <c r="L8829"/>
    </row>
    <row r="8830" spans="8:12">
      <c r="H8830"/>
      <c r="I8830"/>
      <c r="J8830"/>
      <c r="K8830"/>
      <c r="L8830"/>
    </row>
    <row r="8831" spans="8:12">
      <c r="H8831"/>
      <c r="I8831"/>
      <c r="J8831"/>
      <c r="K8831"/>
      <c r="L8831"/>
    </row>
    <row r="8832" spans="8:12">
      <c r="H8832"/>
      <c r="I8832"/>
      <c r="J8832"/>
      <c r="K8832"/>
      <c r="L8832"/>
    </row>
    <row r="8833" spans="8:12">
      <c r="H8833"/>
      <c r="I8833"/>
      <c r="J8833"/>
      <c r="K8833"/>
      <c r="L8833"/>
    </row>
    <row r="8834" spans="8:12">
      <c r="H8834"/>
      <c r="I8834"/>
      <c r="J8834"/>
      <c r="K8834"/>
      <c r="L8834"/>
    </row>
    <row r="8835" spans="8:12">
      <c r="H8835"/>
      <c r="I8835"/>
      <c r="J8835"/>
      <c r="K8835"/>
      <c r="L8835"/>
    </row>
    <row r="8836" spans="8:12">
      <c r="H8836"/>
      <c r="I8836"/>
      <c r="J8836"/>
      <c r="K8836"/>
      <c r="L8836"/>
    </row>
    <row r="8837" spans="8:12">
      <c r="H8837"/>
      <c r="I8837"/>
      <c r="J8837"/>
      <c r="K8837"/>
      <c r="L8837"/>
    </row>
    <row r="8838" spans="8:12">
      <c r="H8838"/>
      <c r="I8838"/>
      <c r="J8838"/>
      <c r="K8838"/>
      <c r="L8838"/>
    </row>
    <row r="8839" spans="8:12">
      <c r="H8839"/>
      <c r="I8839"/>
      <c r="J8839"/>
      <c r="K8839"/>
      <c r="L8839"/>
    </row>
    <row r="8840" spans="8:12">
      <c r="H8840"/>
      <c r="I8840"/>
      <c r="J8840"/>
      <c r="K8840"/>
      <c r="L8840"/>
    </row>
    <row r="8841" spans="8:12">
      <c r="H8841"/>
      <c r="I8841"/>
      <c r="J8841"/>
      <c r="K8841"/>
      <c r="L8841"/>
    </row>
    <row r="8842" spans="8:12">
      <c r="H8842"/>
      <c r="I8842"/>
      <c r="J8842"/>
      <c r="K8842"/>
      <c r="L8842"/>
    </row>
    <row r="8843" spans="8:12">
      <c r="H8843"/>
      <c r="I8843"/>
      <c r="J8843"/>
      <c r="K8843"/>
      <c r="L8843"/>
    </row>
    <row r="8844" spans="8:12">
      <c r="H8844"/>
      <c r="I8844"/>
      <c r="J8844"/>
      <c r="K8844"/>
      <c r="L8844"/>
    </row>
    <row r="8845" spans="8:12">
      <c r="H8845"/>
      <c r="I8845"/>
      <c r="J8845"/>
      <c r="K8845"/>
      <c r="L8845"/>
    </row>
    <row r="8846" spans="8:12">
      <c r="H8846"/>
      <c r="I8846"/>
      <c r="J8846"/>
      <c r="K8846"/>
      <c r="L8846"/>
    </row>
    <row r="8847" spans="8:12">
      <c r="H8847"/>
      <c r="I8847"/>
      <c r="J8847"/>
      <c r="K8847"/>
      <c r="L8847"/>
    </row>
    <row r="8848" spans="8:12">
      <c r="H8848"/>
      <c r="I8848"/>
      <c r="J8848"/>
      <c r="K8848"/>
      <c r="L8848"/>
    </row>
    <row r="8849" spans="8:12">
      <c r="H8849"/>
      <c r="I8849"/>
      <c r="J8849"/>
      <c r="K8849"/>
      <c r="L8849"/>
    </row>
    <row r="8850" spans="8:12">
      <c r="H8850"/>
      <c r="I8850"/>
      <c r="J8850"/>
      <c r="K8850"/>
      <c r="L8850"/>
    </row>
    <row r="8851" spans="8:12">
      <c r="H8851"/>
      <c r="I8851"/>
      <c r="J8851"/>
      <c r="K8851"/>
      <c r="L8851"/>
    </row>
    <row r="8852" spans="8:12">
      <c r="H8852"/>
      <c r="I8852"/>
      <c r="J8852"/>
      <c r="K8852"/>
      <c r="L8852"/>
    </row>
    <row r="8853" spans="8:12">
      <c r="H8853"/>
      <c r="I8853"/>
      <c r="J8853"/>
      <c r="K8853"/>
      <c r="L8853"/>
    </row>
    <row r="8854" spans="8:12">
      <c r="H8854"/>
      <c r="I8854"/>
      <c r="J8854"/>
      <c r="K8854"/>
      <c r="L8854"/>
    </row>
    <row r="8855" spans="8:12">
      <c r="H8855"/>
      <c r="I8855"/>
      <c r="J8855"/>
      <c r="K8855"/>
      <c r="L8855"/>
    </row>
    <row r="8856" spans="8:12">
      <c r="H8856"/>
      <c r="I8856"/>
      <c r="J8856"/>
      <c r="K8856"/>
      <c r="L8856"/>
    </row>
    <row r="8857" spans="8:12">
      <c r="H8857"/>
      <c r="I8857"/>
      <c r="J8857"/>
      <c r="K8857"/>
      <c r="L8857"/>
    </row>
    <row r="8858" spans="8:12">
      <c r="H8858"/>
      <c r="I8858"/>
      <c r="J8858"/>
      <c r="K8858"/>
      <c r="L8858"/>
    </row>
    <row r="8859" spans="8:12">
      <c r="H8859"/>
      <c r="I8859"/>
      <c r="J8859"/>
      <c r="K8859"/>
      <c r="L8859"/>
    </row>
    <row r="8860" spans="8:12">
      <c r="H8860"/>
      <c r="I8860"/>
      <c r="J8860"/>
      <c r="K8860"/>
      <c r="L8860"/>
    </row>
    <row r="8861" spans="8:12">
      <c r="H8861"/>
      <c r="I8861"/>
      <c r="J8861"/>
      <c r="K8861"/>
      <c r="L8861"/>
    </row>
    <row r="8862" spans="8:12">
      <c r="H8862"/>
      <c r="I8862"/>
      <c r="J8862"/>
      <c r="K8862"/>
      <c r="L8862"/>
    </row>
    <row r="8863" spans="8:12">
      <c r="H8863"/>
      <c r="I8863"/>
      <c r="J8863"/>
      <c r="K8863"/>
      <c r="L8863"/>
    </row>
    <row r="8864" spans="8:12">
      <c r="H8864"/>
      <c r="I8864"/>
      <c r="J8864"/>
      <c r="K8864"/>
      <c r="L8864"/>
    </row>
    <row r="8865" spans="8:12">
      <c r="H8865"/>
      <c r="I8865"/>
      <c r="J8865"/>
      <c r="K8865"/>
      <c r="L8865"/>
    </row>
    <row r="8866" spans="8:12">
      <c r="H8866"/>
      <c r="I8866"/>
      <c r="J8866"/>
      <c r="K8866"/>
      <c r="L8866"/>
    </row>
    <row r="8867" spans="8:12">
      <c r="H8867"/>
      <c r="I8867"/>
      <c r="J8867"/>
      <c r="K8867"/>
      <c r="L8867"/>
    </row>
    <row r="8868" spans="8:12">
      <c r="H8868"/>
      <c r="I8868"/>
      <c r="J8868"/>
      <c r="K8868"/>
      <c r="L8868"/>
    </row>
    <row r="8869" spans="8:12">
      <c r="H8869"/>
      <c r="I8869"/>
      <c r="J8869"/>
      <c r="K8869"/>
      <c r="L8869"/>
    </row>
    <row r="8870" spans="8:12">
      <c r="H8870"/>
      <c r="I8870"/>
      <c r="J8870"/>
      <c r="K8870"/>
      <c r="L8870"/>
    </row>
    <row r="8871" spans="8:12">
      <c r="H8871"/>
      <c r="I8871"/>
      <c r="J8871"/>
      <c r="K8871"/>
      <c r="L8871"/>
    </row>
    <row r="8872" spans="8:12">
      <c r="H8872"/>
      <c r="I8872"/>
      <c r="J8872"/>
      <c r="K8872"/>
      <c r="L8872"/>
    </row>
    <row r="8873" spans="8:12">
      <c r="H8873"/>
      <c r="I8873"/>
      <c r="J8873"/>
      <c r="K8873"/>
      <c r="L8873"/>
    </row>
    <row r="8874" spans="8:12">
      <c r="H8874"/>
      <c r="I8874"/>
      <c r="J8874"/>
      <c r="K8874"/>
      <c r="L8874"/>
    </row>
    <row r="8875" spans="8:12">
      <c r="H8875"/>
      <c r="I8875"/>
      <c r="J8875"/>
      <c r="K8875"/>
      <c r="L8875"/>
    </row>
    <row r="8876" spans="8:12">
      <c r="H8876"/>
      <c r="I8876"/>
      <c r="J8876"/>
      <c r="K8876"/>
      <c r="L8876"/>
    </row>
    <row r="8877" spans="8:12">
      <c r="H8877"/>
      <c r="I8877"/>
      <c r="J8877"/>
      <c r="K8877"/>
      <c r="L8877"/>
    </row>
    <row r="8878" spans="8:12">
      <c r="H8878"/>
      <c r="I8878"/>
      <c r="J8878"/>
      <c r="K8878"/>
      <c r="L8878"/>
    </row>
    <row r="8879" spans="8:12">
      <c r="H8879"/>
      <c r="I8879"/>
      <c r="J8879"/>
      <c r="K8879"/>
      <c r="L8879"/>
    </row>
    <row r="8880" spans="8:12">
      <c r="H8880"/>
      <c r="I8880"/>
      <c r="J8880"/>
      <c r="K8880"/>
      <c r="L8880"/>
    </row>
    <row r="8881" spans="8:12">
      <c r="H8881"/>
      <c r="I8881"/>
      <c r="J8881"/>
      <c r="K8881"/>
      <c r="L8881"/>
    </row>
    <row r="8882" spans="8:12">
      <c r="H8882"/>
      <c r="I8882"/>
      <c r="J8882"/>
      <c r="K8882"/>
      <c r="L8882"/>
    </row>
    <row r="8883" spans="8:12">
      <c r="H8883"/>
      <c r="I8883"/>
      <c r="J8883"/>
      <c r="K8883"/>
      <c r="L8883"/>
    </row>
    <row r="8884" spans="8:12">
      <c r="H8884"/>
      <c r="I8884"/>
      <c r="J8884"/>
      <c r="K8884"/>
      <c r="L8884"/>
    </row>
    <row r="8885" spans="8:12">
      <c r="H8885"/>
      <c r="I8885"/>
      <c r="J8885"/>
      <c r="K8885"/>
      <c r="L8885"/>
    </row>
    <row r="8886" spans="8:12">
      <c r="H8886"/>
      <c r="I8886"/>
      <c r="J8886"/>
      <c r="K8886"/>
      <c r="L8886"/>
    </row>
    <row r="8887" spans="8:12">
      <c r="H8887"/>
      <c r="I8887"/>
      <c r="J8887"/>
      <c r="K8887"/>
      <c r="L8887"/>
    </row>
    <row r="8888" spans="8:12">
      <c r="H8888"/>
      <c r="I8888"/>
      <c r="J8888"/>
      <c r="K8888"/>
      <c r="L8888"/>
    </row>
    <row r="8889" spans="8:12">
      <c r="H8889"/>
      <c r="I8889"/>
      <c r="J8889"/>
      <c r="K8889"/>
      <c r="L8889"/>
    </row>
    <row r="8890" spans="8:12">
      <c r="H8890"/>
      <c r="I8890"/>
      <c r="J8890"/>
      <c r="K8890"/>
      <c r="L8890"/>
    </row>
    <row r="8891" spans="8:12">
      <c r="H8891"/>
      <c r="I8891"/>
      <c r="J8891"/>
      <c r="K8891"/>
      <c r="L8891"/>
    </row>
    <row r="8892" spans="8:12">
      <c r="H8892"/>
      <c r="I8892"/>
      <c r="J8892"/>
      <c r="K8892"/>
      <c r="L8892"/>
    </row>
    <row r="8893" spans="8:12">
      <c r="H8893"/>
      <c r="I8893"/>
      <c r="J8893"/>
      <c r="K8893"/>
      <c r="L8893"/>
    </row>
    <row r="8894" spans="8:12">
      <c r="H8894"/>
      <c r="I8894"/>
      <c r="J8894"/>
      <c r="K8894"/>
      <c r="L8894"/>
    </row>
    <row r="8895" spans="8:12">
      <c r="H8895"/>
      <c r="I8895"/>
      <c r="J8895"/>
      <c r="K8895"/>
      <c r="L8895"/>
    </row>
    <row r="8896" spans="8:12">
      <c r="H8896"/>
      <c r="I8896"/>
      <c r="J8896"/>
      <c r="K8896"/>
      <c r="L8896"/>
    </row>
    <row r="8897" spans="8:12">
      <c r="H8897"/>
      <c r="I8897"/>
      <c r="J8897"/>
      <c r="K8897"/>
      <c r="L8897"/>
    </row>
    <row r="8898" spans="8:12">
      <c r="H8898"/>
      <c r="I8898"/>
      <c r="J8898"/>
      <c r="K8898"/>
      <c r="L8898"/>
    </row>
    <row r="8899" spans="8:12">
      <c r="H8899"/>
      <c r="I8899"/>
      <c r="J8899"/>
      <c r="K8899"/>
      <c r="L8899"/>
    </row>
    <row r="8900" spans="8:12">
      <c r="H8900"/>
      <c r="I8900"/>
      <c r="J8900"/>
      <c r="K8900"/>
      <c r="L8900"/>
    </row>
    <row r="8901" spans="8:12">
      <c r="H8901"/>
      <c r="I8901"/>
      <c r="J8901"/>
      <c r="K8901"/>
      <c r="L8901"/>
    </row>
    <row r="8902" spans="8:12">
      <c r="H8902"/>
      <c r="I8902"/>
      <c r="J8902"/>
      <c r="K8902"/>
      <c r="L8902"/>
    </row>
    <row r="8903" spans="8:12">
      <c r="H8903"/>
      <c r="I8903"/>
      <c r="J8903"/>
      <c r="K8903"/>
      <c r="L8903"/>
    </row>
    <row r="8904" spans="8:12">
      <c r="H8904"/>
      <c r="I8904"/>
      <c r="J8904"/>
      <c r="K8904"/>
      <c r="L8904"/>
    </row>
    <row r="8905" spans="8:12">
      <c r="H8905"/>
      <c r="I8905"/>
      <c r="J8905"/>
      <c r="K8905"/>
      <c r="L8905"/>
    </row>
    <row r="8906" spans="8:12">
      <c r="H8906"/>
      <c r="I8906"/>
      <c r="J8906"/>
      <c r="K8906"/>
      <c r="L8906"/>
    </row>
    <row r="8907" spans="8:12">
      <c r="H8907"/>
      <c r="I8907"/>
      <c r="J8907"/>
      <c r="K8907"/>
      <c r="L8907"/>
    </row>
    <row r="8908" spans="8:12">
      <c r="H8908"/>
      <c r="I8908"/>
      <c r="J8908"/>
      <c r="K8908"/>
      <c r="L8908"/>
    </row>
    <row r="8909" spans="8:12">
      <c r="H8909"/>
      <c r="I8909"/>
      <c r="J8909"/>
      <c r="K8909"/>
      <c r="L8909"/>
    </row>
    <row r="8910" spans="8:12">
      <c r="H8910"/>
      <c r="I8910"/>
      <c r="J8910"/>
      <c r="K8910"/>
      <c r="L8910"/>
    </row>
    <row r="8911" spans="8:12">
      <c r="H8911"/>
      <c r="I8911"/>
      <c r="J8911"/>
      <c r="K8911"/>
      <c r="L8911"/>
    </row>
    <row r="8912" spans="8:12">
      <c r="H8912"/>
      <c r="I8912"/>
      <c r="J8912"/>
      <c r="K8912"/>
      <c r="L8912"/>
    </row>
    <row r="8913" spans="8:12">
      <c r="H8913"/>
      <c r="I8913"/>
      <c r="J8913"/>
      <c r="K8913"/>
      <c r="L8913"/>
    </row>
    <row r="8914" spans="8:12">
      <c r="H8914"/>
      <c r="I8914"/>
      <c r="J8914"/>
      <c r="K8914"/>
      <c r="L8914"/>
    </row>
    <row r="8915" spans="8:12">
      <c r="H8915"/>
      <c r="I8915"/>
      <c r="J8915"/>
      <c r="K8915"/>
      <c r="L8915"/>
    </row>
    <row r="8916" spans="8:12">
      <c r="H8916"/>
      <c r="I8916"/>
      <c r="J8916"/>
      <c r="K8916"/>
      <c r="L8916"/>
    </row>
    <row r="8917" spans="8:12">
      <c r="H8917"/>
      <c r="I8917"/>
      <c r="J8917"/>
      <c r="K8917"/>
      <c r="L8917"/>
    </row>
    <row r="8918" spans="8:12">
      <c r="H8918"/>
      <c r="I8918"/>
      <c r="J8918"/>
      <c r="K8918"/>
      <c r="L8918"/>
    </row>
    <row r="8919" spans="8:12">
      <c r="H8919"/>
      <c r="I8919"/>
      <c r="J8919"/>
      <c r="K8919"/>
      <c r="L8919"/>
    </row>
    <row r="8920" spans="8:12">
      <c r="H8920"/>
      <c r="I8920"/>
      <c r="J8920"/>
      <c r="K8920"/>
      <c r="L8920"/>
    </row>
    <row r="8921" spans="8:12">
      <c r="H8921"/>
      <c r="I8921"/>
      <c r="J8921"/>
      <c r="K8921"/>
      <c r="L8921"/>
    </row>
    <row r="8922" spans="8:12">
      <c r="H8922"/>
      <c r="I8922"/>
      <c r="J8922"/>
      <c r="K8922"/>
      <c r="L8922"/>
    </row>
    <row r="8923" spans="8:12">
      <c r="H8923"/>
      <c r="I8923"/>
      <c r="J8923"/>
      <c r="K8923"/>
      <c r="L8923"/>
    </row>
    <row r="8924" spans="8:12">
      <c r="H8924"/>
      <c r="I8924"/>
      <c r="J8924"/>
      <c r="K8924"/>
      <c r="L8924"/>
    </row>
    <row r="8925" spans="8:12">
      <c r="H8925"/>
      <c r="I8925"/>
      <c r="J8925"/>
      <c r="K8925"/>
      <c r="L8925"/>
    </row>
    <row r="8926" spans="8:12">
      <c r="H8926"/>
      <c r="I8926"/>
      <c r="J8926"/>
      <c r="K8926"/>
      <c r="L8926"/>
    </row>
    <row r="8927" spans="8:12">
      <c r="H8927"/>
      <c r="I8927"/>
      <c r="J8927"/>
      <c r="K8927"/>
      <c r="L8927"/>
    </row>
    <row r="8928" spans="8:12">
      <c r="H8928"/>
      <c r="I8928"/>
      <c r="J8928"/>
      <c r="K8928"/>
      <c r="L8928"/>
    </row>
    <row r="8929" spans="8:12">
      <c r="H8929"/>
      <c r="I8929"/>
      <c r="J8929"/>
      <c r="K8929"/>
      <c r="L8929"/>
    </row>
    <row r="8930" spans="8:12">
      <c r="H8930"/>
      <c r="I8930"/>
      <c r="J8930"/>
      <c r="K8930"/>
      <c r="L8930"/>
    </row>
    <row r="8931" spans="8:12">
      <c r="H8931"/>
      <c r="I8931"/>
      <c r="J8931"/>
      <c r="K8931"/>
      <c r="L8931"/>
    </row>
    <row r="8932" spans="8:12">
      <c r="H8932"/>
      <c r="I8932"/>
      <c r="J8932"/>
      <c r="K8932"/>
      <c r="L8932"/>
    </row>
    <row r="8933" spans="8:12">
      <c r="H8933"/>
      <c r="I8933"/>
      <c r="J8933"/>
      <c r="K8933"/>
      <c r="L8933"/>
    </row>
    <row r="8934" spans="8:12">
      <c r="H8934"/>
      <c r="I8934"/>
      <c r="J8934"/>
      <c r="K8934"/>
      <c r="L8934"/>
    </row>
    <row r="8935" spans="8:12">
      <c r="H8935"/>
      <c r="I8935"/>
      <c r="J8935"/>
      <c r="K8935"/>
      <c r="L8935"/>
    </row>
    <row r="8936" spans="8:12">
      <c r="H8936"/>
      <c r="I8936"/>
      <c r="J8936"/>
      <c r="K8936"/>
      <c r="L8936"/>
    </row>
    <row r="8937" spans="8:12">
      <c r="H8937"/>
      <c r="I8937"/>
      <c r="J8937"/>
      <c r="K8937"/>
      <c r="L8937"/>
    </row>
    <row r="8938" spans="8:12">
      <c r="H8938"/>
      <c r="I8938"/>
      <c r="J8938"/>
      <c r="K8938"/>
      <c r="L8938"/>
    </row>
    <row r="8939" spans="8:12">
      <c r="H8939"/>
      <c r="I8939"/>
      <c r="J8939"/>
      <c r="K8939"/>
      <c r="L8939"/>
    </row>
    <row r="8940" spans="8:12">
      <c r="H8940"/>
      <c r="I8940"/>
      <c r="J8940"/>
      <c r="K8940"/>
      <c r="L8940"/>
    </row>
    <row r="8941" spans="8:12">
      <c r="H8941"/>
      <c r="I8941"/>
      <c r="J8941"/>
      <c r="K8941"/>
      <c r="L8941"/>
    </row>
    <row r="8942" spans="8:12">
      <c r="H8942"/>
      <c r="I8942"/>
      <c r="J8942"/>
      <c r="K8942"/>
      <c r="L8942"/>
    </row>
    <row r="8943" spans="8:12">
      <c r="H8943"/>
      <c r="I8943"/>
      <c r="J8943"/>
      <c r="K8943"/>
      <c r="L8943"/>
    </row>
    <row r="8944" spans="8:12">
      <c r="H8944"/>
      <c r="I8944"/>
      <c r="J8944"/>
      <c r="K8944"/>
      <c r="L8944"/>
    </row>
    <row r="8945" spans="8:12">
      <c r="H8945"/>
      <c r="I8945"/>
      <c r="J8945"/>
      <c r="K8945"/>
      <c r="L8945"/>
    </row>
    <row r="8946" spans="8:12">
      <c r="H8946"/>
      <c r="I8946"/>
      <c r="J8946"/>
      <c r="K8946"/>
      <c r="L8946"/>
    </row>
    <row r="8947" spans="8:12">
      <c r="H8947"/>
      <c r="I8947"/>
      <c r="J8947"/>
      <c r="K8947"/>
      <c r="L8947"/>
    </row>
    <row r="8948" spans="8:12">
      <c r="H8948"/>
      <c r="I8948"/>
      <c r="J8948"/>
      <c r="K8948"/>
      <c r="L8948"/>
    </row>
    <row r="8949" spans="8:12">
      <c r="H8949"/>
      <c r="I8949"/>
      <c r="J8949"/>
      <c r="K8949"/>
      <c r="L8949"/>
    </row>
    <row r="8950" spans="8:12">
      <c r="H8950"/>
      <c r="I8950"/>
      <c r="J8950"/>
      <c r="K8950"/>
      <c r="L8950"/>
    </row>
    <row r="8951" spans="8:12">
      <c r="H8951"/>
      <c r="I8951"/>
      <c r="J8951"/>
      <c r="K8951"/>
      <c r="L8951"/>
    </row>
    <row r="8952" spans="8:12">
      <c r="H8952"/>
      <c r="I8952"/>
      <c r="J8952"/>
      <c r="K8952"/>
      <c r="L8952"/>
    </row>
    <row r="8953" spans="8:12">
      <c r="H8953"/>
      <c r="I8953"/>
      <c r="J8953"/>
      <c r="K8953"/>
      <c r="L8953"/>
    </row>
    <row r="8954" spans="8:12">
      <c r="H8954"/>
      <c r="I8954"/>
      <c r="J8954"/>
      <c r="K8954"/>
      <c r="L8954"/>
    </row>
    <row r="8955" spans="8:12">
      <c r="H8955"/>
      <c r="I8955"/>
      <c r="J8955"/>
      <c r="K8955"/>
      <c r="L8955"/>
    </row>
    <row r="8956" spans="8:12">
      <c r="H8956"/>
      <c r="I8956"/>
      <c r="J8956"/>
      <c r="K8956"/>
      <c r="L8956"/>
    </row>
    <row r="8957" spans="8:12">
      <c r="H8957"/>
      <c r="I8957"/>
      <c r="J8957"/>
      <c r="K8957"/>
      <c r="L8957"/>
    </row>
    <row r="8958" spans="8:12">
      <c r="H8958"/>
      <c r="I8958"/>
      <c r="J8958"/>
      <c r="K8958"/>
      <c r="L8958"/>
    </row>
    <row r="8959" spans="8:12">
      <c r="H8959"/>
      <c r="I8959"/>
      <c r="J8959"/>
      <c r="K8959"/>
      <c r="L8959"/>
    </row>
    <row r="8960" spans="8:12">
      <c r="H8960"/>
      <c r="I8960"/>
      <c r="J8960"/>
      <c r="K8960"/>
      <c r="L8960"/>
    </row>
    <row r="8961" spans="8:12">
      <c r="H8961"/>
      <c r="I8961"/>
      <c r="J8961"/>
      <c r="K8961"/>
      <c r="L8961"/>
    </row>
    <row r="8962" spans="8:12">
      <c r="H8962"/>
      <c r="I8962"/>
      <c r="J8962"/>
      <c r="K8962"/>
      <c r="L8962"/>
    </row>
    <row r="8963" spans="8:12">
      <c r="H8963"/>
      <c r="I8963"/>
      <c r="J8963"/>
      <c r="K8963"/>
      <c r="L8963"/>
    </row>
    <row r="8964" spans="8:12">
      <c r="H8964"/>
      <c r="I8964"/>
      <c r="J8964"/>
      <c r="K8964"/>
      <c r="L8964"/>
    </row>
    <row r="8965" spans="8:12">
      <c r="H8965"/>
      <c r="I8965"/>
      <c r="J8965"/>
      <c r="K8965"/>
      <c r="L8965"/>
    </row>
    <row r="8966" spans="8:12">
      <c r="H8966"/>
      <c r="I8966"/>
      <c r="J8966"/>
      <c r="K8966"/>
      <c r="L8966"/>
    </row>
    <row r="8967" spans="8:12">
      <c r="H8967"/>
      <c r="I8967"/>
      <c r="J8967"/>
      <c r="K8967"/>
      <c r="L8967"/>
    </row>
    <row r="8968" spans="8:12">
      <c r="H8968"/>
      <c r="I8968"/>
      <c r="J8968"/>
      <c r="K8968"/>
      <c r="L8968"/>
    </row>
    <row r="8969" spans="8:12">
      <c r="H8969"/>
      <c r="I8969"/>
      <c r="J8969"/>
      <c r="K8969"/>
      <c r="L8969"/>
    </row>
    <row r="8970" spans="8:12">
      <c r="H8970"/>
      <c r="I8970"/>
      <c r="J8970"/>
      <c r="K8970"/>
      <c r="L8970"/>
    </row>
    <row r="8971" spans="8:12">
      <c r="H8971"/>
      <c r="I8971"/>
      <c r="J8971"/>
      <c r="K8971"/>
      <c r="L8971"/>
    </row>
    <row r="8972" spans="8:12">
      <c r="H8972"/>
      <c r="I8972"/>
      <c r="J8972"/>
      <c r="K8972"/>
      <c r="L8972"/>
    </row>
    <row r="8973" spans="8:12">
      <c r="H8973"/>
      <c r="I8973"/>
      <c r="J8973"/>
      <c r="K8973"/>
      <c r="L8973"/>
    </row>
    <row r="8974" spans="8:12">
      <c r="H8974"/>
      <c r="I8974"/>
      <c r="J8974"/>
      <c r="K8974"/>
      <c r="L8974"/>
    </row>
    <row r="8975" spans="8:12">
      <c r="H8975"/>
      <c r="I8975"/>
      <c r="J8975"/>
      <c r="K8975"/>
      <c r="L8975"/>
    </row>
    <row r="8976" spans="8:12">
      <c r="H8976"/>
      <c r="I8976"/>
      <c r="J8976"/>
      <c r="K8976"/>
      <c r="L8976"/>
    </row>
    <row r="8977" spans="8:12">
      <c r="H8977"/>
      <c r="I8977"/>
      <c r="J8977"/>
      <c r="K8977"/>
      <c r="L8977"/>
    </row>
    <row r="8978" spans="8:12">
      <c r="H8978"/>
      <c r="I8978"/>
      <c r="J8978"/>
      <c r="K8978"/>
      <c r="L8978"/>
    </row>
    <row r="8979" spans="8:12">
      <c r="H8979"/>
      <c r="I8979"/>
      <c r="J8979"/>
      <c r="K8979"/>
      <c r="L8979"/>
    </row>
    <row r="8980" spans="8:12">
      <c r="H8980"/>
      <c r="I8980"/>
      <c r="J8980"/>
      <c r="K8980"/>
      <c r="L8980"/>
    </row>
    <row r="8981" spans="8:12">
      <c r="H8981"/>
      <c r="I8981"/>
      <c r="J8981"/>
      <c r="K8981"/>
      <c r="L8981"/>
    </row>
    <row r="8982" spans="8:12">
      <c r="H8982"/>
      <c r="I8982"/>
      <c r="J8982"/>
      <c r="K8982"/>
      <c r="L8982"/>
    </row>
    <row r="8983" spans="8:12">
      <c r="H8983"/>
      <c r="I8983"/>
      <c r="J8983"/>
      <c r="K8983"/>
      <c r="L8983"/>
    </row>
    <row r="8984" spans="8:12">
      <c r="H8984"/>
      <c r="I8984"/>
      <c r="J8984"/>
      <c r="K8984"/>
      <c r="L8984"/>
    </row>
    <row r="8985" spans="8:12">
      <c r="H8985"/>
      <c r="I8985"/>
      <c r="J8985"/>
      <c r="K8985"/>
      <c r="L8985"/>
    </row>
    <row r="8986" spans="8:12">
      <c r="H8986"/>
      <c r="I8986"/>
      <c r="J8986"/>
      <c r="K8986"/>
      <c r="L8986"/>
    </row>
    <row r="8987" spans="8:12">
      <c r="H8987"/>
      <c r="I8987"/>
      <c r="J8987"/>
      <c r="K8987"/>
      <c r="L8987"/>
    </row>
    <row r="8988" spans="8:12">
      <c r="H8988"/>
      <c r="I8988"/>
      <c r="J8988"/>
      <c r="K8988"/>
      <c r="L8988"/>
    </row>
    <row r="8989" spans="8:12">
      <c r="H8989"/>
      <c r="I8989"/>
      <c r="J8989"/>
      <c r="K8989"/>
      <c r="L8989"/>
    </row>
    <row r="8990" spans="8:12">
      <c r="H8990"/>
      <c r="I8990"/>
      <c r="J8990"/>
      <c r="K8990"/>
      <c r="L8990"/>
    </row>
    <row r="8991" spans="8:12">
      <c r="H8991"/>
      <c r="I8991"/>
      <c r="J8991"/>
      <c r="K8991"/>
      <c r="L8991"/>
    </row>
    <row r="8992" spans="8:12">
      <c r="H8992"/>
      <c r="I8992"/>
      <c r="J8992"/>
      <c r="K8992"/>
      <c r="L8992"/>
    </row>
    <row r="8993" spans="8:12">
      <c r="H8993"/>
      <c r="I8993"/>
      <c r="J8993"/>
      <c r="K8993"/>
      <c r="L8993"/>
    </row>
    <row r="8994" spans="8:12">
      <c r="H8994"/>
      <c r="I8994"/>
      <c r="J8994"/>
      <c r="K8994"/>
      <c r="L8994"/>
    </row>
    <row r="8995" spans="8:12">
      <c r="H8995"/>
      <c r="I8995"/>
      <c r="J8995"/>
      <c r="K8995"/>
      <c r="L8995"/>
    </row>
    <row r="8996" spans="8:12">
      <c r="H8996"/>
      <c r="I8996"/>
      <c r="J8996"/>
      <c r="K8996"/>
      <c r="L8996"/>
    </row>
    <row r="8997" spans="8:12">
      <c r="H8997"/>
      <c r="I8997"/>
      <c r="J8997"/>
      <c r="K8997"/>
      <c r="L8997"/>
    </row>
    <row r="8998" spans="8:12">
      <c r="H8998"/>
      <c r="I8998"/>
      <c r="J8998"/>
      <c r="K8998"/>
      <c r="L8998"/>
    </row>
    <row r="8999" spans="8:12">
      <c r="H8999"/>
      <c r="I8999"/>
      <c r="J8999"/>
      <c r="K8999"/>
      <c r="L8999"/>
    </row>
    <row r="9000" spans="8:12">
      <c r="H9000"/>
      <c r="I9000"/>
      <c r="J9000"/>
      <c r="K9000"/>
      <c r="L9000"/>
    </row>
    <row r="9001" spans="8:12">
      <c r="H9001"/>
      <c r="I9001"/>
      <c r="J9001"/>
      <c r="K9001"/>
      <c r="L9001"/>
    </row>
    <row r="9002" spans="8:12">
      <c r="H9002"/>
      <c r="I9002"/>
      <c r="J9002"/>
      <c r="K9002"/>
      <c r="L9002"/>
    </row>
    <row r="9003" spans="8:12">
      <c r="H9003"/>
      <c r="I9003"/>
      <c r="J9003"/>
      <c r="K9003"/>
      <c r="L9003"/>
    </row>
    <row r="9004" spans="8:12">
      <c r="H9004"/>
      <c r="I9004"/>
      <c r="J9004"/>
      <c r="K9004"/>
      <c r="L9004"/>
    </row>
    <row r="9005" spans="8:12">
      <c r="H9005"/>
      <c r="I9005"/>
      <c r="J9005"/>
      <c r="K9005"/>
      <c r="L9005"/>
    </row>
    <row r="9006" spans="8:12">
      <c r="H9006"/>
      <c r="I9006"/>
      <c r="J9006"/>
      <c r="K9006"/>
      <c r="L9006"/>
    </row>
    <row r="9007" spans="8:12">
      <c r="H9007"/>
      <c r="I9007"/>
      <c r="J9007"/>
      <c r="K9007"/>
      <c r="L9007"/>
    </row>
    <row r="9008" spans="8:12">
      <c r="H9008"/>
      <c r="I9008"/>
      <c r="J9008"/>
      <c r="K9008"/>
      <c r="L9008"/>
    </row>
    <row r="9009" spans="8:12">
      <c r="H9009"/>
      <c r="I9009"/>
      <c r="J9009"/>
      <c r="K9009"/>
      <c r="L9009"/>
    </row>
    <row r="9010" spans="8:12">
      <c r="H9010"/>
      <c r="I9010"/>
      <c r="J9010"/>
      <c r="K9010"/>
      <c r="L9010"/>
    </row>
    <row r="9011" spans="8:12">
      <c r="H9011"/>
      <c r="I9011"/>
      <c r="J9011"/>
      <c r="K9011"/>
      <c r="L9011"/>
    </row>
    <row r="9012" spans="8:12">
      <c r="H9012"/>
      <c r="I9012"/>
      <c r="J9012"/>
      <c r="K9012"/>
      <c r="L9012"/>
    </row>
    <row r="9013" spans="8:12">
      <c r="H9013"/>
      <c r="I9013"/>
      <c r="J9013"/>
      <c r="K9013"/>
      <c r="L9013"/>
    </row>
    <row r="9014" spans="8:12">
      <c r="H9014"/>
      <c r="I9014"/>
      <c r="J9014"/>
      <c r="K9014"/>
      <c r="L9014"/>
    </row>
    <row r="9015" spans="8:12">
      <c r="H9015"/>
      <c r="I9015"/>
      <c r="J9015"/>
      <c r="K9015"/>
      <c r="L9015"/>
    </row>
    <row r="9016" spans="8:12">
      <c r="H9016"/>
      <c r="I9016"/>
      <c r="J9016"/>
      <c r="K9016"/>
      <c r="L9016"/>
    </row>
    <row r="9017" spans="8:12">
      <c r="H9017"/>
      <c r="I9017"/>
      <c r="J9017"/>
      <c r="K9017"/>
      <c r="L9017"/>
    </row>
    <row r="9018" spans="8:12">
      <c r="H9018"/>
      <c r="I9018"/>
      <c r="J9018"/>
      <c r="K9018"/>
      <c r="L9018"/>
    </row>
    <row r="9019" spans="8:12">
      <c r="H9019"/>
      <c r="I9019"/>
      <c r="J9019"/>
      <c r="K9019"/>
      <c r="L9019"/>
    </row>
    <row r="9020" spans="8:12">
      <c r="H9020"/>
      <c r="I9020"/>
      <c r="J9020"/>
      <c r="K9020"/>
      <c r="L9020"/>
    </row>
    <row r="9021" spans="8:12">
      <c r="H9021"/>
      <c r="I9021"/>
      <c r="J9021"/>
      <c r="K9021"/>
      <c r="L9021"/>
    </row>
    <row r="9022" spans="8:12">
      <c r="H9022"/>
      <c r="I9022"/>
      <c r="J9022"/>
      <c r="K9022"/>
      <c r="L9022"/>
    </row>
    <row r="9023" spans="8:12">
      <c r="H9023"/>
      <c r="I9023"/>
      <c r="J9023"/>
      <c r="K9023"/>
      <c r="L9023"/>
    </row>
    <row r="9024" spans="8:12">
      <c r="H9024"/>
      <c r="I9024"/>
      <c r="J9024"/>
      <c r="K9024"/>
      <c r="L9024"/>
    </row>
    <row r="9025" spans="8:12">
      <c r="H9025"/>
      <c r="I9025"/>
      <c r="J9025"/>
      <c r="K9025"/>
      <c r="L9025"/>
    </row>
    <row r="9026" spans="8:12">
      <c r="H9026"/>
      <c r="I9026"/>
      <c r="J9026"/>
      <c r="K9026"/>
      <c r="L9026"/>
    </row>
    <row r="9027" spans="8:12">
      <c r="H9027"/>
      <c r="I9027"/>
      <c r="J9027"/>
      <c r="K9027"/>
      <c r="L9027"/>
    </row>
    <row r="9028" spans="8:12">
      <c r="H9028"/>
      <c r="I9028"/>
      <c r="J9028"/>
      <c r="K9028"/>
      <c r="L9028"/>
    </row>
    <row r="9029" spans="8:12">
      <c r="H9029"/>
      <c r="I9029"/>
      <c r="J9029"/>
      <c r="K9029"/>
      <c r="L9029"/>
    </row>
    <row r="9030" spans="8:12">
      <c r="H9030"/>
      <c r="I9030"/>
      <c r="J9030"/>
      <c r="K9030"/>
      <c r="L9030"/>
    </row>
    <row r="9031" spans="8:12">
      <c r="H9031"/>
      <c r="I9031"/>
      <c r="J9031"/>
      <c r="K9031"/>
      <c r="L9031"/>
    </row>
    <row r="9032" spans="8:12">
      <c r="H9032"/>
      <c r="I9032"/>
      <c r="J9032"/>
      <c r="K9032"/>
      <c r="L9032"/>
    </row>
    <row r="9033" spans="8:12">
      <c r="H9033"/>
      <c r="I9033"/>
      <c r="J9033"/>
      <c r="K9033"/>
      <c r="L9033"/>
    </row>
    <row r="9034" spans="8:12">
      <c r="H9034"/>
      <c r="I9034"/>
      <c r="J9034"/>
      <c r="K9034"/>
      <c r="L9034"/>
    </row>
    <row r="9035" spans="8:12">
      <c r="H9035"/>
      <c r="I9035"/>
      <c r="J9035"/>
      <c r="K9035"/>
      <c r="L9035"/>
    </row>
    <row r="9036" spans="8:12">
      <c r="H9036"/>
      <c r="I9036"/>
      <c r="J9036"/>
      <c r="K9036"/>
      <c r="L9036"/>
    </row>
    <row r="9037" spans="8:12">
      <c r="H9037"/>
      <c r="I9037"/>
      <c r="J9037"/>
      <c r="K9037"/>
      <c r="L9037"/>
    </row>
    <row r="9038" spans="8:12">
      <c r="H9038"/>
      <c r="I9038"/>
      <c r="J9038"/>
      <c r="K9038"/>
      <c r="L9038"/>
    </row>
    <row r="9039" spans="8:12">
      <c r="H9039"/>
      <c r="I9039"/>
      <c r="J9039"/>
      <c r="K9039"/>
      <c r="L9039"/>
    </row>
    <row r="9040" spans="8:12">
      <c r="H9040"/>
      <c r="I9040"/>
      <c r="J9040"/>
      <c r="K9040"/>
      <c r="L9040"/>
    </row>
    <row r="9041" spans="8:12">
      <c r="H9041"/>
      <c r="I9041"/>
      <c r="J9041"/>
      <c r="K9041"/>
      <c r="L9041"/>
    </row>
    <row r="9042" spans="8:12">
      <c r="H9042"/>
      <c r="I9042"/>
      <c r="J9042"/>
      <c r="K9042"/>
      <c r="L9042"/>
    </row>
    <row r="9043" spans="8:12">
      <c r="H9043"/>
      <c r="I9043"/>
      <c r="J9043"/>
      <c r="K9043"/>
      <c r="L9043"/>
    </row>
    <row r="9044" spans="8:12">
      <c r="H9044"/>
      <c r="I9044"/>
      <c r="J9044"/>
      <c r="K9044"/>
      <c r="L9044"/>
    </row>
    <row r="9045" spans="8:12">
      <c r="H9045"/>
      <c r="I9045"/>
      <c r="J9045"/>
      <c r="K9045"/>
      <c r="L9045"/>
    </row>
    <row r="9046" spans="8:12">
      <c r="H9046"/>
      <c r="I9046"/>
      <c r="J9046"/>
      <c r="K9046"/>
      <c r="L9046"/>
    </row>
    <row r="9047" spans="8:12">
      <c r="H9047"/>
      <c r="I9047"/>
      <c r="J9047"/>
      <c r="K9047"/>
      <c r="L9047"/>
    </row>
    <row r="9048" spans="8:12">
      <c r="H9048"/>
      <c r="I9048"/>
      <c r="J9048"/>
      <c r="K9048"/>
      <c r="L9048"/>
    </row>
    <row r="9049" spans="8:12">
      <c r="H9049"/>
      <c r="I9049"/>
      <c r="J9049"/>
      <c r="K9049"/>
      <c r="L9049"/>
    </row>
    <row r="9050" spans="8:12">
      <c r="H9050"/>
      <c r="I9050"/>
      <c r="J9050"/>
      <c r="K9050"/>
      <c r="L9050"/>
    </row>
    <row r="9051" spans="8:12">
      <c r="H9051"/>
      <c r="I9051"/>
      <c r="J9051"/>
      <c r="K9051"/>
      <c r="L9051"/>
    </row>
    <row r="9052" spans="8:12">
      <c r="H9052"/>
      <c r="I9052"/>
      <c r="J9052"/>
      <c r="K9052"/>
      <c r="L9052"/>
    </row>
    <row r="9053" spans="8:12">
      <c r="H9053"/>
      <c r="I9053"/>
      <c r="J9053"/>
      <c r="K9053"/>
      <c r="L9053"/>
    </row>
    <row r="9054" spans="8:12">
      <c r="H9054"/>
      <c r="I9054"/>
      <c r="J9054"/>
      <c r="K9054"/>
      <c r="L9054"/>
    </row>
    <row r="9055" spans="8:12">
      <c r="H9055"/>
      <c r="I9055"/>
      <c r="J9055"/>
      <c r="K9055"/>
      <c r="L9055"/>
    </row>
    <row r="9056" spans="8:12">
      <c r="H9056"/>
      <c r="I9056"/>
      <c r="J9056"/>
      <c r="K9056"/>
      <c r="L9056"/>
    </row>
    <row r="9057" spans="8:12">
      <c r="H9057"/>
      <c r="I9057"/>
      <c r="J9057"/>
      <c r="K9057"/>
      <c r="L9057"/>
    </row>
    <row r="9058" spans="8:12">
      <c r="H9058"/>
      <c r="I9058"/>
      <c r="J9058"/>
      <c r="K9058"/>
      <c r="L9058"/>
    </row>
    <row r="9059" spans="8:12">
      <c r="H9059"/>
      <c r="I9059"/>
      <c r="J9059"/>
      <c r="K9059"/>
      <c r="L9059"/>
    </row>
    <row r="9060" spans="8:12">
      <c r="H9060"/>
      <c r="I9060"/>
      <c r="J9060"/>
      <c r="K9060"/>
      <c r="L9060"/>
    </row>
    <row r="9061" spans="8:12">
      <c r="H9061"/>
      <c r="I9061"/>
      <c r="J9061"/>
      <c r="K9061"/>
      <c r="L9061"/>
    </row>
    <row r="9062" spans="8:12">
      <c r="H9062"/>
      <c r="I9062"/>
      <c r="J9062"/>
      <c r="K9062"/>
      <c r="L9062"/>
    </row>
    <row r="9063" spans="8:12">
      <c r="H9063"/>
      <c r="I9063"/>
      <c r="J9063"/>
      <c r="K9063"/>
      <c r="L9063"/>
    </row>
    <row r="9064" spans="8:12">
      <c r="H9064"/>
      <c r="I9064"/>
      <c r="J9064"/>
      <c r="K9064"/>
      <c r="L9064"/>
    </row>
    <row r="9065" spans="8:12">
      <c r="H9065"/>
      <c r="I9065"/>
      <c r="J9065"/>
      <c r="K9065"/>
      <c r="L9065"/>
    </row>
    <row r="9066" spans="8:12">
      <c r="H9066"/>
      <c r="I9066"/>
      <c r="J9066"/>
      <c r="K9066"/>
      <c r="L9066"/>
    </row>
    <row r="9067" spans="8:12">
      <c r="H9067"/>
      <c r="I9067"/>
      <c r="J9067"/>
      <c r="K9067"/>
      <c r="L9067"/>
    </row>
    <row r="9068" spans="8:12">
      <c r="H9068"/>
      <c r="I9068"/>
      <c r="J9068"/>
      <c r="K9068"/>
      <c r="L9068"/>
    </row>
    <row r="9069" spans="8:12">
      <c r="H9069"/>
      <c r="I9069"/>
      <c r="J9069"/>
      <c r="K9069"/>
      <c r="L9069"/>
    </row>
    <row r="9070" spans="8:12">
      <c r="H9070"/>
      <c r="I9070"/>
      <c r="J9070"/>
      <c r="K9070"/>
      <c r="L9070"/>
    </row>
    <row r="9071" spans="8:12"/>
    <row r="9072" spans="8:1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sheetData>
  <pageMargins left="0.70866141732283472" right="0.70866141732283472" top="0.74803149606299213" bottom="0.74803149606299213" header="0.31496062992125984" footer="0.31496062992125984"/>
  <pageSetup paperSize="9" scale="28" orientation="landscape" r:id="rId3"/>
  <headerFooter>
    <oddHeader>&amp;RPage &amp;P&amp;C&amp;A</oddHeader>
    <oddFooter>&amp;CPage &amp;P of &amp;N</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BF09F"/>
    <pageSetUpPr fitToPage="1"/>
  </sheetPr>
  <dimension ref="A1:T832"/>
  <sheetViews>
    <sheetView showGridLines="0" showRowColHeaders="0" topLeftCell="A5" zoomScale="90" zoomScaleNormal="90" workbookViewId="0">
      <pane ySplit="7" topLeftCell="A12" activePane="bottomLeft" state="frozen"/>
      <selection activeCell="A5" sqref="A5"/>
      <selection pane="bottomLeft" activeCell="A5" sqref="A5"/>
    </sheetView>
  </sheetViews>
  <sheetFormatPr defaultColWidth="0" defaultRowHeight="15" zeroHeight="1"/>
  <cols>
    <col min="1" max="1" width="3.54296875" style="23" customWidth="1"/>
    <col min="2" max="2" width="37" style="23" bestFit="1" customWidth="1"/>
    <col min="3" max="3" width="22.81640625" style="23" customWidth="1"/>
    <col min="4" max="4" width="18.36328125" style="23" customWidth="1"/>
    <col min="5" max="5" width="12.81640625" style="23" customWidth="1"/>
    <col min="6" max="9" width="7.1796875" style="23" customWidth="1"/>
    <col min="10" max="10" width="10.81640625" style="23" customWidth="1"/>
    <col min="11" max="11" width="14.6328125" style="23" customWidth="1"/>
    <col min="12" max="12" width="10.81640625" style="23" customWidth="1"/>
    <col min="13" max="13" width="2.36328125" style="23" customWidth="1"/>
    <col min="14" max="16384" width="8.90625" style="23" hidden="1"/>
  </cols>
  <sheetData>
    <row r="1" spans="2:20" hidden="1">
      <c r="F1" s="145"/>
      <c r="G1" s="145"/>
    </row>
    <row r="2" spans="2:20" hidden="1">
      <c r="F2" s="145"/>
      <c r="G2" s="145"/>
    </row>
    <row r="3" spans="2:20" hidden="1">
      <c r="F3" s="145"/>
      <c r="G3" s="145"/>
      <c r="Q3" s="71"/>
      <c r="R3" s="71"/>
      <c r="S3" s="71"/>
      <c r="T3" s="71"/>
    </row>
    <row r="4" spans="2:20" ht="9" hidden="1" customHeight="1">
      <c r="B4" s="133"/>
      <c r="C4" s="133"/>
      <c r="D4" s="133"/>
      <c r="E4" s="133"/>
      <c r="F4" s="167"/>
      <c r="G4" s="167"/>
      <c r="H4" s="133"/>
      <c r="I4" s="133"/>
      <c r="J4" s="167"/>
      <c r="K4" s="167"/>
      <c r="L4" s="133"/>
      <c r="R4" s="71"/>
      <c r="S4" s="71"/>
      <c r="T4" s="71"/>
    </row>
    <row r="5" spans="2:20">
      <c r="B5" s="133"/>
      <c r="C5" s="133"/>
      <c r="D5" s="133"/>
      <c r="E5" s="133"/>
      <c r="F5" s="167"/>
      <c r="G5" s="167"/>
      <c r="H5" s="133"/>
      <c r="I5" s="133"/>
      <c r="J5" s="167"/>
      <c r="K5" s="167"/>
      <c r="L5" s="133"/>
      <c r="R5" s="71"/>
      <c r="S5" s="71"/>
      <c r="T5" s="71"/>
    </row>
    <row r="6" spans="2:20">
      <c r="B6" s="133"/>
      <c r="C6" s="133"/>
      <c r="D6" s="133"/>
      <c r="E6" s="133"/>
      <c r="F6" s="167"/>
      <c r="G6" s="167"/>
      <c r="H6" s="133"/>
      <c r="I6" s="133"/>
      <c r="J6" s="167"/>
      <c r="K6" s="167"/>
      <c r="L6" s="133"/>
      <c r="R6" s="71"/>
    </row>
    <row r="7" spans="2:20">
      <c r="B7" s="133"/>
      <c r="C7" s="133"/>
      <c r="D7" s="133"/>
      <c r="E7" s="133"/>
      <c r="F7" s="167"/>
      <c r="G7" s="167"/>
      <c r="H7" s="133"/>
      <c r="I7" s="133"/>
      <c r="J7" s="167"/>
      <c r="K7" s="167"/>
      <c r="L7" s="133"/>
      <c r="R7" s="71"/>
    </row>
    <row r="8" spans="2:20">
      <c r="B8" s="133"/>
      <c r="C8" s="133"/>
      <c r="D8" s="133"/>
      <c r="E8" s="133"/>
      <c r="F8" s="167"/>
      <c r="G8" s="167"/>
      <c r="H8" s="133"/>
      <c r="I8" s="133"/>
      <c r="J8" s="167"/>
      <c r="K8" s="167"/>
      <c r="L8" s="133"/>
      <c r="R8" s="71"/>
    </row>
    <row r="9" spans="2:20">
      <c r="B9" s="133" t="s">
        <v>274</v>
      </c>
      <c r="C9" s="133"/>
      <c r="D9" s="133"/>
      <c r="E9" s="133"/>
      <c r="F9" s="167"/>
      <c r="G9" s="167"/>
      <c r="H9" s="133"/>
      <c r="I9" s="133"/>
      <c r="J9" s="167"/>
      <c r="K9" s="167"/>
      <c r="L9" s="133"/>
      <c r="R9" s="71"/>
    </row>
    <row r="10" spans="2:20">
      <c r="B10" s="133" t="s">
        <v>275</v>
      </c>
      <c r="C10" s="133"/>
      <c r="D10" s="133"/>
      <c r="E10" s="133"/>
      <c r="F10" s="167"/>
      <c r="G10" s="167"/>
      <c r="H10" s="133"/>
      <c r="I10" s="133"/>
      <c r="J10" s="167"/>
      <c r="K10" s="167"/>
      <c r="L10" s="133"/>
      <c r="R10" s="71"/>
    </row>
    <row r="11" spans="2:20" ht="9.75" customHeight="1">
      <c r="B11" s="133"/>
      <c r="C11" s="133"/>
      <c r="D11" s="133"/>
      <c r="E11" s="133"/>
      <c r="F11" s="167"/>
      <c r="G11" s="167"/>
      <c r="H11" s="133"/>
      <c r="I11" s="133"/>
      <c r="J11" s="167"/>
      <c r="K11" s="167"/>
      <c r="L11" s="133"/>
      <c r="R11" s="71"/>
    </row>
    <row r="12" spans="2:20">
      <c r="B12" s="133"/>
      <c r="C12" s="133"/>
      <c r="D12" s="133"/>
      <c r="E12" s="133"/>
      <c r="F12" s="167"/>
      <c r="G12" s="167"/>
      <c r="H12" s="133"/>
      <c r="I12" s="133"/>
      <c r="J12" s="167"/>
      <c r="K12" s="167"/>
      <c r="L12" s="133"/>
      <c r="R12" s="71"/>
    </row>
    <row r="13" spans="2:20" ht="8.25" customHeight="1"/>
    <row r="14" spans="2:20" ht="8.25" hidden="1" customHeight="1"/>
    <row r="15" spans="2:20" ht="8.25" hidden="1" customHeight="1"/>
    <row r="16" spans="2:20" ht="35.4">
      <c r="B16" s="185" t="s">
        <v>276</v>
      </c>
    </row>
    <row r="17" spans="2:5" ht="8.25" hidden="1" customHeight="1"/>
    <row r="18" spans="2:5" ht="8.25" hidden="1" customHeight="1"/>
    <row r="19" spans="2:5" ht="8.25" hidden="1" customHeight="1"/>
    <row r="20" spans="2:5" ht="8.25" hidden="1" customHeight="1"/>
    <row r="21" spans="2:5" hidden="1">
      <c r="B21" s="249" t="s">
        <v>0</v>
      </c>
      <c r="C21" s="250" t="s" vm="1">
        <v>2</v>
      </c>
    </row>
    <row r="22" spans="2:5" hidden="1">
      <c r="B22" s="249" t="s">
        <v>143</v>
      </c>
      <c r="C22" s="250" t="s" vm="959">
        <v>516</v>
      </c>
    </row>
    <row r="23" spans="2:5" hidden="1">
      <c r="B23" s="249" t="s">
        <v>3</v>
      </c>
      <c r="C23" s="250" t="s" vm="949">
        <v>405</v>
      </c>
    </row>
    <row r="24" spans="2:5" hidden="1">
      <c r="B24" s="249" t="s">
        <v>21</v>
      </c>
      <c r="C24" s="250" t="s" vm="941">
        <v>1</v>
      </c>
    </row>
    <row r="25" spans="2:5" ht="8.25" customHeight="1"/>
    <row r="26" spans="2:5" s="157" customFormat="1">
      <c r="B26" s="253" t="s">
        <v>112</v>
      </c>
      <c r="C26" s="271" t="s">
        <v>110</v>
      </c>
      <c r="D26" s="271" t="s">
        <v>6</v>
      </c>
      <c r="E26" s="271" t="s">
        <v>111</v>
      </c>
    </row>
    <row r="27" spans="2:5">
      <c r="B27" s="265" t="s">
        <v>1355</v>
      </c>
      <c r="C27" s="251">
        <v>1</v>
      </c>
      <c r="D27" s="251">
        <v>1</v>
      </c>
      <c r="E27" s="270">
        <v>6.9584580057059354E-5</v>
      </c>
    </row>
    <row r="28" spans="2:5">
      <c r="B28" s="265" t="s">
        <v>1356</v>
      </c>
      <c r="C28" s="251">
        <v>2</v>
      </c>
      <c r="D28" s="251">
        <v>1</v>
      </c>
      <c r="E28" s="270">
        <v>1.3916916011411871E-4</v>
      </c>
    </row>
    <row r="29" spans="2:5">
      <c r="B29" s="265" t="s">
        <v>1357</v>
      </c>
      <c r="C29" s="251">
        <v>59</v>
      </c>
      <c r="D29" s="251">
        <v>41</v>
      </c>
      <c r="E29" s="270">
        <v>4.1054902233665022E-3</v>
      </c>
    </row>
    <row r="30" spans="2:5">
      <c r="B30" s="265" t="s">
        <v>1358</v>
      </c>
      <c r="C30" s="251">
        <v>26</v>
      </c>
      <c r="D30" s="251">
        <v>15</v>
      </c>
      <c r="E30" s="270">
        <v>1.8091990814835433E-3</v>
      </c>
    </row>
    <row r="31" spans="2:5">
      <c r="B31" s="265" t="s">
        <v>1359</v>
      </c>
      <c r="C31" s="251">
        <v>1</v>
      </c>
      <c r="D31" s="251">
        <v>1</v>
      </c>
      <c r="E31" s="270">
        <v>6.9584580057059354E-5</v>
      </c>
    </row>
    <row r="32" spans="2:5">
      <c r="B32" s="265" t="s">
        <v>1360</v>
      </c>
      <c r="C32" s="251">
        <v>2</v>
      </c>
      <c r="D32" s="251">
        <v>1</v>
      </c>
      <c r="E32" s="270">
        <v>1.3916916011411871E-4</v>
      </c>
    </row>
    <row r="33" spans="2:5">
      <c r="B33" s="265" t="s">
        <v>1361</v>
      </c>
      <c r="C33" s="251">
        <v>1</v>
      </c>
      <c r="D33" s="251">
        <v>1</v>
      </c>
      <c r="E33" s="270">
        <v>6.9584580057059354E-5</v>
      </c>
    </row>
    <row r="34" spans="2:5">
      <c r="B34" s="265" t="s">
        <v>1362</v>
      </c>
      <c r="C34" s="251">
        <v>133</v>
      </c>
      <c r="D34" s="251">
        <v>73</v>
      </c>
      <c r="E34" s="270">
        <v>9.2547491475888938E-3</v>
      </c>
    </row>
    <row r="35" spans="2:5">
      <c r="B35" s="265" t="s">
        <v>1363</v>
      </c>
      <c r="C35" s="251">
        <v>2</v>
      </c>
      <c r="D35" s="251">
        <v>2</v>
      </c>
      <c r="E35" s="270">
        <v>1.3916916011411871E-4</v>
      </c>
    </row>
    <row r="36" spans="2:5">
      <c r="B36" s="265" t="s">
        <v>1364</v>
      </c>
      <c r="C36" s="251">
        <v>16</v>
      </c>
      <c r="D36" s="251">
        <v>1</v>
      </c>
      <c r="E36" s="270">
        <v>1.1133532809129497E-3</v>
      </c>
    </row>
    <row r="37" spans="2:5">
      <c r="B37" s="265" t="s">
        <v>1365</v>
      </c>
      <c r="C37" s="251">
        <v>33</v>
      </c>
      <c r="D37" s="251">
        <v>25</v>
      </c>
      <c r="E37" s="270">
        <v>2.2962911418829587E-3</v>
      </c>
    </row>
    <row r="38" spans="2:5">
      <c r="B38" s="265" t="s">
        <v>1366</v>
      </c>
      <c r="C38" s="251">
        <v>66</v>
      </c>
      <c r="D38" s="251">
        <v>48</v>
      </c>
      <c r="E38" s="270">
        <v>4.5925822837659174E-3</v>
      </c>
    </row>
    <row r="39" spans="2:5">
      <c r="B39" s="265" t="s">
        <v>1367</v>
      </c>
      <c r="C39" s="251">
        <v>4</v>
      </c>
      <c r="D39" s="251">
        <v>1</v>
      </c>
      <c r="E39" s="270">
        <v>2.7833832022823742E-4</v>
      </c>
    </row>
    <row r="40" spans="2:5">
      <c r="B40" s="265" t="s">
        <v>1368</v>
      </c>
      <c r="C40" s="251">
        <v>55</v>
      </c>
      <c r="D40" s="251">
        <v>39</v>
      </c>
      <c r="E40" s="270">
        <v>3.8271519031382647E-3</v>
      </c>
    </row>
    <row r="41" spans="2:5">
      <c r="B41" s="265" t="s">
        <v>1369</v>
      </c>
      <c r="C41" s="251">
        <v>44</v>
      </c>
      <c r="D41" s="251">
        <v>33</v>
      </c>
      <c r="E41" s="270">
        <v>3.0617215225106115E-3</v>
      </c>
    </row>
    <row r="42" spans="2:5">
      <c r="B42" s="265" t="s">
        <v>1370</v>
      </c>
      <c r="C42" s="251">
        <v>43</v>
      </c>
      <c r="D42" s="251">
        <v>36</v>
      </c>
      <c r="E42" s="270">
        <v>2.9921369424535521E-3</v>
      </c>
    </row>
    <row r="43" spans="2:5">
      <c r="B43" s="265" t="s">
        <v>505</v>
      </c>
      <c r="C43" s="251">
        <v>1</v>
      </c>
      <c r="D43" s="251">
        <v>1</v>
      </c>
      <c r="E43" s="270">
        <v>6.9584580057059354E-5</v>
      </c>
    </row>
    <row r="44" spans="2:5">
      <c r="B44" s="265" t="s">
        <v>1371</v>
      </c>
      <c r="C44" s="251">
        <v>8</v>
      </c>
      <c r="D44" s="251">
        <v>1</v>
      </c>
      <c r="E44" s="270">
        <v>5.5667664045647484E-4</v>
      </c>
    </row>
    <row r="45" spans="2:5">
      <c r="B45" s="265" t="s">
        <v>1372</v>
      </c>
      <c r="C45" s="251">
        <v>1</v>
      </c>
      <c r="D45" s="251">
        <v>1</v>
      </c>
      <c r="E45" s="270">
        <v>6.9584580057059354E-5</v>
      </c>
    </row>
    <row r="46" spans="2:5">
      <c r="B46" s="265" t="s">
        <v>1373</v>
      </c>
      <c r="C46" s="251">
        <v>1</v>
      </c>
      <c r="D46" s="251">
        <v>1</v>
      </c>
      <c r="E46" s="270">
        <v>6.9584580057059354E-5</v>
      </c>
    </row>
    <row r="47" spans="2:5">
      <c r="B47" s="265" t="s">
        <v>1374</v>
      </c>
      <c r="C47" s="251">
        <v>1</v>
      </c>
      <c r="D47" s="251">
        <v>1</v>
      </c>
      <c r="E47" s="270">
        <v>6.9584580057059354E-5</v>
      </c>
    </row>
    <row r="48" spans="2:5">
      <c r="B48" s="265" t="s">
        <v>1375</v>
      </c>
      <c r="C48" s="251">
        <v>1</v>
      </c>
      <c r="D48" s="251">
        <v>1</v>
      </c>
      <c r="E48" s="270">
        <v>6.9584580057059354E-5</v>
      </c>
    </row>
    <row r="49" spans="2:5">
      <c r="B49" s="265" t="s">
        <v>1376</v>
      </c>
      <c r="C49" s="251">
        <v>2</v>
      </c>
      <c r="D49" s="251">
        <v>1</v>
      </c>
      <c r="E49" s="270">
        <v>1.3916916011411871E-4</v>
      </c>
    </row>
    <row r="50" spans="2:5">
      <c r="B50" s="265" t="s">
        <v>1377</v>
      </c>
      <c r="C50" s="251">
        <v>5</v>
      </c>
      <c r="D50" s="251">
        <v>4</v>
      </c>
      <c r="E50" s="270">
        <v>3.479229002852968E-4</v>
      </c>
    </row>
    <row r="51" spans="2:5">
      <c r="B51" s="265" t="s">
        <v>1378</v>
      </c>
      <c r="C51" s="251">
        <v>2</v>
      </c>
      <c r="D51" s="251">
        <v>1</v>
      </c>
      <c r="E51" s="270">
        <v>1.3916916011411871E-4</v>
      </c>
    </row>
    <row r="52" spans="2:5">
      <c r="B52" s="265" t="s">
        <v>1379</v>
      </c>
      <c r="C52" s="251">
        <v>2</v>
      </c>
      <c r="D52" s="251">
        <v>1</v>
      </c>
      <c r="E52" s="270">
        <v>1.3916916011411871E-4</v>
      </c>
    </row>
    <row r="53" spans="2:5">
      <c r="B53" s="265" t="s">
        <v>1380</v>
      </c>
      <c r="C53" s="251">
        <v>3</v>
      </c>
      <c r="D53" s="251">
        <v>1</v>
      </c>
      <c r="E53" s="270">
        <v>2.0875374017117806E-4</v>
      </c>
    </row>
    <row r="54" spans="2:5">
      <c r="B54" s="265" t="s">
        <v>14</v>
      </c>
      <c r="C54" s="251">
        <v>1842</v>
      </c>
      <c r="D54" s="251">
        <v>101</v>
      </c>
      <c r="E54" s="270">
        <v>0.12817479646510332</v>
      </c>
    </row>
    <row r="55" spans="2:5">
      <c r="B55" s="265" t="s">
        <v>1381</v>
      </c>
      <c r="C55" s="251">
        <v>2</v>
      </c>
      <c r="D55" s="251">
        <v>1</v>
      </c>
      <c r="E55" s="270">
        <v>1.3916916011411871E-4</v>
      </c>
    </row>
    <row r="56" spans="2:5">
      <c r="B56" s="265" t="s">
        <v>1382</v>
      </c>
      <c r="C56" s="251">
        <v>1</v>
      </c>
      <c r="D56" s="251">
        <v>1</v>
      </c>
      <c r="E56" s="270">
        <v>6.9584580057059354E-5</v>
      </c>
    </row>
    <row r="57" spans="2:5">
      <c r="B57" s="265" t="s">
        <v>1383</v>
      </c>
      <c r="C57" s="251">
        <v>1</v>
      </c>
      <c r="D57" s="251">
        <v>1</v>
      </c>
      <c r="E57" s="270">
        <v>6.9584580057059354E-5</v>
      </c>
    </row>
    <row r="58" spans="2:5">
      <c r="B58" s="265" t="s">
        <v>1384</v>
      </c>
      <c r="C58" s="251">
        <v>1</v>
      </c>
      <c r="D58" s="251">
        <v>1</v>
      </c>
      <c r="E58" s="270">
        <v>6.9584580057059354E-5</v>
      </c>
    </row>
    <row r="59" spans="2:5">
      <c r="B59" s="265" t="s">
        <v>1385</v>
      </c>
      <c r="C59" s="251">
        <v>74</v>
      </c>
      <c r="D59" s="251">
        <v>58</v>
      </c>
      <c r="E59" s="270">
        <v>5.1492589242223925E-3</v>
      </c>
    </row>
    <row r="60" spans="2:5">
      <c r="B60" s="265" t="s">
        <v>1386</v>
      </c>
      <c r="C60" s="251">
        <v>1</v>
      </c>
      <c r="D60" s="251">
        <v>1</v>
      </c>
      <c r="E60" s="270">
        <v>6.9584580057059354E-5</v>
      </c>
    </row>
    <row r="61" spans="2:5">
      <c r="B61" s="265" t="s">
        <v>1387</v>
      </c>
      <c r="C61" s="251">
        <v>1</v>
      </c>
      <c r="D61" s="251">
        <v>1</v>
      </c>
      <c r="E61" s="270">
        <v>6.9584580057059354E-5</v>
      </c>
    </row>
    <row r="62" spans="2:5">
      <c r="B62" s="265" t="s">
        <v>1388</v>
      </c>
      <c r="C62" s="251">
        <v>81</v>
      </c>
      <c r="D62" s="251">
        <v>62</v>
      </c>
      <c r="E62" s="270">
        <v>5.6363509846218077E-3</v>
      </c>
    </row>
    <row r="63" spans="2:5">
      <c r="B63" s="265" t="s">
        <v>1389</v>
      </c>
      <c r="C63" s="251">
        <v>223</v>
      </c>
      <c r="D63" s="251">
        <v>121</v>
      </c>
      <c r="E63" s="270">
        <v>1.5517361352724236E-2</v>
      </c>
    </row>
    <row r="64" spans="2:5">
      <c r="B64" s="265" t="s">
        <v>1390</v>
      </c>
      <c r="C64" s="251">
        <v>3</v>
      </c>
      <c r="D64" s="251">
        <v>1</v>
      </c>
      <c r="E64" s="270">
        <v>2.0875374017117806E-4</v>
      </c>
    </row>
    <row r="65" spans="2:5">
      <c r="B65" s="265" t="s">
        <v>1391</v>
      </c>
      <c r="C65" s="251">
        <v>1</v>
      </c>
      <c r="D65" s="251">
        <v>1</v>
      </c>
      <c r="E65" s="270">
        <v>6.9584580057059354E-5</v>
      </c>
    </row>
    <row r="66" spans="2:5">
      <c r="B66" s="265" t="s">
        <v>1392</v>
      </c>
      <c r="C66" s="251">
        <v>61</v>
      </c>
      <c r="D66" s="251">
        <v>48</v>
      </c>
      <c r="E66" s="270">
        <v>4.244659383480621E-3</v>
      </c>
    </row>
    <row r="67" spans="2:5">
      <c r="B67" s="265" t="s">
        <v>506</v>
      </c>
      <c r="C67" s="251">
        <v>1</v>
      </c>
      <c r="D67" s="251">
        <v>1</v>
      </c>
      <c r="E67" s="270">
        <v>6.9584580057059354E-5</v>
      </c>
    </row>
    <row r="68" spans="2:5">
      <c r="B68" s="265" t="s">
        <v>1393</v>
      </c>
      <c r="C68" s="251">
        <v>1</v>
      </c>
      <c r="D68" s="251">
        <v>1</v>
      </c>
      <c r="E68" s="270">
        <v>6.9584580057059354E-5</v>
      </c>
    </row>
    <row r="69" spans="2:5">
      <c r="B69" s="265" t="s">
        <v>1394</v>
      </c>
      <c r="C69" s="251">
        <v>1</v>
      </c>
      <c r="D69" s="251">
        <v>1</v>
      </c>
      <c r="E69" s="270">
        <v>6.9584580057059354E-5</v>
      </c>
    </row>
    <row r="70" spans="2:5">
      <c r="B70" s="265" t="s">
        <v>1395</v>
      </c>
      <c r="C70" s="251">
        <v>1</v>
      </c>
      <c r="D70" s="251">
        <v>1</v>
      </c>
      <c r="E70" s="270">
        <v>6.9584580057059354E-5</v>
      </c>
    </row>
    <row r="71" spans="2:5">
      <c r="B71" s="265" t="s">
        <v>1396</v>
      </c>
      <c r="C71" s="251">
        <v>1</v>
      </c>
      <c r="D71" s="251">
        <v>1</v>
      </c>
      <c r="E71" s="270">
        <v>6.9584580057059354E-5</v>
      </c>
    </row>
    <row r="72" spans="2:5">
      <c r="B72" s="265" t="s">
        <v>1397</v>
      </c>
      <c r="C72" s="251">
        <v>1</v>
      </c>
      <c r="D72" s="251">
        <v>1</v>
      </c>
      <c r="E72" s="270">
        <v>6.9584580057059354E-5</v>
      </c>
    </row>
    <row r="73" spans="2:5">
      <c r="B73" s="265" t="s">
        <v>1398</v>
      </c>
      <c r="C73" s="251">
        <v>10</v>
      </c>
      <c r="D73" s="251">
        <v>1</v>
      </c>
      <c r="E73" s="270">
        <v>6.958458005705936E-4</v>
      </c>
    </row>
    <row r="74" spans="2:5">
      <c r="B74" s="265" t="s">
        <v>1399</v>
      </c>
      <c r="C74" s="251">
        <v>166</v>
      </c>
      <c r="D74" s="251">
        <v>101</v>
      </c>
      <c r="E74" s="270">
        <v>1.1551040289471853E-2</v>
      </c>
    </row>
    <row r="75" spans="2:5">
      <c r="B75" s="265" t="s">
        <v>1400</v>
      </c>
      <c r="C75" s="251">
        <v>4</v>
      </c>
      <c r="D75" s="251">
        <v>1</v>
      </c>
      <c r="E75" s="270">
        <v>2.7833832022823742E-4</v>
      </c>
    </row>
    <row r="76" spans="2:5">
      <c r="B76" s="265" t="s">
        <v>1401</v>
      </c>
      <c r="C76" s="251">
        <v>8374</v>
      </c>
      <c r="D76" s="251">
        <v>2061</v>
      </c>
      <c r="E76" s="270">
        <v>0.58270127339781508</v>
      </c>
    </row>
    <row r="77" spans="2:5">
      <c r="B77" s="265" t="s">
        <v>1402</v>
      </c>
      <c r="C77" s="251">
        <v>3004</v>
      </c>
      <c r="D77" s="251">
        <v>861</v>
      </c>
      <c r="E77" s="270">
        <v>0.20903207849140631</v>
      </c>
    </row>
    <row r="78" spans="2:5">
      <c r="B78" s="268" t="s">
        <v>34</v>
      </c>
      <c r="C78" s="266">
        <v>14371</v>
      </c>
      <c r="D78" s="266">
        <v>3747</v>
      </c>
      <c r="E78" s="272">
        <v>1</v>
      </c>
    </row>
    <row r="79" spans="2:5">
      <c r="B79"/>
      <c r="C79"/>
      <c r="D79"/>
      <c r="E79"/>
    </row>
    <row r="80" spans="2:5">
      <c r="B80"/>
      <c r="C80"/>
      <c r="D80"/>
      <c r="E80"/>
    </row>
    <row r="81" spans="2:5">
      <c r="B81"/>
      <c r="C81"/>
      <c r="D81"/>
      <c r="E81"/>
    </row>
    <row r="82" spans="2:5">
      <c r="B82"/>
      <c r="C82"/>
      <c r="D82"/>
      <c r="E82"/>
    </row>
    <row r="83" spans="2:5">
      <c r="B83"/>
      <c r="C83"/>
      <c r="D83"/>
      <c r="E83"/>
    </row>
    <row r="84" spans="2:5">
      <c r="B84"/>
      <c r="C84"/>
      <c r="D84"/>
      <c r="E84"/>
    </row>
    <row r="85" spans="2:5">
      <c r="B85"/>
      <c r="C85"/>
      <c r="D85"/>
      <c r="E85"/>
    </row>
    <row r="86" spans="2:5">
      <c r="B86"/>
      <c r="C86"/>
      <c r="D86"/>
      <c r="E86"/>
    </row>
    <row r="87" spans="2:5">
      <c r="B87"/>
      <c r="C87"/>
      <c r="D87"/>
      <c r="E87"/>
    </row>
    <row r="88" spans="2:5">
      <c r="B88"/>
      <c r="C88"/>
      <c r="D88"/>
      <c r="E88"/>
    </row>
    <row r="89" spans="2:5">
      <c r="B89"/>
      <c r="C89"/>
      <c r="D89"/>
      <c r="E89"/>
    </row>
    <row r="90" spans="2:5">
      <c r="B90"/>
      <c r="C90"/>
      <c r="D90"/>
      <c r="E90"/>
    </row>
    <row r="91" spans="2:5">
      <c r="B91"/>
      <c r="C91"/>
      <c r="D91"/>
      <c r="E91"/>
    </row>
    <row r="92" spans="2:5">
      <c r="B92"/>
      <c r="C92"/>
      <c r="D92"/>
      <c r="E92"/>
    </row>
    <row r="93" spans="2:5">
      <c r="B93"/>
      <c r="C93"/>
      <c r="D93"/>
      <c r="E93"/>
    </row>
    <row r="94" spans="2:5">
      <c r="B94"/>
      <c r="C94"/>
      <c r="D94"/>
      <c r="E94"/>
    </row>
    <row r="95" spans="2:5">
      <c r="B95"/>
      <c r="C95"/>
      <c r="D95"/>
      <c r="E95"/>
    </row>
    <row r="96" spans="2:5">
      <c r="B96"/>
      <c r="C96"/>
      <c r="D96"/>
      <c r="E96"/>
    </row>
    <row r="97" spans="2:5">
      <c r="B97"/>
      <c r="C97"/>
      <c r="D97"/>
      <c r="E97"/>
    </row>
    <row r="98" spans="2:5">
      <c r="B98"/>
      <c r="C98"/>
      <c r="D98"/>
      <c r="E98"/>
    </row>
    <row r="99" spans="2:5">
      <c r="B99"/>
      <c r="C99"/>
      <c r="D99"/>
      <c r="E99"/>
    </row>
    <row r="100" spans="2:5">
      <c r="B100"/>
      <c r="C100"/>
      <c r="D100"/>
      <c r="E100"/>
    </row>
    <row r="101" spans="2:5">
      <c r="B101"/>
      <c r="C101"/>
      <c r="D101"/>
      <c r="E101"/>
    </row>
    <row r="102" spans="2:5">
      <c r="B102"/>
      <c r="C102"/>
      <c r="D102"/>
      <c r="E102"/>
    </row>
    <row r="103" spans="2:5">
      <c r="B103"/>
      <c r="C103"/>
      <c r="D103"/>
      <c r="E103"/>
    </row>
    <row r="104" spans="2:5">
      <c r="B104"/>
      <c r="C104"/>
      <c r="D104"/>
      <c r="E104"/>
    </row>
    <row r="105" spans="2:5">
      <c r="B105"/>
      <c r="C105"/>
      <c r="D105"/>
      <c r="E105"/>
    </row>
    <row r="106" spans="2:5">
      <c r="B106"/>
      <c r="C106"/>
      <c r="D106"/>
      <c r="E106"/>
    </row>
    <row r="107" spans="2:5">
      <c r="B107"/>
      <c r="C107"/>
      <c r="D107"/>
      <c r="E107"/>
    </row>
    <row r="108" spans="2:5">
      <c r="B108"/>
      <c r="C108"/>
      <c r="D108"/>
      <c r="E108"/>
    </row>
    <row r="109" spans="2:5">
      <c r="B109"/>
      <c r="C109"/>
      <c r="D109"/>
      <c r="E109"/>
    </row>
    <row r="110" spans="2:5">
      <c r="B110"/>
      <c r="C110"/>
      <c r="D110"/>
      <c r="E110"/>
    </row>
    <row r="111" spans="2:5">
      <c r="B111"/>
      <c r="C111"/>
      <c r="D111"/>
      <c r="E111"/>
    </row>
    <row r="112" spans="2:5">
      <c r="B112"/>
      <c r="C112"/>
      <c r="D112"/>
      <c r="E112"/>
    </row>
    <row r="113" spans="2:5">
      <c r="B113"/>
      <c r="C113"/>
      <c r="D113"/>
      <c r="E113"/>
    </row>
    <row r="114" spans="2:5">
      <c r="B114"/>
      <c r="C114"/>
      <c r="D114"/>
      <c r="E114"/>
    </row>
    <row r="115" spans="2:5">
      <c r="B115"/>
      <c r="C115"/>
      <c r="D115"/>
      <c r="E115"/>
    </row>
    <row r="116" spans="2:5">
      <c r="B116"/>
      <c r="C116"/>
      <c r="D116"/>
      <c r="E116"/>
    </row>
    <row r="117" spans="2:5">
      <c r="B117"/>
      <c r="C117"/>
      <c r="D117"/>
      <c r="E117"/>
    </row>
    <row r="118" spans="2:5">
      <c r="B118"/>
      <c r="C118"/>
      <c r="D118"/>
      <c r="E118"/>
    </row>
    <row r="119" spans="2:5">
      <c r="B119"/>
      <c r="C119"/>
      <c r="D119"/>
      <c r="E119"/>
    </row>
    <row r="120" spans="2:5">
      <c r="B120"/>
      <c r="C120"/>
      <c r="D120"/>
      <c r="E120"/>
    </row>
    <row r="121" spans="2:5">
      <c r="B121"/>
      <c r="C121"/>
      <c r="D121"/>
      <c r="E121"/>
    </row>
    <row r="122" spans="2:5">
      <c r="B122"/>
      <c r="C122"/>
      <c r="D122"/>
      <c r="E122"/>
    </row>
    <row r="123" spans="2:5">
      <c r="B123"/>
      <c r="C123"/>
      <c r="D123"/>
      <c r="E123"/>
    </row>
    <row r="124" spans="2:5">
      <c r="B124"/>
      <c r="C124"/>
      <c r="D124"/>
      <c r="E124"/>
    </row>
    <row r="125" spans="2:5">
      <c r="B125"/>
      <c r="C125"/>
      <c r="D125"/>
      <c r="E125"/>
    </row>
    <row r="126" spans="2:5">
      <c r="B126"/>
      <c r="C126"/>
      <c r="D126"/>
      <c r="E126"/>
    </row>
    <row r="127" spans="2:5">
      <c r="B127"/>
      <c r="C127"/>
      <c r="D127"/>
      <c r="E127"/>
    </row>
    <row r="128" spans="2:5">
      <c r="B128"/>
      <c r="C128"/>
      <c r="D128"/>
      <c r="E128"/>
    </row>
    <row r="129" spans="2:5">
      <c r="B129"/>
      <c r="C129"/>
      <c r="D129"/>
      <c r="E129"/>
    </row>
    <row r="130" spans="2:5">
      <c r="B130"/>
      <c r="C130"/>
      <c r="D130"/>
      <c r="E130"/>
    </row>
    <row r="131" spans="2:5">
      <c r="B131"/>
      <c r="C131"/>
      <c r="D131"/>
      <c r="E131"/>
    </row>
    <row r="132" spans="2:5">
      <c r="B132"/>
      <c r="C132"/>
      <c r="D132"/>
      <c r="E132"/>
    </row>
    <row r="133" spans="2:5">
      <c r="B133"/>
      <c r="C133"/>
      <c r="D133"/>
      <c r="E133"/>
    </row>
    <row r="134" spans="2:5">
      <c r="B134"/>
      <c r="C134"/>
      <c r="D134"/>
      <c r="E134"/>
    </row>
    <row r="135" spans="2:5">
      <c r="B135"/>
      <c r="C135"/>
      <c r="D135"/>
      <c r="E135"/>
    </row>
    <row r="136" spans="2:5">
      <c r="B136"/>
      <c r="C136"/>
      <c r="D136"/>
      <c r="E136"/>
    </row>
    <row r="137" spans="2:5">
      <c r="B137"/>
      <c r="C137"/>
      <c r="D137"/>
      <c r="E137"/>
    </row>
    <row r="138" spans="2:5">
      <c r="B138"/>
      <c r="C138"/>
      <c r="D138"/>
      <c r="E138"/>
    </row>
    <row r="139" spans="2:5">
      <c r="B139"/>
      <c r="C139"/>
      <c r="D139"/>
      <c r="E139"/>
    </row>
    <row r="140" spans="2:5">
      <c r="B140"/>
      <c r="C140"/>
      <c r="D140"/>
      <c r="E140"/>
    </row>
    <row r="141" spans="2:5">
      <c r="B141"/>
      <c r="C141"/>
      <c r="D141"/>
      <c r="E141"/>
    </row>
    <row r="142" spans="2:5">
      <c r="B142"/>
      <c r="C142"/>
      <c r="D142"/>
      <c r="E142"/>
    </row>
    <row r="143" spans="2:5">
      <c r="B143"/>
      <c r="C143"/>
      <c r="D143"/>
      <c r="E143"/>
    </row>
    <row r="144" spans="2:5">
      <c r="B144"/>
      <c r="C144"/>
      <c r="D144"/>
      <c r="E144"/>
    </row>
    <row r="145" spans="2:5">
      <c r="B145"/>
      <c r="C145"/>
      <c r="D145"/>
      <c r="E145"/>
    </row>
    <row r="146" spans="2:5">
      <c r="B146"/>
      <c r="C146"/>
      <c r="D146"/>
      <c r="E146"/>
    </row>
    <row r="147" spans="2:5">
      <c r="B147"/>
      <c r="C147"/>
      <c r="D147"/>
      <c r="E147"/>
    </row>
    <row r="148" spans="2:5">
      <c r="B148"/>
      <c r="C148"/>
      <c r="D148"/>
      <c r="E148"/>
    </row>
    <row r="149" spans="2:5">
      <c r="B149"/>
      <c r="C149"/>
      <c r="D149"/>
      <c r="E149"/>
    </row>
    <row r="150" spans="2:5">
      <c r="B150"/>
      <c r="C150"/>
      <c r="D150"/>
      <c r="E150"/>
    </row>
    <row r="151" spans="2:5">
      <c r="B151"/>
      <c r="C151"/>
      <c r="D151"/>
      <c r="E151"/>
    </row>
    <row r="152" spans="2:5">
      <c r="B152"/>
      <c r="C152"/>
      <c r="D152"/>
      <c r="E152"/>
    </row>
    <row r="153" spans="2:5">
      <c r="B153"/>
      <c r="C153"/>
      <c r="D153"/>
      <c r="E153"/>
    </row>
    <row r="154" spans="2:5">
      <c r="B154"/>
      <c r="C154"/>
      <c r="D154"/>
      <c r="E154"/>
    </row>
    <row r="155" spans="2:5">
      <c r="B155"/>
      <c r="C155"/>
      <c r="D155"/>
      <c r="E155"/>
    </row>
    <row r="156" spans="2:5">
      <c r="B156"/>
      <c r="C156"/>
      <c r="D156"/>
      <c r="E156"/>
    </row>
    <row r="157" spans="2:5">
      <c r="B157"/>
      <c r="C157"/>
      <c r="D157"/>
      <c r="E157"/>
    </row>
    <row r="158" spans="2:5">
      <c r="B158"/>
      <c r="C158"/>
      <c r="D158"/>
      <c r="E158"/>
    </row>
    <row r="159" spans="2:5">
      <c r="B159"/>
      <c r="C159"/>
      <c r="D159"/>
      <c r="E159"/>
    </row>
    <row r="160" spans="2:5">
      <c r="B160"/>
      <c r="C160"/>
      <c r="D160"/>
      <c r="E160"/>
    </row>
    <row r="161" spans="2:5">
      <c r="B161"/>
      <c r="C161"/>
      <c r="D161"/>
      <c r="E161"/>
    </row>
    <row r="162" spans="2:5">
      <c r="B162"/>
      <c r="C162"/>
      <c r="D162"/>
      <c r="E162"/>
    </row>
    <row r="163" spans="2:5">
      <c r="B163"/>
      <c r="C163"/>
      <c r="D163"/>
      <c r="E163"/>
    </row>
    <row r="164" spans="2:5">
      <c r="B164"/>
      <c r="C164"/>
      <c r="D164"/>
      <c r="E164"/>
    </row>
    <row r="165" spans="2:5">
      <c r="B165"/>
      <c r="C165"/>
      <c r="D165"/>
      <c r="E165"/>
    </row>
    <row r="166" spans="2:5">
      <c r="B166"/>
      <c r="C166"/>
      <c r="D166"/>
      <c r="E166"/>
    </row>
    <row r="167" spans="2:5">
      <c r="B167"/>
      <c r="C167"/>
      <c r="D167"/>
      <c r="E167"/>
    </row>
    <row r="168" spans="2:5">
      <c r="B168"/>
      <c r="C168"/>
      <c r="D168"/>
      <c r="E168"/>
    </row>
    <row r="169" spans="2:5">
      <c r="B169"/>
      <c r="C169"/>
      <c r="D169"/>
      <c r="E169"/>
    </row>
    <row r="170" spans="2:5">
      <c r="B170"/>
      <c r="C170"/>
      <c r="D170"/>
      <c r="E170"/>
    </row>
    <row r="171" spans="2:5">
      <c r="B171"/>
      <c r="C171"/>
      <c r="D171"/>
      <c r="E171"/>
    </row>
    <row r="172" spans="2:5">
      <c r="B172"/>
      <c r="C172"/>
      <c r="D172"/>
      <c r="E172"/>
    </row>
    <row r="173" spans="2:5">
      <c r="B173"/>
      <c r="C173"/>
      <c r="D173"/>
      <c r="E173"/>
    </row>
    <row r="174" spans="2:5">
      <c r="B174"/>
      <c r="C174"/>
      <c r="D174"/>
      <c r="E174"/>
    </row>
    <row r="175" spans="2:5">
      <c r="B175"/>
      <c r="C175"/>
      <c r="D175"/>
      <c r="E175"/>
    </row>
    <row r="176" spans="2:5">
      <c r="B176"/>
      <c r="C176"/>
      <c r="D176"/>
      <c r="E176"/>
    </row>
    <row r="177" spans="2:5">
      <c r="B177"/>
      <c r="C177"/>
      <c r="D177"/>
      <c r="E177"/>
    </row>
    <row r="178" spans="2:5">
      <c r="B178"/>
      <c r="C178"/>
      <c r="D178"/>
      <c r="E178"/>
    </row>
    <row r="179" spans="2:5">
      <c r="B179"/>
      <c r="C179"/>
      <c r="D179"/>
      <c r="E179"/>
    </row>
    <row r="180" spans="2:5">
      <c r="B180"/>
      <c r="C180"/>
      <c r="D180"/>
      <c r="E180"/>
    </row>
    <row r="181" spans="2:5">
      <c r="B181"/>
      <c r="C181"/>
      <c r="D181"/>
      <c r="E181"/>
    </row>
    <row r="182" spans="2:5">
      <c r="B182"/>
      <c r="C182"/>
      <c r="D182"/>
      <c r="E182"/>
    </row>
    <row r="183" spans="2:5">
      <c r="B183"/>
      <c r="C183"/>
      <c r="D183"/>
      <c r="E183"/>
    </row>
    <row r="184" spans="2:5">
      <c r="B184"/>
      <c r="C184"/>
      <c r="D184"/>
      <c r="E184"/>
    </row>
    <row r="185" spans="2:5">
      <c r="B185"/>
      <c r="C185"/>
      <c r="D185"/>
      <c r="E185"/>
    </row>
    <row r="186" spans="2:5">
      <c r="B186"/>
      <c r="C186"/>
      <c r="D186"/>
      <c r="E186"/>
    </row>
    <row r="187" spans="2:5">
      <c r="B187"/>
      <c r="C187"/>
      <c r="D187"/>
      <c r="E187"/>
    </row>
    <row r="188" spans="2:5">
      <c r="B188"/>
      <c r="C188"/>
      <c r="D188"/>
      <c r="E188"/>
    </row>
    <row r="189" spans="2:5">
      <c r="B189"/>
      <c r="C189"/>
      <c r="D189"/>
      <c r="E189"/>
    </row>
    <row r="190" spans="2:5">
      <c r="B190"/>
      <c r="C190"/>
      <c r="D190"/>
      <c r="E190"/>
    </row>
    <row r="191" spans="2:5">
      <c r="B191"/>
      <c r="C191"/>
      <c r="D191"/>
      <c r="E191"/>
    </row>
    <row r="192" spans="2:5">
      <c r="B192"/>
      <c r="C192"/>
      <c r="D192"/>
      <c r="E192"/>
    </row>
    <row r="193" spans="2:5">
      <c r="B193"/>
      <c r="C193"/>
      <c r="D193"/>
      <c r="E193"/>
    </row>
    <row r="194" spans="2:5">
      <c r="B194"/>
      <c r="C194"/>
      <c r="D194"/>
      <c r="E194"/>
    </row>
    <row r="195" spans="2:5">
      <c r="B195"/>
      <c r="C195"/>
      <c r="D195"/>
      <c r="E195"/>
    </row>
    <row r="196" spans="2:5">
      <c r="B196"/>
      <c r="C196"/>
      <c r="D196"/>
      <c r="E196"/>
    </row>
    <row r="197" spans="2:5">
      <c r="B197"/>
      <c r="C197"/>
      <c r="D197"/>
      <c r="E197"/>
    </row>
    <row r="198" spans="2:5">
      <c r="B198"/>
      <c r="C198"/>
      <c r="D198"/>
      <c r="E198"/>
    </row>
    <row r="199" spans="2:5">
      <c r="B199"/>
      <c r="C199"/>
      <c r="D199"/>
      <c r="E199"/>
    </row>
    <row r="200" spans="2:5">
      <c r="B200"/>
      <c r="C200"/>
      <c r="D200"/>
      <c r="E200"/>
    </row>
    <row r="201" spans="2:5">
      <c r="B201"/>
      <c r="C201"/>
      <c r="D201"/>
      <c r="E201"/>
    </row>
    <row r="202" spans="2:5">
      <c r="B202"/>
      <c r="C202"/>
      <c r="D202"/>
      <c r="E202"/>
    </row>
    <row r="203" spans="2:5">
      <c r="B203"/>
      <c r="C203"/>
      <c r="D203"/>
      <c r="E203"/>
    </row>
    <row r="204" spans="2:5">
      <c r="B204"/>
      <c r="C204"/>
      <c r="D204"/>
      <c r="E204"/>
    </row>
    <row r="205" spans="2:5">
      <c r="B205"/>
      <c r="C205"/>
      <c r="D205"/>
      <c r="E205"/>
    </row>
    <row r="206" spans="2:5">
      <c r="B206"/>
      <c r="C206"/>
      <c r="D206"/>
      <c r="E206"/>
    </row>
    <row r="207" spans="2:5">
      <c r="B207"/>
      <c r="C207"/>
      <c r="D207"/>
      <c r="E207"/>
    </row>
    <row r="208" spans="2:5">
      <c r="B208"/>
      <c r="C208"/>
      <c r="D208"/>
      <c r="E208"/>
    </row>
    <row r="209" spans="2:5">
      <c r="B209"/>
      <c r="C209"/>
      <c r="D209"/>
      <c r="E209"/>
    </row>
    <row r="210" spans="2:5">
      <c r="B210"/>
      <c r="C210"/>
      <c r="D210"/>
      <c r="E210"/>
    </row>
    <row r="211" spans="2:5">
      <c r="B211"/>
      <c r="C211"/>
      <c r="D211"/>
      <c r="E211"/>
    </row>
    <row r="212" spans="2:5">
      <c r="B212"/>
      <c r="C212"/>
      <c r="D212"/>
      <c r="E212"/>
    </row>
    <row r="213" spans="2:5">
      <c r="B213"/>
      <c r="C213"/>
      <c r="D213"/>
      <c r="E213"/>
    </row>
    <row r="214" spans="2:5">
      <c r="B214"/>
      <c r="C214"/>
      <c r="D214"/>
      <c r="E214"/>
    </row>
    <row r="215" spans="2:5">
      <c r="B215"/>
      <c r="C215"/>
      <c r="D215"/>
      <c r="E215"/>
    </row>
    <row r="216" spans="2:5">
      <c r="B216"/>
      <c r="C216"/>
      <c r="D216"/>
      <c r="E216"/>
    </row>
    <row r="217" spans="2:5">
      <c r="B217"/>
      <c r="C217"/>
      <c r="D217"/>
      <c r="E217"/>
    </row>
    <row r="218" spans="2:5">
      <c r="B218"/>
      <c r="C218"/>
      <c r="D218"/>
      <c r="E218"/>
    </row>
    <row r="219" spans="2:5">
      <c r="B219"/>
      <c r="C219"/>
      <c r="D219"/>
      <c r="E219"/>
    </row>
    <row r="220" spans="2:5">
      <c r="B220"/>
      <c r="C220"/>
      <c r="D220"/>
      <c r="E220"/>
    </row>
    <row r="221" spans="2:5">
      <c r="B221"/>
      <c r="C221"/>
      <c r="D221"/>
      <c r="E221"/>
    </row>
    <row r="222" spans="2:5">
      <c r="B222"/>
      <c r="C222"/>
      <c r="D222"/>
      <c r="E222"/>
    </row>
    <row r="223" spans="2:5">
      <c r="B223"/>
      <c r="C223"/>
      <c r="D223"/>
      <c r="E223"/>
    </row>
    <row r="224" spans="2:5">
      <c r="B224"/>
      <c r="C224"/>
      <c r="D224"/>
      <c r="E224"/>
    </row>
    <row r="225" spans="2:5">
      <c r="B225"/>
      <c r="C225"/>
      <c r="D225"/>
      <c r="E225"/>
    </row>
    <row r="226" spans="2:5">
      <c r="B226"/>
      <c r="C226"/>
      <c r="D226"/>
      <c r="E226"/>
    </row>
    <row r="227" spans="2:5">
      <c r="B227"/>
      <c r="C227"/>
      <c r="D227"/>
      <c r="E227"/>
    </row>
    <row r="228" spans="2:5">
      <c r="B228"/>
      <c r="C228"/>
      <c r="D228"/>
      <c r="E228"/>
    </row>
    <row r="229" spans="2:5">
      <c r="B229"/>
      <c r="C229"/>
      <c r="D229"/>
      <c r="E229"/>
    </row>
    <row r="230" spans="2:5">
      <c r="B230"/>
      <c r="C230"/>
      <c r="D230"/>
      <c r="E230"/>
    </row>
    <row r="231" spans="2:5">
      <c r="B231"/>
      <c r="C231"/>
      <c r="D231"/>
      <c r="E231"/>
    </row>
    <row r="232" spans="2:5">
      <c r="B232"/>
      <c r="C232"/>
      <c r="D232"/>
      <c r="E232"/>
    </row>
    <row r="233" spans="2:5">
      <c r="B233"/>
      <c r="C233"/>
      <c r="D233"/>
      <c r="E233"/>
    </row>
    <row r="234" spans="2:5">
      <c r="B234"/>
      <c r="C234"/>
      <c r="D234"/>
      <c r="E234"/>
    </row>
    <row r="235" spans="2:5">
      <c r="B235"/>
      <c r="C235"/>
      <c r="D235"/>
      <c r="E235"/>
    </row>
    <row r="236" spans="2:5">
      <c r="B236"/>
      <c r="C236"/>
      <c r="D236"/>
      <c r="E236"/>
    </row>
    <row r="237" spans="2:5">
      <c r="B237"/>
      <c r="C237"/>
      <c r="D237"/>
      <c r="E237"/>
    </row>
    <row r="238" spans="2:5">
      <c r="B238"/>
      <c r="C238"/>
      <c r="D238"/>
      <c r="E238"/>
    </row>
    <row r="239" spans="2:5">
      <c r="B239"/>
      <c r="C239"/>
      <c r="D239"/>
      <c r="E239"/>
    </row>
    <row r="240" spans="2:5">
      <c r="B240"/>
      <c r="C240"/>
      <c r="D240"/>
      <c r="E240"/>
    </row>
    <row r="241" spans="2:5">
      <c r="B241"/>
      <c r="C241"/>
      <c r="D241"/>
      <c r="E241"/>
    </row>
    <row r="242" spans="2:5">
      <c r="B242"/>
      <c r="C242"/>
      <c r="D242"/>
      <c r="E242"/>
    </row>
    <row r="243" spans="2:5">
      <c r="B243"/>
      <c r="C243"/>
      <c r="D243"/>
      <c r="E243"/>
    </row>
    <row r="244" spans="2:5">
      <c r="B244"/>
      <c r="C244"/>
      <c r="D244"/>
      <c r="E244"/>
    </row>
    <row r="245" spans="2:5">
      <c r="B245"/>
      <c r="C245"/>
      <c r="D245"/>
      <c r="E245"/>
    </row>
    <row r="246" spans="2:5">
      <c r="B246"/>
      <c r="C246"/>
      <c r="D246"/>
      <c r="E246"/>
    </row>
    <row r="247" spans="2:5">
      <c r="B247"/>
      <c r="C247"/>
      <c r="D247"/>
      <c r="E247"/>
    </row>
    <row r="248" spans="2:5">
      <c r="B248"/>
      <c r="C248"/>
      <c r="D248"/>
      <c r="E248"/>
    </row>
    <row r="249" spans="2:5">
      <c r="B249"/>
      <c r="C249"/>
      <c r="D249"/>
      <c r="E249"/>
    </row>
    <row r="250" spans="2:5">
      <c r="B250"/>
      <c r="C250"/>
      <c r="D250"/>
      <c r="E250"/>
    </row>
    <row r="251" spans="2:5">
      <c r="B251"/>
      <c r="C251"/>
      <c r="D251"/>
      <c r="E251"/>
    </row>
    <row r="252" spans="2:5">
      <c r="B252"/>
      <c r="C252"/>
      <c r="D252"/>
      <c r="E252"/>
    </row>
    <row r="253" spans="2:5">
      <c r="B253"/>
      <c r="C253"/>
      <c r="D253"/>
      <c r="E253"/>
    </row>
    <row r="254" spans="2:5">
      <c r="B254"/>
      <c r="C254"/>
      <c r="D254"/>
      <c r="E254"/>
    </row>
    <row r="255" spans="2:5">
      <c r="B255"/>
      <c r="C255"/>
      <c r="D255"/>
      <c r="E255"/>
    </row>
    <row r="256" spans="2:5">
      <c r="B256"/>
      <c r="C256"/>
      <c r="D256"/>
      <c r="E256"/>
    </row>
    <row r="257" spans="2:5">
      <c r="B257"/>
      <c r="C257"/>
      <c r="D257"/>
      <c r="E257"/>
    </row>
    <row r="258" spans="2:5">
      <c r="B258"/>
      <c r="C258"/>
      <c r="D258"/>
      <c r="E258"/>
    </row>
    <row r="259" spans="2:5">
      <c r="B259"/>
      <c r="C259"/>
      <c r="D259"/>
      <c r="E259"/>
    </row>
    <row r="260" spans="2:5">
      <c r="B260"/>
      <c r="C260"/>
      <c r="D260"/>
      <c r="E260"/>
    </row>
    <row r="261" spans="2:5">
      <c r="B261"/>
      <c r="C261"/>
      <c r="D261"/>
      <c r="E261"/>
    </row>
    <row r="262" spans="2:5">
      <c r="B262"/>
      <c r="C262"/>
      <c r="D262"/>
      <c r="E262"/>
    </row>
    <row r="263" spans="2:5">
      <c r="B263"/>
      <c r="C263"/>
      <c r="D263"/>
      <c r="E263"/>
    </row>
    <row r="264" spans="2:5">
      <c r="B264"/>
      <c r="C264"/>
      <c r="D264"/>
      <c r="E264"/>
    </row>
    <row r="265" spans="2:5">
      <c r="B265"/>
      <c r="C265"/>
      <c r="D265"/>
      <c r="E265"/>
    </row>
    <row r="266" spans="2:5">
      <c r="B266"/>
      <c r="C266"/>
      <c r="D266"/>
      <c r="E266"/>
    </row>
    <row r="267" spans="2:5">
      <c r="B267"/>
      <c r="C267"/>
      <c r="D267"/>
      <c r="E267"/>
    </row>
    <row r="268" spans="2:5">
      <c r="B268"/>
      <c r="C268"/>
      <c r="D268"/>
      <c r="E268"/>
    </row>
    <row r="269" spans="2:5">
      <c r="B269"/>
      <c r="C269"/>
      <c r="D269"/>
      <c r="E269"/>
    </row>
    <row r="270" spans="2:5">
      <c r="B270"/>
      <c r="C270"/>
      <c r="D270"/>
      <c r="E270"/>
    </row>
    <row r="271" spans="2:5">
      <c r="B271"/>
      <c r="C271"/>
      <c r="D271"/>
      <c r="E271"/>
    </row>
    <row r="272" spans="2:5">
      <c r="B272"/>
      <c r="C272"/>
      <c r="D272"/>
      <c r="E272"/>
    </row>
    <row r="273" spans="2:5">
      <c r="B273"/>
      <c r="C273"/>
      <c r="D273"/>
      <c r="E273"/>
    </row>
    <row r="274" spans="2:5">
      <c r="B274"/>
      <c r="C274"/>
      <c r="D274"/>
      <c r="E274"/>
    </row>
    <row r="275" spans="2:5">
      <c r="B275"/>
      <c r="C275"/>
      <c r="D275"/>
      <c r="E275"/>
    </row>
    <row r="276" spans="2:5">
      <c r="B276"/>
      <c r="C276"/>
      <c r="D276"/>
      <c r="E276"/>
    </row>
    <row r="277" spans="2:5">
      <c r="B277"/>
      <c r="C277"/>
      <c r="D277"/>
      <c r="E277"/>
    </row>
    <row r="278" spans="2:5">
      <c r="B278"/>
      <c r="C278"/>
      <c r="D278"/>
      <c r="E278"/>
    </row>
    <row r="279" spans="2:5">
      <c r="B279"/>
      <c r="C279"/>
      <c r="D279"/>
      <c r="E279"/>
    </row>
    <row r="280" spans="2:5">
      <c r="B280"/>
      <c r="C280"/>
      <c r="D280"/>
      <c r="E280"/>
    </row>
    <row r="281" spans="2:5">
      <c r="B281"/>
      <c r="C281"/>
      <c r="D281"/>
      <c r="E281"/>
    </row>
    <row r="282" spans="2:5">
      <c r="B282"/>
      <c r="C282"/>
      <c r="D282"/>
      <c r="E282"/>
    </row>
    <row r="283" spans="2:5">
      <c r="B283"/>
      <c r="C283"/>
      <c r="D283"/>
      <c r="E283"/>
    </row>
    <row r="284" spans="2:5">
      <c r="B284"/>
      <c r="C284"/>
      <c r="D284"/>
      <c r="E284"/>
    </row>
    <row r="285" spans="2:5">
      <c r="B285"/>
      <c r="C285"/>
      <c r="D285"/>
      <c r="E285"/>
    </row>
    <row r="286" spans="2:5">
      <c r="B286"/>
      <c r="C286"/>
      <c r="D286"/>
      <c r="E286"/>
    </row>
    <row r="287" spans="2:5">
      <c r="B287"/>
      <c r="C287"/>
      <c r="D287"/>
      <c r="E287"/>
    </row>
    <row r="288" spans="2:5">
      <c r="B288"/>
      <c r="C288"/>
      <c r="D288"/>
      <c r="E288"/>
    </row>
    <row r="289" spans="2:5">
      <c r="B289"/>
      <c r="C289"/>
      <c r="D289"/>
      <c r="E289"/>
    </row>
    <row r="290" spans="2:5">
      <c r="B290"/>
      <c r="C290"/>
      <c r="D290"/>
      <c r="E290"/>
    </row>
    <row r="291" spans="2:5">
      <c r="B291"/>
      <c r="C291"/>
      <c r="D291"/>
      <c r="E291"/>
    </row>
    <row r="292" spans="2:5">
      <c r="B292"/>
      <c r="C292"/>
      <c r="D292"/>
      <c r="E292"/>
    </row>
    <row r="293" spans="2:5">
      <c r="B293"/>
      <c r="C293"/>
      <c r="D293"/>
      <c r="E293"/>
    </row>
    <row r="294" spans="2:5">
      <c r="B294"/>
      <c r="C294"/>
      <c r="D294"/>
      <c r="E294"/>
    </row>
    <row r="295" spans="2:5">
      <c r="B295"/>
      <c r="C295"/>
      <c r="D295"/>
      <c r="E295"/>
    </row>
    <row r="296" spans="2:5">
      <c r="B296"/>
      <c r="C296"/>
      <c r="D296"/>
      <c r="E296"/>
    </row>
    <row r="297" spans="2:5">
      <c r="B297"/>
      <c r="C297"/>
      <c r="D297"/>
      <c r="E297"/>
    </row>
    <row r="298" spans="2:5">
      <c r="B298"/>
      <c r="C298"/>
      <c r="D298"/>
      <c r="E298"/>
    </row>
    <row r="299" spans="2:5">
      <c r="B299"/>
      <c r="C299"/>
      <c r="D299"/>
      <c r="E299"/>
    </row>
    <row r="300" spans="2:5">
      <c r="B300"/>
      <c r="C300"/>
      <c r="D300"/>
      <c r="E300"/>
    </row>
    <row r="301" spans="2:5">
      <c r="B301"/>
      <c r="C301"/>
      <c r="D301"/>
      <c r="E301"/>
    </row>
    <row r="302" spans="2:5">
      <c r="B302"/>
      <c r="C302"/>
      <c r="D302"/>
      <c r="E302"/>
    </row>
    <row r="303" spans="2:5">
      <c r="B303"/>
      <c r="C303"/>
      <c r="D303"/>
      <c r="E303"/>
    </row>
    <row r="304" spans="2:5">
      <c r="B304"/>
      <c r="C304"/>
      <c r="D304"/>
      <c r="E304"/>
    </row>
    <row r="305" spans="2:5">
      <c r="B305"/>
      <c r="C305"/>
      <c r="D305"/>
      <c r="E305"/>
    </row>
    <row r="306" spans="2:5">
      <c r="B306"/>
      <c r="C306"/>
      <c r="D306"/>
      <c r="E306"/>
    </row>
    <row r="307" spans="2:5">
      <c r="B307"/>
      <c r="C307"/>
      <c r="D307"/>
      <c r="E307"/>
    </row>
    <row r="308" spans="2:5">
      <c r="B308"/>
      <c r="C308"/>
      <c r="D308"/>
      <c r="E308"/>
    </row>
    <row r="309" spans="2:5">
      <c r="B309"/>
      <c r="C309"/>
      <c r="D309"/>
      <c r="E309"/>
    </row>
    <row r="310" spans="2:5">
      <c r="B310"/>
      <c r="C310"/>
      <c r="D310"/>
      <c r="E310"/>
    </row>
    <row r="311" spans="2:5">
      <c r="B311"/>
      <c r="C311"/>
      <c r="D311"/>
      <c r="E311"/>
    </row>
    <row r="312" spans="2:5">
      <c r="B312"/>
      <c r="C312"/>
      <c r="D312"/>
      <c r="E312"/>
    </row>
    <row r="313" spans="2:5">
      <c r="B313"/>
      <c r="C313"/>
      <c r="D313"/>
      <c r="E313"/>
    </row>
    <row r="314" spans="2:5">
      <c r="B314"/>
      <c r="C314"/>
      <c r="D314"/>
      <c r="E314"/>
    </row>
    <row r="315" spans="2:5">
      <c r="B315"/>
      <c r="C315"/>
      <c r="D315"/>
      <c r="E315"/>
    </row>
    <row r="316" spans="2:5">
      <c r="B316"/>
      <c r="C316"/>
      <c r="D316"/>
      <c r="E316"/>
    </row>
    <row r="317" spans="2:5">
      <c r="B317"/>
      <c r="C317"/>
      <c r="D317"/>
      <c r="E317"/>
    </row>
    <row r="318" spans="2:5">
      <c r="B318"/>
      <c r="C318"/>
      <c r="D318"/>
      <c r="E318"/>
    </row>
    <row r="319" spans="2:5">
      <c r="B319"/>
      <c r="C319"/>
      <c r="D319"/>
      <c r="E319"/>
    </row>
    <row r="320" spans="2:5">
      <c r="B320"/>
      <c r="C320"/>
      <c r="D320"/>
      <c r="E320"/>
    </row>
    <row r="321" spans="2:5">
      <c r="B321"/>
      <c r="C321"/>
      <c r="D321"/>
      <c r="E321"/>
    </row>
    <row r="322" spans="2:5">
      <c r="B322"/>
      <c r="C322"/>
      <c r="D322"/>
      <c r="E322"/>
    </row>
    <row r="323" spans="2:5">
      <c r="B323"/>
      <c r="C323"/>
      <c r="D323"/>
      <c r="E323"/>
    </row>
    <row r="324" spans="2:5">
      <c r="B324"/>
      <c r="C324"/>
      <c r="D324"/>
      <c r="E324"/>
    </row>
    <row r="325" spans="2:5">
      <c r="B325"/>
      <c r="C325"/>
      <c r="D325"/>
      <c r="E325"/>
    </row>
    <row r="326" spans="2:5">
      <c r="B326"/>
      <c r="C326"/>
      <c r="D326"/>
      <c r="E326"/>
    </row>
    <row r="327" spans="2:5">
      <c r="B327"/>
      <c r="C327"/>
      <c r="D327"/>
      <c r="E327"/>
    </row>
    <row r="328" spans="2:5">
      <c r="B328"/>
      <c r="C328"/>
      <c r="D328"/>
      <c r="E328"/>
    </row>
    <row r="329" spans="2:5">
      <c r="B329"/>
      <c r="C329"/>
      <c r="D329"/>
      <c r="E329"/>
    </row>
    <row r="330" spans="2:5">
      <c r="B330"/>
      <c r="C330"/>
      <c r="D330"/>
      <c r="E330"/>
    </row>
    <row r="331" spans="2:5">
      <c r="B331"/>
      <c r="C331"/>
      <c r="D331"/>
      <c r="E331"/>
    </row>
    <row r="332" spans="2:5">
      <c r="B332"/>
      <c r="C332"/>
      <c r="D332"/>
      <c r="E332"/>
    </row>
    <row r="333" spans="2:5">
      <c r="B333"/>
      <c r="C333"/>
      <c r="D333"/>
      <c r="E333"/>
    </row>
    <row r="334" spans="2:5">
      <c r="B334"/>
      <c r="C334"/>
      <c r="D334"/>
      <c r="E334"/>
    </row>
    <row r="335" spans="2:5">
      <c r="B335"/>
      <c r="C335"/>
      <c r="D335"/>
      <c r="E335"/>
    </row>
    <row r="336" spans="2:5">
      <c r="B336"/>
      <c r="C336"/>
      <c r="D336"/>
      <c r="E336"/>
    </row>
    <row r="337" spans="2:5">
      <c r="B337"/>
      <c r="C337"/>
      <c r="D337"/>
      <c r="E337"/>
    </row>
    <row r="338" spans="2:5">
      <c r="B338"/>
      <c r="C338"/>
      <c r="D338"/>
      <c r="E338"/>
    </row>
    <row r="339" spans="2:5">
      <c r="B339"/>
      <c r="C339"/>
      <c r="D339"/>
      <c r="E339"/>
    </row>
    <row r="340" spans="2:5">
      <c r="B340"/>
      <c r="C340"/>
      <c r="D340"/>
      <c r="E340"/>
    </row>
    <row r="341" spans="2:5">
      <c r="B341"/>
      <c r="C341"/>
      <c r="D341"/>
      <c r="E341"/>
    </row>
    <row r="342" spans="2:5">
      <c r="B342"/>
      <c r="C342"/>
      <c r="D342"/>
      <c r="E342"/>
    </row>
    <row r="343" spans="2:5">
      <c r="B343"/>
      <c r="C343"/>
      <c r="D343"/>
      <c r="E343"/>
    </row>
    <row r="344" spans="2:5">
      <c r="B344"/>
      <c r="C344"/>
      <c r="D344"/>
      <c r="E344"/>
    </row>
    <row r="345" spans="2:5">
      <c r="B345"/>
      <c r="C345"/>
      <c r="D345"/>
      <c r="E345"/>
    </row>
    <row r="346" spans="2:5">
      <c r="B346"/>
      <c r="C346"/>
      <c r="D346"/>
      <c r="E346"/>
    </row>
    <row r="347" spans="2:5">
      <c r="B347"/>
      <c r="C347"/>
      <c r="D347"/>
      <c r="E347"/>
    </row>
    <row r="348" spans="2:5">
      <c r="B348"/>
      <c r="C348"/>
      <c r="D348"/>
      <c r="E348"/>
    </row>
    <row r="349" spans="2:5">
      <c r="B349"/>
      <c r="C349"/>
      <c r="D349"/>
      <c r="E349"/>
    </row>
    <row r="350" spans="2:5">
      <c r="B350"/>
      <c r="C350"/>
      <c r="D350"/>
      <c r="E350"/>
    </row>
    <row r="351" spans="2:5">
      <c r="B351"/>
      <c r="C351"/>
      <c r="D351"/>
      <c r="E351"/>
    </row>
    <row r="352" spans="2:5">
      <c r="B352"/>
      <c r="C352"/>
      <c r="D352"/>
      <c r="E352"/>
    </row>
    <row r="353" spans="2:5">
      <c r="B353"/>
      <c r="C353"/>
      <c r="D353"/>
      <c r="E353"/>
    </row>
    <row r="354" spans="2:5">
      <c r="B354"/>
      <c r="C354"/>
      <c r="D354"/>
      <c r="E354"/>
    </row>
    <row r="355" spans="2:5">
      <c r="B355"/>
      <c r="C355"/>
      <c r="D355"/>
      <c r="E355"/>
    </row>
    <row r="356" spans="2:5">
      <c r="B356"/>
      <c r="C356"/>
      <c r="D356"/>
      <c r="E356"/>
    </row>
    <row r="357" spans="2:5">
      <c r="B357"/>
      <c r="C357"/>
      <c r="D357"/>
      <c r="E357"/>
    </row>
    <row r="358" spans="2:5">
      <c r="B358"/>
      <c r="C358"/>
      <c r="D358"/>
      <c r="E358"/>
    </row>
    <row r="359" spans="2:5">
      <c r="B359"/>
      <c r="C359"/>
      <c r="D359"/>
      <c r="E359"/>
    </row>
    <row r="360" spans="2:5">
      <c r="B360"/>
      <c r="C360"/>
      <c r="D360"/>
      <c r="E360"/>
    </row>
    <row r="361" spans="2:5">
      <c r="B361"/>
      <c r="C361"/>
      <c r="D361"/>
      <c r="E361"/>
    </row>
    <row r="362" spans="2:5">
      <c r="B362"/>
      <c r="C362"/>
      <c r="D362"/>
      <c r="E362"/>
    </row>
    <row r="363" spans="2:5">
      <c r="B363"/>
      <c r="C363"/>
      <c r="D363"/>
      <c r="E363"/>
    </row>
    <row r="364" spans="2:5">
      <c r="B364"/>
      <c r="C364"/>
      <c r="D364"/>
      <c r="E364"/>
    </row>
    <row r="365" spans="2:5">
      <c r="B365"/>
      <c r="C365"/>
      <c r="D365"/>
      <c r="E365"/>
    </row>
    <row r="366" spans="2:5">
      <c r="B366"/>
      <c r="C366"/>
      <c r="D366"/>
      <c r="E366"/>
    </row>
    <row r="367" spans="2:5">
      <c r="B367"/>
      <c r="C367"/>
      <c r="D367"/>
      <c r="E367"/>
    </row>
    <row r="368" spans="2:5">
      <c r="B368"/>
      <c r="C368"/>
      <c r="D368"/>
      <c r="E368"/>
    </row>
    <row r="369" spans="2:5">
      <c r="B369"/>
      <c r="C369"/>
      <c r="D369"/>
      <c r="E369"/>
    </row>
    <row r="370" spans="2:5">
      <c r="B370"/>
      <c r="C370"/>
      <c r="D370"/>
      <c r="E370"/>
    </row>
    <row r="371" spans="2:5">
      <c r="B371"/>
      <c r="C371"/>
      <c r="D371"/>
      <c r="E371"/>
    </row>
    <row r="372" spans="2:5">
      <c r="B372"/>
      <c r="C372"/>
      <c r="D372"/>
      <c r="E372"/>
    </row>
    <row r="373" spans="2:5">
      <c r="B373"/>
      <c r="C373"/>
      <c r="D373"/>
      <c r="E373"/>
    </row>
    <row r="374" spans="2:5">
      <c r="B374"/>
      <c r="C374"/>
      <c r="D374"/>
      <c r="E374"/>
    </row>
    <row r="375" spans="2:5">
      <c r="B375"/>
      <c r="C375"/>
      <c r="D375"/>
      <c r="E375"/>
    </row>
    <row r="376" spans="2:5">
      <c r="B376"/>
      <c r="C376"/>
      <c r="D376"/>
      <c r="E376"/>
    </row>
    <row r="377" spans="2:5">
      <c r="B377"/>
      <c r="C377"/>
      <c r="D377"/>
      <c r="E377"/>
    </row>
    <row r="378" spans="2:5">
      <c r="B378"/>
      <c r="C378"/>
      <c r="D378"/>
      <c r="E378"/>
    </row>
    <row r="379" spans="2:5">
      <c r="B379"/>
      <c r="C379"/>
      <c r="D379"/>
      <c r="E379"/>
    </row>
    <row r="380" spans="2:5">
      <c r="B380"/>
      <c r="C380"/>
      <c r="D380"/>
      <c r="E380"/>
    </row>
    <row r="381" spans="2:5">
      <c r="B381"/>
      <c r="C381"/>
      <c r="D381"/>
      <c r="E381"/>
    </row>
    <row r="382" spans="2:5">
      <c r="B382"/>
      <c r="C382"/>
      <c r="D382"/>
      <c r="E382"/>
    </row>
    <row r="383" spans="2:5">
      <c r="B383"/>
      <c r="C383"/>
      <c r="D383"/>
      <c r="E383"/>
    </row>
    <row r="384" spans="2:5">
      <c r="B384"/>
      <c r="C384"/>
      <c r="D384"/>
      <c r="E384"/>
    </row>
    <row r="385" spans="2:5">
      <c r="B385"/>
      <c r="C385"/>
      <c r="D385"/>
      <c r="E385"/>
    </row>
    <row r="386" spans="2:5">
      <c r="B386"/>
      <c r="C386"/>
      <c r="D386"/>
      <c r="E386"/>
    </row>
    <row r="387" spans="2:5">
      <c r="B387"/>
      <c r="C387"/>
      <c r="D387"/>
      <c r="E387"/>
    </row>
    <row r="388" spans="2:5">
      <c r="B388"/>
      <c r="C388"/>
      <c r="D388"/>
      <c r="E388"/>
    </row>
    <row r="389" spans="2:5">
      <c r="B389"/>
      <c r="C389"/>
      <c r="D389"/>
      <c r="E389"/>
    </row>
    <row r="390" spans="2:5">
      <c r="B390"/>
      <c r="C390"/>
      <c r="D390"/>
      <c r="E390"/>
    </row>
    <row r="391" spans="2:5">
      <c r="B391"/>
      <c r="C391"/>
      <c r="D391"/>
      <c r="E391"/>
    </row>
    <row r="392" spans="2:5">
      <c r="B392"/>
      <c r="C392"/>
      <c r="D392"/>
      <c r="E392"/>
    </row>
    <row r="393" spans="2:5">
      <c r="B393"/>
      <c r="C393"/>
      <c r="D393"/>
      <c r="E393"/>
    </row>
    <row r="394" spans="2:5">
      <c r="B394"/>
      <c r="C394"/>
      <c r="D394"/>
      <c r="E394"/>
    </row>
    <row r="395" spans="2:5">
      <c r="B395"/>
      <c r="C395"/>
      <c r="D395"/>
      <c r="E395"/>
    </row>
    <row r="396" spans="2:5">
      <c r="B396"/>
      <c r="C396"/>
      <c r="D396"/>
      <c r="E396"/>
    </row>
    <row r="397" spans="2:5">
      <c r="B397"/>
      <c r="C397"/>
      <c r="D397"/>
      <c r="E397"/>
    </row>
    <row r="398" spans="2:5">
      <c r="B398"/>
      <c r="C398"/>
      <c r="D398"/>
      <c r="E398"/>
    </row>
    <row r="399" spans="2:5">
      <c r="B399"/>
      <c r="C399"/>
      <c r="D399"/>
      <c r="E399"/>
    </row>
    <row r="400" spans="2:5">
      <c r="B400"/>
      <c r="C400"/>
      <c r="D400"/>
      <c r="E400"/>
    </row>
    <row r="401" spans="2:5">
      <c r="B401"/>
      <c r="C401"/>
      <c r="D401"/>
      <c r="E401"/>
    </row>
    <row r="402" spans="2:5">
      <c r="B402"/>
      <c r="C402"/>
      <c r="D402"/>
      <c r="E402"/>
    </row>
    <row r="403" spans="2:5">
      <c r="B403"/>
      <c r="C403"/>
      <c r="D403"/>
      <c r="E403"/>
    </row>
    <row r="404" spans="2:5">
      <c r="B404"/>
      <c r="C404"/>
      <c r="D404"/>
      <c r="E404"/>
    </row>
    <row r="405" spans="2:5">
      <c r="B405"/>
      <c r="C405"/>
      <c r="D405"/>
      <c r="E405"/>
    </row>
    <row r="406" spans="2:5">
      <c r="B406"/>
      <c r="C406"/>
      <c r="D406"/>
      <c r="E406"/>
    </row>
    <row r="407" spans="2:5">
      <c r="B407"/>
      <c r="C407"/>
      <c r="D407"/>
      <c r="E407"/>
    </row>
    <row r="408" spans="2:5">
      <c r="B408"/>
      <c r="C408"/>
      <c r="D408"/>
      <c r="E408"/>
    </row>
    <row r="409" spans="2:5">
      <c r="B409"/>
      <c r="C409"/>
      <c r="D409"/>
      <c r="E409"/>
    </row>
    <row r="410" spans="2:5">
      <c r="B410"/>
      <c r="C410"/>
      <c r="D410"/>
      <c r="E410"/>
    </row>
    <row r="411" spans="2:5">
      <c r="B411"/>
      <c r="C411"/>
      <c r="D411"/>
      <c r="E411"/>
    </row>
    <row r="412" spans="2:5">
      <c r="B412"/>
      <c r="C412"/>
      <c r="D412"/>
      <c r="E412"/>
    </row>
    <row r="413" spans="2:5">
      <c r="B413"/>
      <c r="C413"/>
      <c r="D413"/>
      <c r="E413"/>
    </row>
    <row r="414" spans="2:5">
      <c r="B414"/>
      <c r="C414"/>
      <c r="D414"/>
      <c r="E414"/>
    </row>
    <row r="415" spans="2:5">
      <c r="B415"/>
      <c r="C415"/>
      <c r="D415"/>
      <c r="E415"/>
    </row>
    <row r="416" spans="2:5">
      <c r="B416"/>
      <c r="C416"/>
      <c r="D416"/>
      <c r="E416"/>
    </row>
    <row r="417" spans="2:5">
      <c r="B417"/>
      <c r="C417"/>
      <c r="D417"/>
      <c r="E417"/>
    </row>
    <row r="418" spans="2:5">
      <c r="B418"/>
      <c r="C418"/>
      <c r="D418"/>
      <c r="E418"/>
    </row>
    <row r="419" spans="2:5">
      <c r="B419"/>
      <c r="C419"/>
      <c r="D419"/>
      <c r="E419"/>
    </row>
    <row r="420" spans="2:5">
      <c r="B420"/>
      <c r="C420"/>
      <c r="D420"/>
      <c r="E420"/>
    </row>
    <row r="421" spans="2:5">
      <c r="B421"/>
      <c r="C421"/>
      <c r="D421"/>
      <c r="E421"/>
    </row>
    <row r="422" spans="2:5">
      <c r="B422"/>
      <c r="C422"/>
      <c r="D422"/>
      <c r="E422"/>
    </row>
    <row r="423" spans="2:5">
      <c r="B423"/>
      <c r="C423"/>
      <c r="D423"/>
      <c r="E423"/>
    </row>
    <row r="424" spans="2:5">
      <c r="B424"/>
      <c r="C424"/>
      <c r="D424"/>
      <c r="E424"/>
    </row>
    <row r="425" spans="2:5">
      <c r="B425"/>
      <c r="C425"/>
      <c r="D425"/>
      <c r="E425"/>
    </row>
    <row r="426" spans="2:5">
      <c r="B426"/>
      <c r="C426"/>
      <c r="D426"/>
      <c r="E426"/>
    </row>
    <row r="427" spans="2:5">
      <c r="B427"/>
      <c r="C427"/>
      <c r="D427"/>
      <c r="E427"/>
    </row>
    <row r="428" spans="2:5">
      <c r="B428"/>
      <c r="C428"/>
      <c r="D428"/>
      <c r="E428"/>
    </row>
    <row r="429" spans="2:5">
      <c r="B429"/>
      <c r="C429"/>
      <c r="D429"/>
      <c r="E429"/>
    </row>
    <row r="430" spans="2:5">
      <c r="B430"/>
      <c r="C430"/>
      <c r="D430"/>
      <c r="E430"/>
    </row>
    <row r="431" spans="2:5">
      <c r="B431"/>
      <c r="C431"/>
      <c r="D431"/>
      <c r="E431"/>
    </row>
    <row r="432" spans="2:5">
      <c r="B432"/>
      <c r="C432"/>
      <c r="D432"/>
      <c r="E432"/>
    </row>
    <row r="433" spans="2:5">
      <c r="B433"/>
      <c r="C433"/>
      <c r="D433"/>
      <c r="E433"/>
    </row>
    <row r="434" spans="2:5">
      <c r="B434"/>
      <c r="C434"/>
      <c r="D434"/>
      <c r="E434"/>
    </row>
    <row r="435" spans="2:5">
      <c r="B435"/>
      <c r="C435"/>
      <c r="D435"/>
      <c r="E435"/>
    </row>
    <row r="436" spans="2:5">
      <c r="B436"/>
      <c r="C436"/>
      <c r="D436"/>
      <c r="E436"/>
    </row>
    <row r="437" spans="2:5">
      <c r="B437"/>
      <c r="C437"/>
      <c r="D437"/>
      <c r="E437"/>
    </row>
    <row r="438" spans="2:5">
      <c r="B438"/>
      <c r="C438"/>
      <c r="D438"/>
      <c r="E438"/>
    </row>
    <row r="439" spans="2:5">
      <c r="B439"/>
      <c r="C439"/>
      <c r="D439"/>
      <c r="E439"/>
    </row>
    <row r="440" spans="2:5">
      <c r="B440"/>
      <c r="C440"/>
      <c r="D440"/>
      <c r="E440"/>
    </row>
    <row r="441" spans="2:5">
      <c r="B441"/>
      <c r="C441"/>
      <c r="D441"/>
      <c r="E441"/>
    </row>
    <row r="442" spans="2:5">
      <c r="B442"/>
      <c r="C442"/>
      <c r="D442"/>
      <c r="E442"/>
    </row>
    <row r="443" spans="2:5">
      <c r="B443"/>
      <c r="C443"/>
      <c r="D443"/>
      <c r="E443"/>
    </row>
    <row r="444" spans="2:5">
      <c r="B444"/>
      <c r="C444"/>
      <c r="D444"/>
      <c r="E444"/>
    </row>
    <row r="445" spans="2:5">
      <c r="B445"/>
      <c r="C445"/>
      <c r="D445"/>
      <c r="E445"/>
    </row>
    <row r="446" spans="2:5">
      <c r="B446"/>
      <c r="C446"/>
      <c r="D446"/>
      <c r="E446"/>
    </row>
    <row r="447" spans="2:5">
      <c r="B447"/>
      <c r="C447"/>
      <c r="D447"/>
      <c r="E447"/>
    </row>
    <row r="448" spans="2:5">
      <c r="B448"/>
      <c r="C448"/>
      <c r="D448"/>
      <c r="E448"/>
    </row>
    <row r="449" spans="2:5">
      <c r="B449"/>
      <c r="C449"/>
      <c r="D449"/>
      <c r="E449"/>
    </row>
    <row r="450" spans="2:5">
      <c r="B450"/>
      <c r="C450"/>
      <c r="D450"/>
      <c r="E450"/>
    </row>
    <row r="451" spans="2:5">
      <c r="B451"/>
      <c r="C451"/>
      <c r="D451"/>
      <c r="E451"/>
    </row>
    <row r="452" spans="2:5">
      <c r="B452"/>
      <c r="C452"/>
      <c r="D452"/>
      <c r="E452"/>
    </row>
    <row r="453" spans="2:5">
      <c r="B453"/>
      <c r="C453"/>
      <c r="D453"/>
      <c r="E453"/>
    </row>
    <row r="454" spans="2:5">
      <c r="B454"/>
      <c r="C454"/>
      <c r="D454"/>
      <c r="E454"/>
    </row>
    <row r="455" spans="2:5">
      <c r="B455"/>
      <c r="C455"/>
      <c r="D455"/>
      <c r="E455"/>
    </row>
    <row r="456" spans="2:5">
      <c r="B456"/>
      <c r="C456"/>
      <c r="D456"/>
      <c r="E456"/>
    </row>
    <row r="457" spans="2:5">
      <c r="B457"/>
      <c r="C457"/>
      <c r="D457"/>
      <c r="E457"/>
    </row>
    <row r="458" spans="2:5">
      <c r="B458"/>
      <c r="C458"/>
      <c r="D458"/>
      <c r="E458"/>
    </row>
    <row r="459" spans="2:5">
      <c r="B459"/>
      <c r="C459"/>
      <c r="D459"/>
      <c r="E459"/>
    </row>
    <row r="460" spans="2:5">
      <c r="B460"/>
      <c r="C460"/>
      <c r="D460"/>
      <c r="E460"/>
    </row>
    <row r="461" spans="2:5">
      <c r="B461"/>
      <c r="C461"/>
      <c r="D461"/>
      <c r="E461"/>
    </row>
    <row r="462" spans="2:5">
      <c r="B462"/>
      <c r="C462"/>
      <c r="D462"/>
      <c r="E462"/>
    </row>
    <row r="463" spans="2:5">
      <c r="B463"/>
      <c r="C463"/>
      <c r="D463"/>
      <c r="E463"/>
    </row>
    <row r="464" spans="2:5">
      <c r="B464"/>
      <c r="C464"/>
      <c r="D464"/>
      <c r="E464"/>
    </row>
    <row r="465" spans="2:5">
      <c r="B465"/>
      <c r="C465"/>
      <c r="D465"/>
      <c r="E465"/>
    </row>
    <row r="466" spans="2:5">
      <c r="B466"/>
      <c r="C466"/>
      <c r="D466"/>
      <c r="E466"/>
    </row>
    <row r="467" spans="2:5">
      <c r="B467"/>
      <c r="C467"/>
      <c r="D467"/>
      <c r="E467"/>
    </row>
    <row r="468" spans="2:5">
      <c r="B468"/>
      <c r="C468"/>
      <c r="D468"/>
      <c r="E468"/>
    </row>
    <row r="469" spans="2:5">
      <c r="B469"/>
      <c r="C469"/>
      <c r="D469"/>
      <c r="E469"/>
    </row>
    <row r="470" spans="2:5">
      <c r="B470"/>
      <c r="C470"/>
      <c r="D470"/>
      <c r="E470"/>
    </row>
    <row r="471" spans="2:5">
      <c r="B471"/>
      <c r="C471"/>
      <c r="D471"/>
      <c r="E471"/>
    </row>
    <row r="472" spans="2:5">
      <c r="B472"/>
      <c r="C472"/>
      <c r="D472"/>
      <c r="E472"/>
    </row>
    <row r="473" spans="2:5">
      <c r="B473"/>
      <c r="C473"/>
      <c r="D473"/>
      <c r="E473"/>
    </row>
    <row r="474" spans="2:5">
      <c r="B474"/>
      <c r="C474"/>
      <c r="D474"/>
      <c r="E474"/>
    </row>
    <row r="475" spans="2:5">
      <c r="B475"/>
      <c r="C475"/>
      <c r="D475"/>
      <c r="E475"/>
    </row>
    <row r="476" spans="2:5">
      <c r="B476"/>
      <c r="C476"/>
      <c r="D476"/>
      <c r="E476"/>
    </row>
    <row r="477" spans="2:5">
      <c r="B477"/>
      <c r="C477"/>
      <c r="D477"/>
      <c r="E477"/>
    </row>
    <row r="478" spans="2:5">
      <c r="B478"/>
      <c r="C478"/>
      <c r="D478"/>
      <c r="E478"/>
    </row>
    <row r="479" spans="2:5">
      <c r="B479"/>
      <c r="C479"/>
      <c r="D479"/>
      <c r="E479"/>
    </row>
    <row r="480" spans="2:5">
      <c r="B480"/>
      <c r="C480"/>
      <c r="D480"/>
      <c r="E480"/>
    </row>
    <row r="481" spans="2:5">
      <c r="B481"/>
      <c r="C481"/>
      <c r="D481"/>
      <c r="E481"/>
    </row>
    <row r="482" spans="2:5">
      <c r="B482"/>
      <c r="C482"/>
      <c r="D482"/>
      <c r="E482"/>
    </row>
    <row r="483" spans="2:5">
      <c r="B483"/>
      <c r="C483"/>
      <c r="D483"/>
      <c r="E483"/>
    </row>
    <row r="484" spans="2:5">
      <c r="B484"/>
      <c r="C484"/>
      <c r="D484"/>
      <c r="E484"/>
    </row>
    <row r="485" spans="2:5">
      <c r="B485"/>
      <c r="C485"/>
      <c r="D485"/>
      <c r="E485"/>
    </row>
    <row r="486" spans="2:5">
      <c r="B486"/>
      <c r="C486"/>
      <c r="D486"/>
      <c r="E486"/>
    </row>
    <row r="487" spans="2:5">
      <c r="B487"/>
      <c r="C487"/>
      <c r="D487"/>
      <c r="E487"/>
    </row>
    <row r="488" spans="2:5">
      <c r="B488"/>
      <c r="C488"/>
      <c r="D488"/>
      <c r="E488"/>
    </row>
    <row r="489" spans="2:5">
      <c r="B489"/>
      <c r="C489"/>
      <c r="D489"/>
      <c r="E489"/>
    </row>
    <row r="490" spans="2:5">
      <c r="B490"/>
      <c r="C490"/>
      <c r="D490"/>
      <c r="E490"/>
    </row>
    <row r="491" spans="2:5">
      <c r="B491"/>
      <c r="C491"/>
      <c r="D491"/>
      <c r="E491"/>
    </row>
    <row r="492" spans="2:5">
      <c r="B492"/>
      <c r="C492"/>
      <c r="D492"/>
      <c r="E492"/>
    </row>
    <row r="493" spans="2:5">
      <c r="B493"/>
      <c r="C493"/>
      <c r="D493"/>
      <c r="E493"/>
    </row>
    <row r="494" spans="2:5">
      <c r="B494"/>
      <c r="C494"/>
      <c r="D494"/>
      <c r="E494"/>
    </row>
    <row r="495" spans="2:5">
      <c r="B495"/>
      <c r="C495"/>
      <c r="D495"/>
      <c r="E495"/>
    </row>
    <row r="496" spans="2:5">
      <c r="B496"/>
      <c r="C496"/>
      <c r="D496"/>
      <c r="E496"/>
    </row>
    <row r="497" spans="2:5">
      <c r="B497"/>
      <c r="C497"/>
      <c r="D497"/>
      <c r="E497"/>
    </row>
    <row r="498" spans="2:5">
      <c r="B498"/>
      <c r="C498"/>
      <c r="D498"/>
      <c r="E498"/>
    </row>
    <row r="499" spans="2:5">
      <c r="B499"/>
      <c r="C499"/>
      <c r="D499"/>
      <c r="E499"/>
    </row>
    <row r="500" spans="2:5">
      <c r="B500"/>
      <c r="C500"/>
      <c r="D500"/>
      <c r="E500"/>
    </row>
    <row r="501" spans="2:5">
      <c r="B501"/>
      <c r="C501"/>
      <c r="D501"/>
      <c r="E501"/>
    </row>
    <row r="502" spans="2:5">
      <c r="B502"/>
      <c r="C502"/>
      <c r="D502"/>
      <c r="E502"/>
    </row>
    <row r="503" spans="2:5">
      <c r="B503"/>
      <c r="C503"/>
      <c r="D503"/>
      <c r="E503"/>
    </row>
    <row r="504" spans="2:5">
      <c r="B504"/>
      <c r="C504"/>
      <c r="D504"/>
      <c r="E504"/>
    </row>
    <row r="505" spans="2:5">
      <c r="B505"/>
      <c r="C505"/>
      <c r="D505"/>
      <c r="E505"/>
    </row>
    <row r="506" spans="2:5">
      <c r="B506"/>
      <c r="C506"/>
      <c r="D506"/>
      <c r="E506"/>
    </row>
    <row r="507" spans="2:5">
      <c r="B507"/>
      <c r="C507"/>
      <c r="D507"/>
      <c r="E507"/>
    </row>
    <row r="508" spans="2:5">
      <c r="B508"/>
      <c r="C508"/>
      <c r="D508"/>
      <c r="E508"/>
    </row>
    <row r="509" spans="2:5">
      <c r="B509"/>
      <c r="C509"/>
      <c r="D509"/>
      <c r="E509"/>
    </row>
    <row r="510" spans="2:5">
      <c r="B510"/>
      <c r="C510"/>
      <c r="D510"/>
      <c r="E510"/>
    </row>
    <row r="511" spans="2:5">
      <c r="B511"/>
      <c r="C511"/>
      <c r="D511"/>
      <c r="E511"/>
    </row>
    <row r="512" spans="2:5">
      <c r="B512"/>
      <c r="C512"/>
      <c r="D512"/>
      <c r="E512"/>
    </row>
    <row r="513" spans="2:5">
      <c r="B513"/>
      <c r="C513"/>
      <c r="D513"/>
      <c r="E513"/>
    </row>
    <row r="514" spans="2:5">
      <c r="B514"/>
      <c r="C514"/>
      <c r="D514"/>
      <c r="E514"/>
    </row>
    <row r="515" spans="2:5">
      <c r="B515"/>
      <c r="C515"/>
      <c r="D515"/>
      <c r="E515"/>
    </row>
    <row r="516" spans="2:5">
      <c r="B516"/>
      <c r="C516"/>
      <c r="D516"/>
      <c r="E516"/>
    </row>
    <row r="517" spans="2:5">
      <c r="B517"/>
      <c r="C517"/>
      <c r="D517"/>
      <c r="E517"/>
    </row>
    <row r="518" spans="2:5">
      <c r="B518"/>
      <c r="C518"/>
      <c r="D518"/>
      <c r="E518"/>
    </row>
    <row r="519" spans="2:5">
      <c r="B519"/>
      <c r="C519"/>
      <c r="D519"/>
      <c r="E519"/>
    </row>
    <row r="520" spans="2:5">
      <c r="B520"/>
      <c r="C520"/>
      <c r="D520"/>
      <c r="E520"/>
    </row>
    <row r="521" spans="2:5">
      <c r="B521"/>
      <c r="C521"/>
      <c r="D521"/>
      <c r="E521"/>
    </row>
    <row r="522" spans="2:5">
      <c r="B522"/>
      <c r="C522"/>
      <c r="D522"/>
      <c r="E522"/>
    </row>
    <row r="523" spans="2:5">
      <c r="B523"/>
      <c r="C523"/>
      <c r="D523"/>
      <c r="E523"/>
    </row>
    <row r="524" spans="2:5">
      <c r="B524"/>
      <c r="C524"/>
      <c r="D524"/>
      <c r="E524"/>
    </row>
    <row r="525" spans="2:5">
      <c r="B525"/>
      <c r="C525"/>
      <c r="D525"/>
      <c r="E525"/>
    </row>
    <row r="526" spans="2:5">
      <c r="B526"/>
      <c r="C526"/>
      <c r="D526"/>
      <c r="E526"/>
    </row>
    <row r="527" spans="2:5">
      <c r="B527"/>
      <c r="C527"/>
      <c r="D527"/>
      <c r="E527"/>
    </row>
    <row r="528" spans="2:5">
      <c r="B528"/>
      <c r="C528"/>
      <c r="D528"/>
      <c r="E528"/>
    </row>
    <row r="529" spans="2:5">
      <c r="B529"/>
      <c r="C529"/>
      <c r="D529"/>
      <c r="E529"/>
    </row>
    <row r="530" spans="2:5">
      <c r="B530"/>
      <c r="C530"/>
      <c r="D530"/>
      <c r="E530"/>
    </row>
    <row r="531" spans="2:5">
      <c r="B531"/>
      <c r="C531"/>
      <c r="D531"/>
      <c r="E531"/>
    </row>
    <row r="532" spans="2:5">
      <c r="B532"/>
      <c r="C532"/>
      <c r="D532"/>
      <c r="E532"/>
    </row>
    <row r="533" spans="2:5">
      <c r="B533"/>
      <c r="C533"/>
      <c r="D533"/>
      <c r="E533"/>
    </row>
    <row r="534" spans="2:5">
      <c r="B534"/>
      <c r="C534"/>
      <c r="D534"/>
      <c r="E534"/>
    </row>
    <row r="535" spans="2:5">
      <c r="B535"/>
      <c r="C535"/>
      <c r="D535"/>
      <c r="E535"/>
    </row>
    <row r="536" spans="2:5">
      <c r="B536"/>
      <c r="C536"/>
      <c r="D536"/>
      <c r="E536"/>
    </row>
    <row r="537" spans="2:5">
      <c r="B537"/>
      <c r="C537"/>
      <c r="D537"/>
      <c r="E537"/>
    </row>
    <row r="538" spans="2:5">
      <c r="B538"/>
      <c r="C538"/>
      <c r="D538"/>
      <c r="E538"/>
    </row>
    <row r="539" spans="2:5">
      <c r="B539"/>
      <c r="C539"/>
      <c r="D539"/>
      <c r="E539"/>
    </row>
    <row r="540" spans="2:5">
      <c r="B540"/>
      <c r="C540"/>
      <c r="D540"/>
      <c r="E540"/>
    </row>
    <row r="541" spans="2:5">
      <c r="B541"/>
      <c r="C541"/>
      <c r="D541"/>
      <c r="E541"/>
    </row>
    <row r="542" spans="2:5">
      <c r="B542"/>
      <c r="C542"/>
      <c r="D542"/>
      <c r="E542"/>
    </row>
    <row r="543" spans="2:5">
      <c r="B543"/>
      <c r="C543"/>
      <c r="D543"/>
      <c r="E543"/>
    </row>
    <row r="544" spans="2:5">
      <c r="B544"/>
      <c r="C544"/>
      <c r="D544"/>
      <c r="E544"/>
    </row>
    <row r="545" spans="2:5">
      <c r="B545"/>
      <c r="C545"/>
      <c r="D545"/>
      <c r="E545"/>
    </row>
    <row r="546" spans="2:5">
      <c r="B546"/>
      <c r="C546"/>
      <c r="D546"/>
      <c r="E546"/>
    </row>
    <row r="547" spans="2:5">
      <c r="B547"/>
      <c r="C547"/>
      <c r="D547"/>
      <c r="E547"/>
    </row>
    <row r="548" spans="2:5">
      <c r="B548"/>
      <c r="C548"/>
      <c r="D548"/>
      <c r="E548"/>
    </row>
    <row r="549" spans="2:5">
      <c r="B549"/>
      <c r="C549"/>
      <c r="D549"/>
      <c r="E549"/>
    </row>
    <row r="550" spans="2:5">
      <c r="B550"/>
      <c r="C550"/>
      <c r="D550"/>
      <c r="E550"/>
    </row>
    <row r="551" spans="2:5">
      <c r="B551"/>
      <c r="C551"/>
      <c r="D551"/>
      <c r="E551"/>
    </row>
    <row r="552" spans="2:5">
      <c r="B552"/>
      <c r="C552"/>
      <c r="D552"/>
      <c r="E552"/>
    </row>
    <row r="553" spans="2:5">
      <c r="B553"/>
      <c r="C553"/>
      <c r="D553"/>
      <c r="E553"/>
    </row>
    <row r="554" spans="2:5">
      <c r="B554"/>
      <c r="C554"/>
      <c r="D554"/>
      <c r="E554"/>
    </row>
    <row r="555" spans="2:5">
      <c r="B555"/>
      <c r="C555"/>
      <c r="D555"/>
      <c r="E555"/>
    </row>
    <row r="556" spans="2:5">
      <c r="B556"/>
      <c r="C556"/>
      <c r="D556"/>
      <c r="E556"/>
    </row>
    <row r="557" spans="2:5">
      <c r="B557"/>
      <c r="C557"/>
      <c r="D557"/>
      <c r="E557"/>
    </row>
    <row r="558" spans="2:5">
      <c r="B558"/>
      <c r="C558"/>
      <c r="D558"/>
      <c r="E558"/>
    </row>
    <row r="559" spans="2:5">
      <c r="B559"/>
      <c r="C559"/>
      <c r="D559"/>
      <c r="E559"/>
    </row>
    <row r="560" spans="2:5">
      <c r="B560"/>
      <c r="C560"/>
      <c r="D560"/>
      <c r="E560"/>
    </row>
    <row r="561" spans="2:5">
      <c r="B561"/>
      <c r="C561"/>
      <c r="D561"/>
      <c r="E561"/>
    </row>
    <row r="562" spans="2:5">
      <c r="B562"/>
      <c r="C562"/>
      <c r="D562"/>
      <c r="E562"/>
    </row>
    <row r="563" spans="2:5">
      <c r="B563"/>
      <c r="C563"/>
      <c r="D563"/>
      <c r="E563"/>
    </row>
    <row r="564" spans="2:5">
      <c r="B564"/>
      <c r="C564"/>
      <c r="D564"/>
      <c r="E564"/>
    </row>
    <row r="565" spans="2:5">
      <c r="B565"/>
      <c r="C565"/>
      <c r="D565"/>
      <c r="E565"/>
    </row>
    <row r="566" spans="2:5">
      <c r="B566"/>
      <c r="C566"/>
      <c r="D566"/>
      <c r="E566"/>
    </row>
    <row r="567" spans="2:5">
      <c r="B567"/>
      <c r="C567"/>
      <c r="D567"/>
      <c r="E567"/>
    </row>
    <row r="568" spans="2:5">
      <c r="B568"/>
      <c r="C568"/>
      <c r="D568"/>
      <c r="E568"/>
    </row>
    <row r="569" spans="2:5">
      <c r="B569"/>
      <c r="C569"/>
      <c r="D569"/>
      <c r="E569"/>
    </row>
    <row r="570" spans="2:5">
      <c r="B570"/>
      <c r="C570"/>
      <c r="D570"/>
      <c r="E570"/>
    </row>
    <row r="571" spans="2:5">
      <c r="B571"/>
      <c r="C571"/>
      <c r="D571"/>
      <c r="E571"/>
    </row>
    <row r="572" spans="2:5">
      <c r="B572"/>
      <c r="C572"/>
      <c r="D572"/>
      <c r="E572"/>
    </row>
    <row r="573" spans="2:5">
      <c r="B573"/>
      <c r="C573"/>
      <c r="D573"/>
      <c r="E573"/>
    </row>
    <row r="574" spans="2:5">
      <c r="B574"/>
      <c r="C574"/>
      <c r="D574"/>
      <c r="E574"/>
    </row>
    <row r="575" spans="2:5">
      <c r="B575"/>
      <c r="C575"/>
      <c r="D575"/>
      <c r="E575"/>
    </row>
    <row r="576" spans="2:5">
      <c r="B576"/>
      <c r="C576"/>
      <c r="D576"/>
      <c r="E576"/>
    </row>
    <row r="577" spans="2:5">
      <c r="B577"/>
      <c r="C577"/>
      <c r="D577"/>
      <c r="E577"/>
    </row>
    <row r="578" spans="2:5">
      <c r="B578"/>
      <c r="C578"/>
      <c r="D578"/>
      <c r="E578"/>
    </row>
    <row r="579" spans="2:5">
      <c r="B579"/>
      <c r="C579"/>
      <c r="D579"/>
      <c r="E579"/>
    </row>
    <row r="580" spans="2:5">
      <c r="B580"/>
      <c r="C580"/>
      <c r="D580"/>
      <c r="E580"/>
    </row>
    <row r="581" spans="2:5">
      <c r="B581"/>
      <c r="C581"/>
      <c r="D581"/>
      <c r="E581"/>
    </row>
    <row r="582" spans="2:5">
      <c r="B582"/>
      <c r="C582"/>
      <c r="D582"/>
      <c r="E582"/>
    </row>
    <row r="583" spans="2:5">
      <c r="B583"/>
      <c r="C583"/>
      <c r="D583"/>
      <c r="E583"/>
    </row>
    <row r="584" spans="2:5">
      <c r="B584"/>
      <c r="C584"/>
      <c r="D584"/>
      <c r="E584"/>
    </row>
    <row r="585" spans="2:5">
      <c r="B585"/>
      <c r="C585"/>
      <c r="D585"/>
      <c r="E585"/>
    </row>
    <row r="586" spans="2:5">
      <c r="B586"/>
      <c r="C586"/>
      <c r="D586"/>
      <c r="E586"/>
    </row>
    <row r="587" spans="2:5">
      <c r="B587"/>
      <c r="C587"/>
      <c r="D587"/>
      <c r="E587"/>
    </row>
    <row r="588" spans="2:5">
      <c r="B588"/>
      <c r="C588"/>
      <c r="D588"/>
      <c r="E588"/>
    </row>
    <row r="589" spans="2:5">
      <c r="B589"/>
      <c r="C589"/>
      <c r="D589"/>
      <c r="E589"/>
    </row>
    <row r="590" spans="2:5">
      <c r="B590"/>
      <c r="C590"/>
      <c r="D590"/>
      <c r="E590"/>
    </row>
    <row r="591" spans="2:5">
      <c r="B591"/>
      <c r="C591"/>
      <c r="D591"/>
      <c r="E591"/>
    </row>
    <row r="592" spans="2:5">
      <c r="B592"/>
      <c r="C592"/>
      <c r="D592"/>
      <c r="E592"/>
    </row>
    <row r="593" spans="2:5">
      <c r="B593"/>
      <c r="C593"/>
      <c r="D593"/>
      <c r="E593"/>
    </row>
    <row r="594" spans="2:5">
      <c r="B594"/>
      <c r="C594"/>
      <c r="D594"/>
      <c r="E594"/>
    </row>
    <row r="595" spans="2:5">
      <c r="B595"/>
      <c r="C595"/>
      <c r="D595"/>
      <c r="E595"/>
    </row>
    <row r="596" spans="2:5">
      <c r="B596"/>
      <c r="C596"/>
      <c r="D596"/>
      <c r="E596"/>
    </row>
    <row r="597" spans="2:5">
      <c r="B597"/>
      <c r="C597"/>
      <c r="D597"/>
      <c r="E597"/>
    </row>
    <row r="598" spans="2:5">
      <c r="B598"/>
      <c r="C598"/>
      <c r="D598"/>
      <c r="E598"/>
    </row>
    <row r="599" spans="2:5">
      <c r="B599"/>
      <c r="C599"/>
      <c r="D599"/>
      <c r="E599"/>
    </row>
    <row r="600" spans="2:5">
      <c r="B600"/>
      <c r="C600"/>
      <c r="D600"/>
      <c r="E600"/>
    </row>
    <row r="601" spans="2:5">
      <c r="B601"/>
      <c r="C601"/>
      <c r="D601"/>
      <c r="E601"/>
    </row>
    <row r="602" spans="2:5">
      <c r="B602"/>
      <c r="C602"/>
      <c r="D602"/>
      <c r="E602"/>
    </row>
    <row r="603" spans="2:5">
      <c r="B603"/>
      <c r="C603"/>
      <c r="D603"/>
      <c r="E603"/>
    </row>
    <row r="604" spans="2:5">
      <c r="B604"/>
      <c r="C604"/>
      <c r="D604"/>
      <c r="E604"/>
    </row>
    <row r="605" spans="2:5">
      <c r="B605"/>
      <c r="C605"/>
      <c r="D605"/>
      <c r="E605"/>
    </row>
    <row r="606" spans="2:5">
      <c r="B606"/>
      <c r="C606"/>
      <c r="D606"/>
      <c r="E606"/>
    </row>
    <row r="607" spans="2:5">
      <c r="B607"/>
      <c r="C607"/>
      <c r="D607"/>
      <c r="E607"/>
    </row>
    <row r="608" spans="2:5">
      <c r="B608"/>
      <c r="C608"/>
      <c r="D608"/>
      <c r="E608"/>
    </row>
    <row r="609" spans="2:5">
      <c r="B609"/>
      <c r="C609"/>
      <c r="D609"/>
      <c r="E609"/>
    </row>
    <row r="610" spans="2:5">
      <c r="B610"/>
      <c r="C610"/>
      <c r="D610"/>
      <c r="E610"/>
    </row>
    <row r="611" spans="2:5">
      <c r="B611"/>
      <c r="C611"/>
      <c r="D611"/>
      <c r="E611"/>
    </row>
    <row r="612" spans="2:5">
      <c r="B612"/>
      <c r="C612"/>
      <c r="D612"/>
      <c r="E612"/>
    </row>
    <row r="613" spans="2:5">
      <c r="B613"/>
      <c r="C613"/>
      <c r="D613"/>
      <c r="E613"/>
    </row>
    <row r="614" spans="2:5">
      <c r="B614"/>
      <c r="C614"/>
      <c r="D614"/>
      <c r="E614"/>
    </row>
    <row r="615" spans="2:5">
      <c r="B615"/>
      <c r="C615"/>
      <c r="D615"/>
      <c r="E615"/>
    </row>
    <row r="616" spans="2:5">
      <c r="B616"/>
      <c r="C616"/>
      <c r="D616"/>
      <c r="E616"/>
    </row>
    <row r="617" spans="2:5">
      <c r="B617"/>
      <c r="C617"/>
      <c r="D617"/>
      <c r="E617"/>
    </row>
    <row r="618" spans="2:5">
      <c r="B618"/>
      <c r="C618"/>
      <c r="D618"/>
      <c r="E618"/>
    </row>
    <row r="619" spans="2:5">
      <c r="B619"/>
      <c r="C619"/>
      <c r="D619"/>
      <c r="E619"/>
    </row>
    <row r="620" spans="2:5">
      <c r="B620"/>
      <c r="C620"/>
      <c r="D620"/>
      <c r="E620"/>
    </row>
    <row r="621" spans="2:5">
      <c r="B621"/>
      <c r="C621"/>
      <c r="D621"/>
      <c r="E621"/>
    </row>
    <row r="622" spans="2:5">
      <c r="B622"/>
      <c r="C622"/>
      <c r="D622"/>
      <c r="E622"/>
    </row>
    <row r="623" spans="2:5">
      <c r="B623"/>
      <c r="C623"/>
      <c r="D623"/>
      <c r="E623"/>
    </row>
    <row r="624" spans="2:5">
      <c r="B624"/>
      <c r="C624"/>
      <c r="D624"/>
      <c r="E624"/>
    </row>
    <row r="625" spans="2:5">
      <c r="B625"/>
      <c r="C625"/>
      <c r="D625"/>
      <c r="E625"/>
    </row>
    <row r="626" spans="2:5">
      <c r="B626"/>
      <c r="C626"/>
      <c r="D626"/>
      <c r="E626"/>
    </row>
    <row r="627" spans="2:5">
      <c r="B627"/>
      <c r="C627"/>
      <c r="D627"/>
      <c r="E627"/>
    </row>
    <row r="628" spans="2:5">
      <c r="B628"/>
      <c r="C628"/>
      <c r="D628"/>
      <c r="E628"/>
    </row>
    <row r="629" spans="2:5">
      <c r="B629"/>
      <c r="C629"/>
      <c r="D629"/>
      <c r="E629"/>
    </row>
    <row r="630" spans="2:5">
      <c r="B630"/>
      <c r="C630"/>
      <c r="D630"/>
      <c r="E630"/>
    </row>
    <row r="631" spans="2:5">
      <c r="B631"/>
      <c r="C631"/>
      <c r="D631"/>
      <c r="E631"/>
    </row>
    <row r="632" spans="2:5">
      <c r="B632"/>
      <c r="C632"/>
      <c r="D632"/>
      <c r="E632"/>
    </row>
    <row r="633" spans="2:5">
      <c r="B633"/>
      <c r="C633"/>
      <c r="D633"/>
      <c r="E633"/>
    </row>
    <row r="634" spans="2:5">
      <c r="B634"/>
      <c r="C634"/>
      <c r="D634"/>
      <c r="E634"/>
    </row>
    <row r="635" spans="2:5">
      <c r="B635"/>
      <c r="C635"/>
      <c r="D635"/>
      <c r="E635"/>
    </row>
    <row r="636" spans="2:5">
      <c r="B636"/>
      <c r="C636"/>
      <c r="D636"/>
      <c r="E636"/>
    </row>
    <row r="637" spans="2:5">
      <c r="B637"/>
      <c r="C637"/>
      <c r="D637"/>
      <c r="E637"/>
    </row>
    <row r="638" spans="2:5">
      <c r="B638"/>
      <c r="C638"/>
      <c r="D638"/>
      <c r="E638"/>
    </row>
    <row r="639" spans="2:5">
      <c r="B639"/>
      <c r="C639"/>
      <c r="D639"/>
      <c r="E639"/>
    </row>
    <row r="640" spans="2:5">
      <c r="B640"/>
      <c r="C640"/>
      <c r="D640"/>
      <c r="E640"/>
    </row>
    <row r="641" spans="2:5">
      <c r="B641"/>
      <c r="C641"/>
      <c r="D641"/>
      <c r="E641"/>
    </row>
    <row r="642" spans="2:5">
      <c r="B642"/>
      <c r="C642"/>
      <c r="D642"/>
      <c r="E642"/>
    </row>
    <row r="643" spans="2:5">
      <c r="B643"/>
      <c r="C643"/>
      <c r="D643"/>
      <c r="E643"/>
    </row>
    <row r="644" spans="2:5">
      <c r="B644"/>
      <c r="C644"/>
      <c r="D644"/>
      <c r="E644"/>
    </row>
    <row r="645" spans="2:5">
      <c r="B645"/>
      <c r="C645"/>
      <c r="D645"/>
      <c r="E645"/>
    </row>
    <row r="646" spans="2:5">
      <c r="B646"/>
      <c r="C646"/>
      <c r="D646"/>
      <c r="E646"/>
    </row>
    <row r="647" spans="2:5">
      <c r="B647"/>
      <c r="C647"/>
      <c r="D647"/>
      <c r="E647"/>
    </row>
    <row r="648" spans="2:5">
      <c r="B648"/>
      <c r="C648"/>
      <c r="D648"/>
      <c r="E648"/>
    </row>
    <row r="649" spans="2:5">
      <c r="B649"/>
      <c r="C649"/>
      <c r="D649"/>
      <c r="E649"/>
    </row>
    <row r="650" spans="2:5">
      <c r="B650"/>
      <c r="C650"/>
      <c r="D650"/>
      <c r="E650"/>
    </row>
    <row r="651" spans="2:5">
      <c r="B651"/>
      <c r="C651"/>
      <c r="D651"/>
      <c r="E651"/>
    </row>
    <row r="652" spans="2:5">
      <c r="B652"/>
      <c r="C652"/>
      <c r="D652"/>
      <c r="E652"/>
    </row>
    <row r="653" spans="2:5">
      <c r="B653"/>
      <c r="C653"/>
      <c r="D653"/>
      <c r="E653"/>
    </row>
    <row r="654" spans="2:5">
      <c r="B654"/>
      <c r="C654"/>
      <c r="D654"/>
      <c r="E654"/>
    </row>
    <row r="655" spans="2:5">
      <c r="B655"/>
      <c r="C655"/>
      <c r="D655"/>
      <c r="E655"/>
    </row>
    <row r="656" spans="2:5">
      <c r="B656"/>
      <c r="C656"/>
      <c r="D656"/>
      <c r="E656"/>
    </row>
    <row r="657" spans="2:5">
      <c r="B657"/>
      <c r="C657"/>
      <c r="D657"/>
      <c r="E657"/>
    </row>
    <row r="658" spans="2:5">
      <c r="B658"/>
      <c r="C658"/>
      <c r="D658"/>
      <c r="E658"/>
    </row>
    <row r="659" spans="2:5">
      <c r="B659"/>
      <c r="C659"/>
      <c r="D659"/>
      <c r="E659"/>
    </row>
    <row r="660" spans="2:5">
      <c r="B660"/>
      <c r="C660"/>
      <c r="D660"/>
      <c r="E660"/>
    </row>
    <row r="661" spans="2:5">
      <c r="B661"/>
      <c r="C661"/>
      <c r="D661"/>
      <c r="E661"/>
    </row>
    <row r="662" spans="2:5">
      <c r="B662"/>
      <c r="C662"/>
      <c r="D662"/>
      <c r="E662"/>
    </row>
    <row r="663" spans="2:5">
      <c r="B663"/>
      <c r="C663"/>
      <c r="D663"/>
      <c r="E663"/>
    </row>
    <row r="664" spans="2:5">
      <c r="B664"/>
      <c r="C664"/>
      <c r="D664"/>
      <c r="E664"/>
    </row>
    <row r="665" spans="2:5">
      <c r="B665"/>
      <c r="C665"/>
      <c r="D665"/>
      <c r="E665"/>
    </row>
    <row r="666" spans="2:5">
      <c r="B666"/>
      <c r="C666"/>
      <c r="D666"/>
      <c r="E666"/>
    </row>
    <row r="667" spans="2:5">
      <c r="B667"/>
      <c r="C667"/>
      <c r="D667"/>
      <c r="E667"/>
    </row>
    <row r="668" spans="2:5">
      <c r="B668"/>
      <c r="C668"/>
      <c r="D668"/>
      <c r="E668"/>
    </row>
    <row r="669" spans="2:5">
      <c r="B669"/>
      <c r="C669"/>
      <c r="D669"/>
      <c r="E669"/>
    </row>
    <row r="670" spans="2:5">
      <c r="B670"/>
      <c r="C670"/>
      <c r="D670"/>
      <c r="E670"/>
    </row>
    <row r="671" spans="2:5">
      <c r="B671"/>
      <c r="C671"/>
      <c r="D671"/>
      <c r="E671"/>
    </row>
    <row r="672" spans="2:5">
      <c r="B672"/>
      <c r="C672"/>
      <c r="D672"/>
      <c r="E672"/>
    </row>
    <row r="673" spans="2:5">
      <c r="B673"/>
      <c r="C673"/>
      <c r="D673"/>
      <c r="E673"/>
    </row>
    <row r="674" spans="2:5">
      <c r="B674"/>
      <c r="C674"/>
      <c r="D674"/>
      <c r="E674"/>
    </row>
    <row r="675" spans="2:5">
      <c r="B675"/>
      <c r="C675"/>
      <c r="D675"/>
      <c r="E675"/>
    </row>
    <row r="676" spans="2:5"/>
    <row r="677" spans="2:5"/>
    <row r="678" spans="2:5"/>
    <row r="679" spans="2:5"/>
    <row r="680" spans="2:5"/>
    <row r="681" spans="2:5"/>
    <row r="682" spans="2:5"/>
    <row r="683" spans="2:5"/>
    <row r="684" spans="2:5"/>
    <row r="685" spans="2:5"/>
    <row r="686" spans="2:5"/>
    <row r="687" spans="2:5"/>
    <row r="688" spans="2:5"/>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sheetData>
  <pageMargins left="0.70866141732283472" right="0.70866141732283472" top="0.74803149606299213" bottom="0.74803149606299213" header="0.31496062992125984" footer="0.31496062992125984"/>
  <pageSetup paperSize="9" scale="68" orientation="landscape" r:id="rId2"/>
  <headerFooter>
    <oddHeader>&amp;RPage &amp;P&amp;C&amp;A</oddHeader>
    <oddFooter>&amp;CPage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pageSetUpPr fitToPage="1"/>
  </sheetPr>
  <dimension ref="A1:T1564"/>
  <sheetViews>
    <sheetView showGridLines="0" showRowColHeaders="0" topLeftCell="A5" zoomScale="90" zoomScaleNormal="90" workbookViewId="0">
      <pane ySplit="20" topLeftCell="A25" activePane="bottomLeft" state="frozen"/>
      <selection activeCell="A5" sqref="A5"/>
      <selection pane="bottomLeft" activeCell="A5" sqref="A5"/>
    </sheetView>
  </sheetViews>
  <sheetFormatPr defaultColWidth="0" defaultRowHeight="15" zeroHeight="1"/>
  <cols>
    <col min="1" max="1" width="2.81640625" style="23" customWidth="1"/>
    <col min="2" max="2" width="41.08984375" style="23" customWidth="1"/>
    <col min="3" max="4" width="15.6328125" style="23" customWidth="1"/>
    <col min="5" max="5" width="12.08984375" style="23" customWidth="1"/>
    <col min="6" max="6" width="3" style="23" customWidth="1"/>
    <col min="7" max="7" width="80" style="23" customWidth="1"/>
    <col min="8" max="8" width="16.08984375" style="23" bestFit="1" customWidth="1"/>
    <col min="9" max="9" width="7.81640625" style="23" customWidth="1"/>
    <col min="10" max="10" width="15.90625" style="23" customWidth="1"/>
    <col min="11" max="11" width="3.36328125" style="23" customWidth="1"/>
    <col min="12" max="12" width="16.54296875" style="23" hidden="1" customWidth="1"/>
    <col min="13" max="16384" width="8.90625" style="23" hidden="1"/>
  </cols>
  <sheetData>
    <row r="1" spans="2:20" hidden="1">
      <c r="F1" s="145"/>
      <c r="G1" s="145"/>
    </row>
    <row r="2" spans="2:20" hidden="1">
      <c r="F2" s="145"/>
      <c r="G2" s="145"/>
    </row>
    <row r="3" spans="2:20" hidden="1">
      <c r="F3" s="145"/>
      <c r="G3" s="145"/>
      <c r="Q3" s="71"/>
      <c r="R3" s="71"/>
      <c r="S3" s="71"/>
      <c r="T3" s="71"/>
    </row>
    <row r="4" spans="2:20" ht="9" hidden="1" customHeight="1">
      <c r="B4" s="133"/>
      <c r="C4" s="133"/>
      <c r="D4" s="133"/>
      <c r="E4" s="133"/>
      <c r="F4" s="167"/>
      <c r="G4" s="167"/>
      <c r="H4" s="133"/>
      <c r="I4" s="133"/>
      <c r="J4" s="133"/>
      <c r="R4" s="71"/>
      <c r="S4" s="71"/>
      <c r="T4" s="71"/>
    </row>
    <row r="5" spans="2:20">
      <c r="B5" s="133"/>
      <c r="C5" s="133"/>
      <c r="D5" s="133"/>
      <c r="E5" s="133"/>
      <c r="F5" s="167"/>
      <c r="G5" s="167"/>
      <c r="H5" s="133"/>
      <c r="I5" s="133"/>
      <c r="J5" s="133"/>
      <c r="R5" s="71"/>
      <c r="S5" s="71"/>
      <c r="T5" s="71"/>
    </row>
    <row r="6" spans="2:20">
      <c r="B6" s="133"/>
      <c r="C6" s="133"/>
      <c r="D6" s="133"/>
      <c r="E6" s="133"/>
      <c r="F6" s="167"/>
      <c r="G6" s="167"/>
      <c r="H6" s="133"/>
      <c r="I6" s="133"/>
      <c r="J6" s="133"/>
      <c r="R6" s="71"/>
    </row>
    <row r="7" spans="2:20">
      <c r="B7" s="133"/>
      <c r="C7" s="133"/>
      <c r="D7" s="133"/>
      <c r="E7" s="133"/>
      <c r="F7" s="167"/>
      <c r="G7" s="167"/>
      <c r="H7" s="133"/>
      <c r="I7" s="133"/>
      <c r="J7" s="133"/>
      <c r="R7" s="71"/>
    </row>
    <row r="8" spans="2:20">
      <c r="B8" s="133"/>
      <c r="C8" s="133"/>
      <c r="D8" s="133"/>
      <c r="E8" s="133"/>
      <c r="F8" s="167"/>
      <c r="G8" s="167"/>
      <c r="H8" s="133"/>
      <c r="I8" s="133"/>
      <c r="J8" s="133"/>
      <c r="R8" s="71"/>
    </row>
    <row r="9" spans="2:20" hidden="1">
      <c r="B9" s="133"/>
      <c r="C9" s="133"/>
      <c r="D9" s="133"/>
      <c r="E9" s="133"/>
      <c r="F9" s="167"/>
      <c r="G9" s="167"/>
      <c r="H9" s="133"/>
      <c r="I9" s="133"/>
      <c r="J9" s="133"/>
      <c r="R9" s="71"/>
    </row>
    <row r="10" spans="2:20" hidden="1">
      <c r="B10" s="133"/>
      <c r="C10" s="133"/>
      <c r="D10" s="133"/>
      <c r="E10" s="133"/>
      <c r="F10" s="167"/>
      <c r="G10" s="167"/>
      <c r="H10" s="133"/>
      <c r="I10" s="133"/>
      <c r="J10" s="133"/>
      <c r="R10" s="71"/>
    </row>
    <row r="11" spans="2:20" ht="9.75" hidden="1" customHeight="1">
      <c r="B11" s="133"/>
      <c r="C11" s="133"/>
      <c r="D11" s="133"/>
      <c r="E11" s="133"/>
      <c r="F11" s="167"/>
      <c r="G11" s="167"/>
      <c r="H11" s="133"/>
      <c r="I11" s="133"/>
      <c r="J11" s="133"/>
      <c r="R11" s="71"/>
    </row>
    <row r="12" spans="2:20" hidden="1">
      <c r="B12" s="133"/>
      <c r="C12" s="133"/>
      <c r="D12" s="133"/>
      <c r="E12" s="133"/>
      <c r="F12" s="167"/>
      <c r="G12" s="167"/>
      <c r="H12" s="133"/>
      <c r="I12" s="133"/>
      <c r="J12" s="133"/>
      <c r="R12" s="71"/>
    </row>
    <row r="13" spans="2:20" ht="6" customHeight="1"/>
    <row r="14" spans="2:20"/>
    <row r="15" spans="2:20" hidden="1"/>
    <row r="16" spans="2:20" hidden="1"/>
    <row r="17" spans="2:11" hidden="1"/>
    <row r="18" spans="2:11" hidden="1"/>
    <row r="19" spans="2:11" hidden="1"/>
    <row r="20" spans="2:11" hidden="1">
      <c r="B20" s="249" t="s">
        <v>0</v>
      </c>
      <c r="C20" s="250" t="s" vm="1">
        <v>2</v>
      </c>
      <c r="G20" s="249" t="s">
        <v>0</v>
      </c>
      <c r="H20" s="250" t="s" vm="1">
        <v>2</v>
      </c>
    </row>
    <row r="21" spans="2:11" hidden="1">
      <c r="B21" s="249" t="s">
        <v>143</v>
      </c>
      <c r="C21" s="250" t="s" vm="959">
        <v>516</v>
      </c>
      <c r="G21" s="249" t="s">
        <v>143</v>
      </c>
      <c r="H21" s="250" t="s" vm="959">
        <v>516</v>
      </c>
    </row>
    <row r="22" spans="2:11" hidden="1">
      <c r="B22" s="249" t="s">
        <v>3</v>
      </c>
      <c r="C22" s="250" t="s" vm="949">
        <v>405</v>
      </c>
      <c r="G22" s="249" t="s">
        <v>3</v>
      </c>
      <c r="H22" s="250" t="s" vm="949">
        <v>405</v>
      </c>
    </row>
    <row r="23" spans="2:11" ht="6" customHeight="1"/>
    <row r="24" spans="2:11" s="157" customFormat="1" ht="46.8">
      <c r="B24" s="273" t="s">
        <v>114</v>
      </c>
      <c r="C24" s="274" t="s">
        <v>110</v>
      </c>
      <c r="D24" s="274" t="s">
        <v>6</v>
      </c>
      <c r="E24" s="274" t="s">
        <v>111</v>
      </c>
      <c r="G24" s="273" t="s">
        <v>115</v>
      </c>
      <c r="H24" s="278" t="s">
        <v>110</v>
      </c>
      <c r="I24" s="278" t="s">
        <v>6</v>
      </c>
      <c r="J24" s="278" t="s">
        <v>111</v>
      </c>
      <c r="K24" s="23"/>
    </row>
    <row r="25" spans="2:11">
      <c r="B25" s="265" t="s">
        <v>113</v>
      </c>
      <c r="C25" s="251">
        <v>7290</v>
      </c>
      <c r="D25" s="251">
        <v>2922</v>
      </c>
      <c r="E25" s="270">
        <v>0.50727158861596267</v>
      </c>
      <c r="G25" s="265" t="s">
        <v>14</v>
      </c>
      <c r="H25" s="251">
        <v>11180</v>
      </c>
      <c r="I25" s="251">
        <v>3283</v>
      </c>
      <c r="J25" s="270">
        <v>0.7779556050379236</v>
      </c>
    </row>
    <row r="26" spans="2:11">
      <c r="B26" s="265" t="s">
        <v>1403</v>
      </c>
      <c r="C26" s="251">
        <v>334</v>
      </c>
      <c r="D26" s="251">
        <v>173</v>
      </c>
      <c r="E26" s="270">
        <v>2.3241249739057824E-2</v>
      </c>
      <c r="G26" s="265" t="s">
        <v>1407</v>
      </c>
      <c r="H26" s="251">
        <v>1</v>
      </c>
      <c r="I26" s="251">
        <v>1</v>
      </c>
      <c r="J26" s="270">
        <v>6.9584580057059354E-5</v>
      </c>
    </row>
    <row r="27" spans="2:11">
      <c r="B27" s="265" t="s">
        <v>507</v>
      </c>
      <c r="C27" s="251">
        <v>3348</v>
      </c>
      <c r="D27" s="251">
        <v>886</v>
      </c>
      <c r="E27" s="270">
        <v>0.23296917403103473</v>
      </c>
      <c r="G27" s="265" t="s">
        <v>1408</v>
      </c>
      <c r="H27" s="251">
        <v>60</v>
      </c>
      <c r="I27" s="251">
        <v>18</v>
      </c>
      <c r="J27" s="270">
        <v>4.1750748034235612E-3</v>
      </c>
    </row>
    <row r="28" spans="2:11">
      <c r="B28" s="265" t="s">
        <v>1404</v>
      </c>
      <c r="C28" s="251">
        <v>5</v>
      </c>
      <c r="D28" s="251">
        <v>4</v>
      </c>
      <c r="E28" s="270">
        <v>3.479229002852968E-4</v>
      </c>
      <c r="G28" s="265" t="s">
        <v>1409</v>
      </c>
      <c r="H28" s="251">
        <v>11</v>
      </c>
      <c r="I28" s="251">
        <v>7</v>
      </c>
      <c r="J28" s="270">
        <v>7.6543038062765287E-4</v>
      </c>
    </row>
    <row r="29" spans="2:11">
      <c r="B29" s="265" t="s">
        <v>1405</v>
      </c>
      <c r="C29" s="251">
        <v>1836</v>
      </c>
      <c r="D29" s="251">
        <v>442</v>
      </c>
      <c r="E29" s="270">
        <v>0.12775728898476096</v>
      </c>
      <c r="G29" s="265" t="s">
        <v>1410</v>
      </c>
      <c r="H29" s="251">
        <v>757</v>
      </c>
      <c r="I29" s="251">
        <v>227</v>
      </c>
      <c r="J29" s="270">
        <v>5.2675527103193932E-2</v>
      </c>
    </row>
    <row r="30" spans="2:11">
      <c r="B30" s="265" t="s">
        <v>14</v>
      </c>
      <c r="C30" s="251">
        <v>1553</v>
      </c>
      <c r="D30" s="251">
        <v>1</v>
      </c>
      <c r="E30" s="270">
        <v>0.10806485282861318</v>
      </c>
      <c r="G30" s="265" t="s">
        <v>1411</v>
      </c>
      <c r="H30" s="251">
        <v>174</v>
      </c>
      <c r="I30" s="251">
        <v>28</v>
      </c>
      <c r="J30" s="270">
        <v>1.2107716929928328E-2</v>
      </c>
    </row>
    <row r="31" spans="2:11">
      <c r="B31" s="265" t="s">
        <v>1406</v>
      </c>
      <c r="C31" s="251">
        <v>5</v>
      </c>
      <c r="D31" s="251">
        <v>1</v>
      </c>
      <c r="E31" s="270">
        <v>3.479229002852968E-4</v>
      </c>
      <c r="G31" s="265" t="s">
        <v>1412</v>
      </c>
      <c r="H31" s="251">
        <v>749</v>
      </c>
      <c r="I31" s="251">
        <v>150</v>
      </c>
      <c r="J31" s="270">
        <v>5.2118850462737461E-2</v>
      </c>
    </row>
    <row r="32" spans="2:11" ht="15.6">
      <c r="B32" s="277" t="s">
        <v>34</v>
      </c>
      <c r="C32" s="275">
        <v>14371</v>
      </c>
      <c r="D32" s="275">
        <v>3747</v>
      </c>
      <c r="E32" s="276">
        <v>1</v>
      </c>
      <c r="G32" s="265" t="s">
        <v>1413</v>
      </c>
      <c r="H32" s="251">
        <v>39</v>
      </c>
      <c r="I32" s="251">
        <v>19</v>
      </c>
      <c r="J32" s="270">
        <v>2.713798622225315E-3</v>
      </c>
    </row>
    <row r="33" spans="2:10">
      <c r="B33"/>
      <c r="C33"/>
      <c r="D33"/>
      <c r="E33"/>
      <c r="G33" s="265" t="s">
        <v>1414</v>
      </c>
      <c r="H33" s="251">
        <v>596</v>
      </c>
      <c r="I33" s="251">
        <v>242</v>
      </c>
      <c r="J33" s="270">
        <v>4.1472409714007376E-2</v>
      </c>
    </row>
    <row r="34" spans="2:10">
      <c r="B34"/>
      <c r="C34"/>
      <c r="D34"/>
      <c r="E34"/>
      <c r="G34" s="265" t="s">
        <v>1415</v>
      </c>
      <c r="H34" s="251">
        <v>123</v>
      </c>
      <c r="I34" s="251">
        <v>36</v>
      </c>
      <c r="J34" s="270">
        <v>8.5589033470183009E-3</v>
      </c>
    </row>
    <row r="35" spans="2:10">
      <c r="B35"/>
      <c r="C35"/>
      <c r="D35"/>
      <c r="E35"/>
      <c r="G35" s="265" t="s">
        <v>1416</v>
      </c>
      <c r="H35" s="251">
        <v>313</v>
      </c>
      <c r="I35" s="251">
        <v>100</v>
      </c>
      <c r="J35" s="270">
        <v>2.1779973557859579E-2</v>
      </c>
    </row>
    <row r="36" spans="2:10">
      <c r="B36"/>
      <c r="C36"/>
      <c r="D36"/>
      <c r="E36"/>
      <c r="G36" s="265" t="s">
        <v>1417</v>
      </c>
      <c r="H36" s="251">
        <v>186</v>
      </c>
      <c r="I36" s="251">
        <v>39</v>
      </c>
      <c r="J36" s="270">
        <v>1.2942731890613041E-2</v>
      </c>
    </row>
    <row r="37" spans="2:10">
      <c r="B37"/>
      <c r="C37"/>
      <c r="D37"/>
      <c r="E37"/>
      <c r="G37" s="265" t="s">
        <v>1418</v>
      </c>
      <c r="H37" s="251">
        <v>52</v>
      </c>
      <c r="I37" s="251">
        <v>26</v>
      </c>
      <c r="J37" s="270">
        <v>3.6183981629670865E-3</v>
      </c>
    </row>
    <row r="38" spans="2:10">
      <c r="B38"/>
      <c r="C38"/>
      <c r="D38"/>
      <c r="E38"/>
      <c r="G38" s="265" t="s">
        <v>1419</v>
      </c>
      <c r="H38" s="251">
        <v>130</v>
      </c>
      <c r="I38" s="251">
        <v>37</v>
      </c>
      <c r="J38" s="270">
        <v>9.045995407417717E-3</v>
      </c>
    </row>
    <row r="39" spans="2:10" ht="15.6">
      <c r="B39"/>
      <c r="C39"/>
      <c r="D39"/>
      <c r="E39"/>
      <c r="G39" s="277" t="s">
        <v>34</v>
      </c>
      <c r="H39" s="275">
        <v>14371</v>
      </c>
      <c r="I39" s="275">
        <v>3747</v>
      </c>
      <c r="J39" s="276">
        <v>1</v>
      </c>
    </row>
    <row r="40" spans="2:10">
      <c r="B40"/>
      <c r="C40"/>
      <c r="D40"/>
      <c r="E40"/>
      <c r="G40"/>
      <c r="H40"/>
      <c r="I40"/>
      <c r="J40"/>
    </row>
    <row r="41" spans="2:10">
      <c r="B41"/>
      <c r="C41"/>
      <c r="D41"/>
      <c r="E41"/>
      <c r="G41"/>
      <c r="H41"/>
      <c r="I41"/>
      <c r="J41"/>
    </row>
    <row r="42" spans="2:10">
      <c r="B42"/>
      <c r="C42"/>
      <c r="D42"/>
      <c r="E42"/>
      <c r="G42"/>
      <c r="H42"/>
      <c r="I42"/>
      <c r="J42"/>
    </row>
    <row r="43" spans="2:10">
      <c r="B43"/>
      <c r="C43"/>
      <c r="D43"/>
      <c r="E43"/>
      <c r="G43"/>
      <c r="H43"/>
      <c r="I43"/>
      <c r="J43"/>
    </row>
    <row r="44" spans="2:10">
      <c r="B44"/>
      <c r="C44"/>
      <c r="D44"/>
      <c r="E44"/>
      <c r="G44"/>
      <c r="H44"/>
      <c r="I44"/>
      <c r="J44"/>
    </row>
    <row r="45" spans="2:10">
      <c r="B45"/>
      <c r="C45"/>
      <c r="D45"/>
      <c r="E45"/>
      <c r="G45"/>
      <c r="H45"/>
      <c r="I45"/>
      <c r="J45"/>
    </row>
    <row r="46" spans="2:10">
      <c r="B46"/>
      <c r="C46"/>
      <c r="D46"/>
      <c r="E46"/>
      <c r="G46"/>
      <c r="H46"/>
      <c r="I46"/>
      <c r="J46"/>
    </row>
    <row r="47" spans="2:10">
      <c r="B47"/>
      <c r="C47"/>
      <c r="D47"/>
      <c r="E47"/>
      <c r="G47"/>
      <c r="H47"/>
      <c r="I47"/>
      <c r="J47"/>
    </row>
    <row r="48" spans="2:10">
      <c r="B48"/>
      <c r="C48"/>
      <c r="D48"/>
      <c r="E48"/>
      <c r="G48"/>
      <c r="H48"/>
      <c r="I48"/>
      <c r="J48"/>
    </row>
    <row r="49" spans="2:10">
      <c r="B49"/>
      <c r="C49"/>
      <c r="D49"/>
      <c r="E49"/>
      <c r="G49"/>
      <c r="H49"/>
      <c r="I49"/>
      <c r="J49"/>
    </row>
    <row r="50" spans="2:10">
      <c r="B50"/>
      <c r="C50"/>
      <c r="D50"/>
      <c r="E50"/>
      <c r="G50"/>
      <c r="H50"/>
      <c r="I50"/>
      <c r="J50"/>
    </row>
    <row r="51" spans="2:10">
      <c r="B51"/>
      <c r="C51"/>
      <c r="D51"/>
      <c r="E51"/>
      <c r="G51"/>
      <c r="H51"/>
      <c r="I51"/>
      <c r="J51"/>
    </row>
    <row r="52" spans="2:10">
      <c r="B52"/>
      <c r="C52"/>
      <c r="D52"/>
      <c r="E52"/>
      <c r="G52"/>
      <c r="H52"/>
      <c r="I52"/>
      <c r="J52"/>
    </row>
    <row r="53" spans="2:10">
      <c r="B53"/>
      <c r="C53"/>
      <c r="D53"/>
      <c r="E53"/>
      <c r="G53"/>
      <c r="H53"/>
      <c r="I53"/>
      <c r="J53"/>
    </row>
    <row r="54" spans="2:10">
      <c r="B54"/>
      <c r="C54"/>
      <c r="D54"/>
      <c r="E54"/>
      <c r="G54"/>
      <c r="H54"/>
      <c r="I54"/>
      <c r="J54"/>
    </row>
    <row r="55" spans="2:10">
      <c r="B55"/>
      <c r="C55"/>
      <c r="D55"/>
      <c r="E55"/>
      <c r="G55"/>
      <c r="H55"/>
      <c r="I55"/>
      <c r="J55"/>
    </row>
    <row r="56" spans="2:10">
      <c r="B56"/>
      <c r="C56"/>
      <c r="D56"/>
      <c r="E56"/>
      <c r="G56"/>
      <c r="H56"/>
      <c r="I56"/>
      <c r="J56"/>
    </row>
    <row r="57" spans="2:10">
      <c r="B57"/>
      <c r="C57"/>
      <c r="D57"/>
      <c r="E57"/>
      <c r="G57"/>
      <c r="H57"/>
      <c r="I57"/>
      <c r="J57"/>
    </row>
    <row r="58" spans="2:10">
      <c r="B58"/>
      <c r="C58"/>
      <c r="D58"/>
      <c r="E58"/>
      <c r="G58"/>
      <c r="H58"/>
      <c r="I58"/>
      <c r="J58"/>
    </row>
    <row r="59" spans="2:10">
      <c r="B59"/>
      <c r="C59"/>
      <c r="D59"/>
      <c r="E59"/>
      <c r="G59"/>
      <c r="H59"/>
      <c r="I59"/>
      <c r="J59"/>
    </row>
    <row r="60" spans="2:10">
      <c r="B60"/>
      <c r="C60"/>
      <c r="D60"/>
      <c r="E60"/>
      <c r="G60"/>
      <c r="H60"/>
      <c r="I60"/>
      <c r="J60"/>
    </row>
    <row r="61" spans="2:10">
      <c r="B61"/>
      <c r="C61"/>
      <c r="D61"/>
      <c r="E61"/>
      <c r="G61"/>
      <c r="H61"/>
      <c r="I61"/>
      <c r="J61"/>
    </row>
    <row r="62" spans="2:10">
      <c r="B62"/>
      <c r="C62"/>
      <c r="D62"/>
      <c r="E62"/>
      <c r="G62"/>
      <c r="H62"/>
      <c r="I62"/>
      <c r="J62"/>
    </row>
    <row r="63" spans="2:10">
      <c r="B63"/>
      <c r="C63"/>
      <c r="D63"/>
      <c r="E63"/>
      <c r="G63"/>
      <c r="H63"/>
      <c r="I63"/>
      <c r="J63"/>
    </row>
    <row r="64" spans="2:10">
      <c r="B64"/>
      <c r="C64"/>
      <c r="D64"/>
      <c r="E64"/>
      <c r="G64"/>
      <c r="H64"/>
      <c r="I64"/>
      <c r="J64"/>
    </row>
    <row r="65" spans="2:10">
      <c r="B65"/>
      <c r="C65"/>
      <c r="D65"/>
      <c r="E65"/>
      <c r="G65"/>
      <c r="H65"/>
      <c r="I65"/>
      <c r="J65"/>
    </row>
    <row r="66" spans="2:10">
      <c r="B66"/>
      <c r="C66"/>
      <c r="D66"/>
      <c r="E66"/>
      <c r="G66"/>
      <c r="H66"/>
      <c r="I66"/>
      <c r="J66"/>
    </row>
    <row r="67" spans="2:10">
      <c r="B67"/>
      <c r="C67"/>
      <c r="D67"/>
      <c r="E67"/>
      <c r="G67"/>
      <c r="H67"/>
      <c r="I67"/>
      <c r="J67"/>
    </row>
    <row r="68" spans="2:10">
      <c r="B68"/>
      <c r="C68"/>
      <c r="D68"/>
      <c r="E68"/>
      <c r="G68"/>
      <c r="H68"/>
      <c r="I68"/>
      <c r="J68"/>
    </row>
    <row r="69" spans="2:10">
      <c r="B69"/>
      <c r="C69"/>
      <c r="D69"/>
      <c r="E69"/>
      <c r="G69"/>
      <c r="H69"/>
      <c r="I69"/>
      <c r="J69"/>
    </row>
    <row r="70" spans="2:10">
      <c r="B70"/>
      <c r="C70"/>
      <c r="D70"/>
      <c r="E70"/>
      <c r="G70"/>
      <c r="H70"/>
      <c r="I70"/>
      <c r="J70"/>
    </row>
    <row r="71" spans="2:10">
      <c r="B71"/>
      <c r="C71"/>
      <c r="D71"/>
      <c r="E71"/>
      <c r="G71"/>
      <c r="H71"/>
      <c r="I71"/>
      <c r="J71"/>
    </row>
    <row r="72" spans="2:10">
      <c r="B72"/>
      <c r="C72"/>
      <c r="D72"/>
      <c r="E72"/>
      <c r="G72"/>
      <c r="H72"/>
      <c r="I72"/>
      <c r="J72"/>
    </row>
    <row r="73" spans="2:10">
      <c r="B73"/>
      <c r="C73"/>
      <c r="D73"/>
      <c r="E73"/>
      <c r="G73"/>
      <c r="H73"/>
      <c r="I73"/>
      <c r="J73"/>
    </row>
    <row r="74" spans="2:10">
      <c r="B74"/>
      <c r="C74"/>
      <c r="D74"/>
      <c r="E74"/>
      <c r="G74"/>
      <c r="H74"/>
      <c r="I74"/>
      <c r="J74"/>
    </row>
    <row r="75" spans="2:10">
      <c r="B75"/>
      <c r="C75"/>
      <c r="D75"/>
      <c r="E75"/>
      <c r="G75"/>
      <c r="H75"/>
      <c r="I75"/>
      <c r="J75"/>
    </row>
    <row r="76" spans="2:10">
      <c r="B76"/>
      <c r="C76"/>
      <c r="D76"/>
      <c r="E76"/>
      <c r="G76"/>
      <c r="H76"/>
      <c r="I76"/>
      <c r="J76"/>
    </row>
    <row r="77" spans="2:10">
      <c r="B77"/>
      <c r="C77"/>
      <c r="D77"/>
      <c r="E77"/>
      <c r="G77"/>
      <c r="H77"/>
      <c r="I77"/>
      <c r="J77"/>
    </row>
    <row r="78" spans="2:10">
      <c r="B78"/>
      <c r="C78"/>
      <c r="D78"/>
      <c r="E78"/>
      <c r="G78"/>
      <c r="H78"/>
      <c r="I78"/>
      <c r="J78"/>
    </row>
    <row r="79" spans="2:10">
      <c r="B79"/>
      <c r="C79"/>
      <c r="D79"/>
      <c r="E79"/>
      <c r="G79"/>
      <c r="H79"/>
      <c r="I79"/>
      <c r="J79"/>
    </row>
    <row r="80" spans="2:10">
      <c r="B80"/>
      <c r="C80"/>
      <c r="D80"/>
      <c r="E80"/>
      <c r="G80"/>
      <c r="H80"/>
      <c r="I80"/>
      <c r="J80"/>
    </row>
    <row r="81" spans="2:10">
      <c r="B81"/>
      <c r="C81"/>
      <c r="D81"/>
      <c r="E81"/>
      <c r="G81"/>
      <c r="H81"/>
      <c r="I81"/>
      <c r="J81"/>
    </row>
    <row r="82" spans="2:10">
      <c r="B82"/>
      <c r="C82"/>
      <c r="D82"/>
      <c r="E82"/>
      <c r="G82"/>
      <c r="H82"/>
      <c r="I82"/>
      <c r="J82"/>
    </row>
    <row r="83" spans="2:10">
      <c r="B83"/>
      <c r="C83"/>
      <c r="D83"/>
      <c r="E83"/>
      <c r="G83"/>
      <c r="H83"/>
      <c r="I83"/>
      <c r="J83"/>
    </row>
    <row r="84" spans="2:10">
      <c r="B84"/>
      <c r="C84"/>
      <c r="D84"/>
      <c r="E84"/>
      <c r="G84"/>
      <c r="H84"/>
      <c r="I84"/>
      <c r="J84"/>
    </row>
    <row r="85" spans="2:10">
      <c r="B85"/>
      <c r="C85"/>
      <c r="D85"/>
      <c r="E85"/>
      <c r="G85"/>
      <c r="H85"/>
      <c r="I85"/>
      <c r="J85"/>
    </row>
    <row r="86" spans="2:10">
      <c r="B86"/>
      <c r="C86"/>
      <c r="D86"/>
      <c r="E86"/>
      <c r="G86"/>
      <c r="H86"/>
      <c r="I86"/>
      <c r="J86"/>
    </row>
    <row r="87" spans="2:10">
      <c r="G87"/>
      <c r="H87"/>
      <c r="I87"/>
      <c r="J87"/>
    </row>
    <row r="88" spans="2:10">
      <c r="G88"/>
      <c r="H88"/>
      <c r="I88"/>
      <c r="J88"/>
    </row>
    <row r="89" spans="2:10">
      <c r="G89"/>
      <c r="H89"/>
      <c r="I89"/>
      <c r="J89"/>
    </row>
    <row r="90" spans="2:10">
      <c r="G90"/>
      <c r="H90"/>
      <c r="I90"/>
      <c r="J90"/>
    </row>
    <row r="91" spans="2:10">
      <c r="G91"/>
      <c r="H91"/>
      <c r="I91"/>
      <c r="J91"/>
    </row>
    <row r="92" spans="2:10">
      <c r="G92"/>
      <c r="H92"/>
      <c r="I92"/>
      <c r="J92"/>
    </row>
    <row r="93" spans="2:10">
      <c r="G93"/>
      <c r="H93"/>
      <c r="I93"/>
      <c r="J93"/>
    </row>
    <row r="94" spans="2:10">
      <c r="G94"/>
      <c r="H94"/>
      <c r="I94"/>
      <c r="J94"/>
    </row>
    <row r="95" spans="2:10">
      <c r="G95"/>
      <c r="H95"/>
      <c r="I95"/>
      <c r="J95"/>
    </row>
    <row r="96" spans="2:10">
      <c r="G96"/>
      <c r="H96"/>
      <c r="I96"/>
      <c r="J96"/>
    </row>
    <row r="97" spans="7:10">
      <c r="G97"/>
      <c r="H97"/>
      <c r="I97"/>
      <c r="J97"/>
    </row>
    <row r="98" spans="7:10">
      <c r="G98"/>
      <c r="H98"/>
      <c r="I98"/>
      <c r="J98"/>
    </row>
    <row r="99" spans="7:10">
      <c r="G99"/>
      <c r="H99"/>
      <c r="I99"/>
      <c r="J99"/>
    </row>
    <row r="100" spans="7:10">
      <c r="G100"/>
      <c r="H100"/>
      <c r="I100"/>
      <c r="J100"/>
    </row>
    <row r="101" spans="7:10">
      <c r="G101"/>
      <c r="H101"/>
      <c r="I101"/>
      <c r="J101"/>
    </row>
    <row r="102" spans="7:10">
      <c r="G102"/>
      <c r="H102"/>
      <c r="I102"/>
      <c r="J102"/>
    </row>
    <row r="103" spans="7:10">
      <c r="G103"/>
      <c r="H103"/>
      <c r="I103"/>
      <c r="J103"/>
    </row>
    <row r="104" spans="7:10">
      <c r="G104"/>
      <c r="H104"/>
      <c r="I104"/>
      <c r="J104"/>
    </row>
    <row r="105" spans="7:10">
      <c r="G105"/>
      <c r="H105"/>
      <c r="I105"/>
      <c r="J105"/>
    </row>
    <row r="106" spans="7:10">
      <c r="G106"/>
      <c r="H106"/>
      <c r="I106"/>
      <c r="J106"/>
    </row>
    <row r="107" spans="7:10">
      <c r="G107"/>
      <c r="H107"/>
      <c r="I107"/>
      <c r="J107"/>
    </row>
    <row r="108" spans="7:10">
      <c r="G108"/>
      <c r="H108"/>
      <c r="I108"/>
      <c r="J108"/>
    </row>
    <row r="109" spans="7:10">
      <c r="G109"/>
      <c r="H109"/>
      <c r="I109"/>
      <c r="J109"/>
    </row>
    <row r="110" spans="7:10">
      <c r="G110"/>
      <c r="H110"/>
      <c r="I110"/>
      <c r="J110"/>
    </row>
    <row r="111" spans="7:10">
      <c r="G111"/>
      <c r="H111"/>
      <c r="I111"/>
      <c r="J111"/>
    </row>
    <row r="112" spans="7:10">
      <c r="G112"/>
      <c r="H112"/>
      <c r="I112"/>
      <c r="J112"/>
    </row>
    <row r="113" spans="7:10">
      <c r="G113"/>
      <c r="H113"/>
      <c r="I113"/>
      <c r="J113"/>
    </row>
    <row r="114" spans="7:10">
      <c r="G114"/>
      <c r="H114"/>
      <c r="I114"/>
      <c r="J114"/>
    </row>
    <row r="115" spans="7:10">
      <c r="G115"/>
      <c r="H115"/>
      <c r="I115"/>
      <c r="J115"/>
    </row>
    <row r="116" spans="7:10">
      <c r="G116"/>
      <c r="H116"/>
      <c r="I116"/>
      <c r="J116"/>
    </row>
    <row r="117" spans="7:10">
      <c r="G117"/>
      <c r="H117"/>
      <c r="I117"/>
      <c r="J117"/>
    </row>
    <row r="118" spans="7:10">
      <c r="G118"/>
      <c r="H118"/>
      <c r="I118"/>
      <c r="J118"/>
    </row>
    <row r="119" spans="7:10">
      <c r="G119"/>
      <c r="H119"/>
      <c r="I119"/>
      <c r="J119"/>
    </row>
    <row r="120" spans="7:10">
      <c r="G120"/>
      <c r="H120"/>
      <c r="I120"/>
      <c r="J120"/>
    </row>
    <row r="121" spans="7:10">
      <c r="G121"/>
      <c r="H121"/>
      <c r="I121"/>
      <c r="J121"/>
    </row>
    <row r="122" spans="7:10">
      <c r="G122"/>
      <c r="H122"/>
      <c r="I122"/>
      <c r="J122"/>
    </row>
    <row r="123" spans="7:10">
      <c r="G123"/>
      <c r="H123"/>
      <c r="I123"/>
      <c r="J123"/>
    </row>
    <row r="124" spans="7:10">
      <c r="G124"/>
      <c r="H124"/>
      <c r="I124"/>
      <c r="J124"/>
    </row>
    <row r="125" spans="7:10">
      <c r="G125"/>
      <c r="H125"/>
      <c r="I125"/>
      <c r="J125"/>
    </row>
    <row r="126" spans="7:10">
      <c r="G126"/>
      <c r="H126"/>
      <c r="I126"/>
      <c r="J126"/>
    </row>
    <row r="127" spans="7:10">
      <c r="G127"/>
      <c r="H127"/>
      <c r="I127"/>
      <c r="J127"/>
    </row>
    <row r="128" spans="7:10">
      <c r="G128"/>
      <c r="H128"/>
      <c r="I128"/>
      <c r="J128"/>
    </row>
    <row r="129" spans="7:10">
      <c r="G129"/>
      <c r="H129"/>
      <c r="I129"/>
      <c r="J129"/>
    </row>
    <row r="130" spans="7:10">
      <c r="G130"/>
      <c r="H130"/>
      <c r="I130"/>
      <c r="J130"/>
    </row>
    <row r="131" spans="7:10">
      <c r="G131"/>
      <c r="H131"/>
      <c r="I131"/>
      <c r="J131"/>
    </row>
    <row r="132" spans="7:10">
      <c r="G132"/>
      <c r="H132"/>
      <c r="I132"/>
      <c r="J132"/>
    </row>
    <row r="133" spans="7:10">
      <c r="G133"/>
      <c r="H133"/>
      <c r="I133"/>
      <c r="J133"/>
    </row>
    <row r="134" spans="7:10">
      <c r="G134"/>
      <c r="H134"/>
      <c r="I134"/>
      <c r="J134"/>
    </row>
    <row r="135" spans="7:10">
      <c r="G135"/>
      <c r="H135"/>
      <c r="I135"/>
      <c r="J135"/>
    </row>
    <row r="136" spans="7:10">
      <c r="G136"/>
      <c r="H136"/>
      <c r="I136"/>
      <c r="J136"/>
    </row>
    <row r="137" spans="7:10">
      <c r="G137"/>
      <c r="H137"/>
      <c r="I137"/>
      <c r="J137"/>
    </row>
    <row r="138" spans="7:10">
      <c r="G138"/>
      <c r="H138"/>
      <c r="I138"/>
      <c r="J138"/>
    </row>
    <row r="139" spans="7:10">
      <c r="G139"/>
      <c r="H139"/>
      <c r="I139"/>
      <c r="J139"/>
    </row>
    <row r="140" spans="7:10">
      <c r="G140"/>
      <c r="H140"/>
      <c r="I140"/>
      <c r="J140"/>
    </row>
    <row r="141" spans="7:10">
      <c r="G141"/>
      <c r="H141"/>
      <c r="I141"/>
      <c r="J141"/>
    </row>
    <row r="142" spans="7:10">
      <c r="G142"/>
      <c r="H142"/>
      <c r="I142"/>
      <c r="J142"/>
    </row>
    <row r="143" spans="7:10">
      <c r="G143"/>
      <c r="H143"/>
      <c r="I143"/>
      <c r="J143"/>
    </row>
    <row r="144" spans="7:10">
      <c r="G144"/>
      <c r="H144"/>
      <c r="I144"/>
      <c r="J144"/>
    </row>
    <row r="145" spans="7:10">
      <c r="G145"/>
      <c r="H145"/>
      <c r="I145"/>
      <c r="J145"/>
    </row>
    <row r="146" spans="7:10">
      <c r="G146"/>
      <c r="H146"/>
      <c r="I146"/>
      <c r="J146"/>
    </row>
    <row r="147" spans="7:10">
      <c r="G147"/>
      <c r="H147"/>
      <c r="I147"/>
      <c r="J147"/>
    </row>
    <row r="148" spans="7:10">
      <c r="G148"/>
      <c r="H148"/>
      <c r="I148"/>
      <c r="J148"/>
    </row>
    <row r="149" spans="7:10">
      <c r="G149"/>
      <c r="H149"/>
      <c r="I149"/>
      <c r="J149"/>
    </row>
    <row r="150" spans="7:10">
      <c r="G150"/>
      <c r="H150"/>
      <c r="I150"/>
      <c r="J150"/>
    </row>
    <row r="151" spans="7:10">
      <c r="G151"/>
      <c r="H151"/>
      <c r="I151"/>
      <c r="J151"/>
    </row>
    <row r="152" spans="7:10">
      <c r="G152"/>
      <c r="H152"/>
      <c r="I152"/>
      <c r="J152"/>
    </row>
    <row r="153" spans="7:10">
      <c r="G153"/>
      <c r="H153"/>
      <c r="I153"/>
      <c r="J153"/>
    </row>
    <row r="154" spans="7:10">
      <c r="G154"/>
      <c r="H154"/>
      <c r="I154"/>
      <c r="J154"/>
    </row>
    <row r="155" spans="7:10">
      <c r="G155"/>
      <c r="H155"/>
      <c r="I155"/>
      <c r="J155"/>
    </row>
    <row r="156" spans="7:10">
      <c r="G156"/>
      <c r="H156"/>
      <c r="I156"/>
      <c r="J156"/>
    </row>
    <row r="157" spans="7:10">
      <c r="G157"/>
      <c r="H157"/>
      <c r="I157"/>
      <c r="J157"/>
    </row>
    <row r="158" spans="7:10">
      <c r="G158"/>
      <c r="H158"/>
      <c r="I158"/>
      <c r="J158"/>
    </row>
    <row r="159" spans="7:10">
      <c r="G159"/>
      <c r="H159"/>
      <c r="I159"/>
      <c r="J159"/>
    </row>
    <row r="160" spans="7:10">
      <c r="G160"/>
      <c r="H160"/>
      <c r="I160"/>
      <c r="J160"/>
    </row>
    <row r="161" spans="7:10">
      <c r="G161"/>
      <c r="H161"/>
      <c r="I161"/>
      <c r="J161"/>
    </row>
    <row r="162" spans="7:10">
      <c r="G162"/>
      <c r="H162"/>
      <c r="I162"/>
      <c r="J162"/>
    </row>
    <row r="163" spans="7:10">
      <c r="G163"/>
      <c r="H163"/>
      <c r="I163"/>
      <c r="J163"/>
    </row>
    <row r="164" spans="7:10">
      <c r="G164"/>
      <c r="H164"/>
      <c r="I164"/>
      <c r="J164"/>
    </row>
    <row r="165" spans="7:10">
      <c r="G165"/>
      <c r="H165"/>
      <c r="I165"/>
      <c r="J165"/>
    </row>
    <row r="166" spans="7:10">
      <c r="G166"/>
      <c r="H166"/>
      <c r="I166"/>
      <c r="J166"/>
    </row>
    <row r="167" spans="7:10">
      <c r="G167"/>
      <c r="H167"/>
      <c r="I167"/>
      <c r="J167"/>
    </row>
    <row r="168" spans="7:10">
      <c r="G168"/>
      <c r="H168"/>
      <c r="I168"/>
      <c r="J168"/>
    </row>
    <row r="169" spans="7:10">
      <c r="G169"/>
      <c r="H169"/>
      <c r="I169"/>
      <c r="J169"/>
    </row>
    <row r="170" spans="7:10">
      <c r="G170"/>
      <c r="H170"/>
      <c r="I170"/>
      <c r="J170"/>
    </row>
    <row r="171" spans="7:10">
      <c r="G171"/>
      <c r="H171"/>
      <c r="I171"/>
      <c r="J171"/>
    </row>
    <row r="172" spans="7:10">
      <c r="G172"/>
      <c r="H172"/>
      <c r="I172"/>
      <c r="J172"/>
    </row>
    <row r="173" spans="7:10">
      <c r="G173"/>
      <c r="H173"/>
      <c r="I173"/>
      <c r="J173"/>
    </row>
    <row r="174" spans="7:10">
      <c r="G174"/>
      <c r="H174"/>
      <c r="I174"/>
      <c r="J174"/>
    </row>
    <row r="175" spans="7:10">
      <c r="G175"/>
      <c r="H175"/>
      <c r="I175"/>
      <c r="J175"/>
    </row>
    <row r="176" spans="7:10">
      <c r="G176"/>
      <c r="H176"/>
      <c r="I176"/>
      <c r="J176"/>
    </row>
    <row r="177" spans="7:10">
      <c r="G177"/>
      <c r="H177"/>
      <c r="I177"/>
      <c r="J177"/>
    </row>
    <row r="178" spans="7:10">
      <c r="G178"/>
      <c r="H178"/>
      <c r="I178"/>
      <c r="J178"/>
    </row>
    <row r="179" spans="7:10">
      <c r="G179"/>
      <c r="H179"/>
      <c r="I179"/>
      <c r="J179"/>
    </row>
    <row r="180" spans="7:10">
      <c r="G180"/>
      <c r="H180"/>
      <c r="I180"/>
      <c r="J180"/>
    </row>
    <row r="181" spans="7:10">
      <c r="G181"/>
      <c r="H181"/>
      <c r="I181"/>
      <c r="J181"/>
    </row>
    <row r="182" spans="7:10">
      <c r="G182"/>
      <c r="H182"/>
      <c r="I182"/>
      <c r="J182"/>
    </row>
    <row r="183" spans="7:10">
      <c r="G183"/>
      <c r="H183"/>
      <c r="I183"/>
      <c r="J183"/>
    </row>
    <row r="184" spans="7:10">
      <c r="G184"/>
      <c r="H184"/>
      <c r="I184"/>
      <c r="J184"/>
    </row>
    <row r="185" spans="7:10">
      <c r="G185"/>
      <c r="H185"/>
      <c r="I185"/>
      <c r="J185"/>
    </row>
    <row r="186" spans="7:10">
      <c r="G186"/>
      <c r="H186"/>
      <c r="I186"/>
      <c r="J186"/>
    </row>
    <row r="187" spans="7:10">
      <c r="G187"/>
      <c r="H187"/>
      <c r="I187"/>
      <c r="J187"/>
    </row>
    <row r="188" spans="7:10">
      <c r="G188"/>
      <c r="H188"/>
      <c r="I188"/>
      <c r="J188"/>
    </row>
    <row r="189" spans="7:10">
      <c r="G189"/>
      <c r="H189"/>
      <c r="I189"/>
      <c r="J189"/>
    </row>
    <row r="190" spans="7:10">
      <c r="G190"/>
      <c r="H190"/>
      <c r="I190"/>
      <c r="J190"/>
    </row>
    <row r="191" spans="7:10">
      <c r="G191"/>
      <c r="H191"/>
      <c r="I191"/>
      <c r="J191"/>
    </row>
    <row r="192" spans="7:10">
      <c r="G192"/>
      <c r="H192"/>
      <c r="I192"/>
      <c r="J192"/>
    </row>
    <row r="193" spans="7:10">
      <c r="G193"/>
      <c r="H193"/>
      <c r="I193"/>
      <c r="J193"/>
    </row>
    <row r="194" spans="7:10">
      <c r="G194"/>
      <c r="H194"/>
      <c r="I194"/>
      <c r="J194"/>
    </row>
    <row r="195" spans="7:10">
      <c r="G195"/>
      <c r="H195"/>
      <c r="I195"/>
      <c r="J195"/>
    </row>
    <row r="196" spans="7:10">
      <c r="G196"/>
      <c r="H196"/>
      <c r="I196"/>
      <c r="J196"/>
    </row>
    <row r="197" spans="7:10">
      <c r="G197"/>
      <c r="H197"/>
      <c r="I197"/>
      <c r="J197"/>
    </row>
    <row r="198" spans="7:10">
      <c r="G198"/>
      <c r="H198"/>
      <c r="I198"/>
      <c r="J198"/>
    </row>
    <row r="199" spans="7:10">
      <c r="G199"/>
      <c r="H199"/>
      <c r="I199"/>
      <c r="J199"/>
    </row>
    <row r="200" spans="7:10">
      <c r="G200"/>
      <c r="H200"/>
      <c r="I200"/>
      <c r="J200"/>
    </row>
    <row r="201" spans="7:10">
      <c r="G201"/>
      <c r="H201"/>
      <c r="I201"/>
      <c r="J201"/>
    </row>
    <row r="202" spans="7:10">
      <c r="G202"/>
      <c r="H202"/>
      <c r="I202"/>
      <c r="J202"/>
    </row>
    <row r="203" spans="7:10">
      <c r="G203"/>
      <c r="H203"/>
      <c r="I203"/>
      <c r="J203"/>
    </row>
    <row r="204" spans="7:10">
      <c r="G204"/>
      <c r="H204"/>
      <c r="I204"/>
      <c r="J204"/>
    </row>
    <row r="205" spans="7:10">
      <c r="G205"/>
      <c r="H205"/>
      <c r="I205"/>
      <c r="J205"/>
    </row>
    <row r="206" spans="7:10">
      <c r="G206"/>
      <c r="H206"/>
      <c r="I206"/>
      <c r="J206"/>
    </row>
    <row r="207" spans="7:10">
      <c r="G207"/>
      <c r="H207"/>
      <c r="I207"/>
      <c r="J207"/>
    </row>
    <row r="208" spans="7:10">
      <c r="G208"/>
      <c r="H208"/>
      <c r="I208"/>
      <c r="J208"/>
    </row>
    <row r="209" spans="7:10">
      <c r="G209"/>
      <c r="H209"/>
      <c r="I209"/>
      <c r="J209"/>
    </row>
    <row r="210" spans="7:10">
      <c r="G210"/>
      <c r="H210"/>
      <c r="I210"/>
      <c r="J210"/>
    </row>
    <row r="211" spans="7:10">
      <c r="G211"/>
      <c r="H211"/>
      <c r="I211"/>
      <c r="J211"/>
    </row>
    <row r="212" spans="7:10">
      <c r="G212"/>
      <c r="H212"/>
      <c r="I212"/>
      <c r="J212"/>
    </row>
    <row r="213" spans="7:10">
      <c r="G213"/>
      <c r="H213"/>
      <c r="I213"/>
      <c r="J213"/>
    </row>
    <row r="214" spans="7:10">
      <c r="G214"/>
      <c r="H214"/>
      <c r="I214"/>
      <c r="J214"/>
    </row>
    <row r="215" spans="7:10">
      <c r="G215"/>
      <c r="H215"/>
      <c r="I215"/>
      <c r="J215"/>
    </row>
    <row r="216" spans="7:10">
      <c r="G216"/>
      <c r="H216"/>
      <c r="I216"/>
      <c r="J216"/>
    </row>
    <row r="217" spans="7:10">
      <c r="G217"/>
      <c r="H217"/>
      <c r="I217"/>
      <c r="J217"/>
    </row>
    <row r="218" spans="7:10">
      <c r="G218"/>
      <c r="H218"/>
      <c r="I218"/>
      <c r="J218"/>
    </row>
    <row r="219" spans="7:10">
      <c r="G219"/>
      <c r="H219"/>
      <c r="I219"/>
      <c r="J219"/>
    </row>
    <row r="220" spans="7:10">
      <c r="G220"/>
      <c r="H220"/>
      <c r="I220"/>
      <c r="J220"/>
    </row>
    <row r="221" spans="7:10">
      <c r="G221"/>
      <c r="H221"/>
      <c r="I221"/>
      <c r="J221"/>
    </row>
    <row r="222" spans="7:10">
      <c r="G222"/>
      <c r="H222"/>
      <c r="I222"/>
      <c r="J222"/>
    </row>
    <row r="223" spans="7:10">
      <c r="G223"/>
      <c r="H223"/>
      <c r="I223"/>
      <c r="J223"/>
    </row>
    <row r="224" spans="7:10">
      <c r="G224"/>
      <c r="H224"/>
      <c r="I224"/>
      <c r="J224"/>
    </row>
    <row r="225" spans="7:10">
      <c r="G225"/>
      <c r="H225"/>
      <c r="I225"/>
      <c r="J225"/>
    </row>
    <row r="226" spans="7:10">
      <c r="G226"/>
      <c r="H226"/>
      <c r="I226"/>
      <c r="J226"/>
    </row>
    <row r="227" spans="7:10">
      <c r="G227"/>
      <c r="H227"/>
      <c r="I227"/>
      <c r="J227"/>
    </row>
    <row r="228" spans="7:10">
      <c r="G228"/>
      <c r="H228"/>
      <c r="I228"/>
      <c r="J228"/>
    </row>
    <row r="229" spans="7:10">
      <c r="G229"/>
      <c r="H229"/>
      <c r="I229"/>
      <c r="J229"/>
    </row>
    <row r="230" spans="7:10">
      <c r="G230"/>
      <c r="H230"/>
      <c r="I230"/>
      <c r="J230"/>
    </row>
    <row r="231" spans="7:10">
      <c r="G231"/>
      <c r="H231"/>
      <c r="I231"/>
      <c r="J231"/>
    </row>
    <row r="232" spans="7:10">
      <c r="G232"/>
      <c r="H232"/>
      <c r="I232"/>
      <c r="J232"/>
    </row>
    <row r="233" spans="7:10">
      <c r="G233"/>
      <c r="H233"/>
      <c r="I233"/>
      <c r="J233"/>
    </row>
    <row r="234" spans="7:10">
      <c r="G234"/>
      <c r="H234"/>
      <c r="I234"/>
      <c r="J234"/>
    </row>
    <row r="235" spans="7:10">
      <c r="G235"/>
      <c r="H235"/>
      <c r="I235"/>
      <c r="J235"/>
    </row>
    <row r="236" spans="7:10">
      <c r="G236"/>
      <c r="H236"/>
      <c r="I236"/>
      <c r="J236"/>
    </row>
    <row r="237" spans="7:10">
      <c r="G237"/>
      <c r="H237"/>
      <c r="I237"/>
      <c r="J237"/>
    </row>
    <row r="238" spans="7:10">
      <c r="G238"/>
      <c r="H238"/>
      <c r="I238"/>
      <c r="J238"/>
    </row>
    <row r="239" spans="7:10">
      <c r="G239"/>
      <c r="H239"/>
      <c r="I239"/>
      <c r="J239"/>
    </row>
    <row r="240" spans="7:10">
      <c r="G240"/>
      <c r="H240"/>
      <c r="I240"/>
      <c r="J240"/>
    </row>
    <row r="241" spans="7:10">
      <c r="G241"/>
      <c r="H241"/>
      <c r="I241"/>
      <c r="J241"/>
    </row>
    <row r="242" spans="7:10">
      <c r="G242"/>
      <c r="H242"/>
      <c r="I242"/>
      <c r="J242"/>
    </row>
    <row r="243" spans="7:10">
      <c r="G243"/>
      <c r="H243"/>
      <c r="I243"/>
      <c r="J243"/>
    </row>
    <row r="244" spans="7:10">
      <c r="G244"/>
      <c r="H244"/>
      <c r="I244"/>
      <c r="J244"/>
    </row>
    <row r="245" spans="7:10">
      <c r="G245"/>
      <c r="H245"/>
      <c r="I245"/>
      <c r="J245"/>
    </row>
    <row r="246" spans="7:10">
      <c r="G246"/>
      <c r="H246"/>
      <c r="I246"/>
      <c r="J246"/>
    </row>
    <row r="247" spans="7:10">
      <c r="G247"/>
      <c r="H247"/>
      <c r="I247"/>
      <c r="J247"/>
    </row>
    <row r="248" spans="7:10">
      <c r="G248"/>
      <c r="H248"/>
      <c r="I248"/>
      <c r="J248"/>
    </row>
    <row r="249" spans="7:10">
      <c r="G249"/>
      <c r="H249"/>
      <c r="I249"/>
      <c r="J249"/>
    </row>
    <row r="250" spans="7:10">
      <c r="G250"/>
      <c r="H250"/>
      <c r="I250"/>
      <c r="J250"/>
    </row>
    <row r="251" spans="7:10">
      <c r="G251"/>
      <c r="H251"/>
      <c r="I251"/>
      <c r="J251"/>
    </row>
    <row r="252" spans="7:10">
      <c r="G252"/>
      <c r="H252"/>
      <c r="I252"/>
      <c r="J252"/>
    </row>
    <row r="253" spans="7:10">
      <c r="G253"/>
      <c r="H253"/>
      <c r="I253"/>
      <c r="J253"/>
    </row>
    <row r="254" spans="7:10">
      <c r="G254"/>
      <c r="H254"/>
      <c r="I254"/>
      <c r="J254"/>
    </row>
    <row r="255" spans="7:10">
      <c r="G255"/>
      <c r="H255"/>
      <c r="I255"/>
      <c r="J255"/>
    </row>
    <row r="256" spans="7:10">
      <c r="G256"/>
      <c r="H256"/>
      <c r="I256"/>
      <c r="J256"/>
    </row>
    <row r="257" spans="7:10">
      <c r="G257"/>
      <c r="H257"/>
      <c r="I257"/>
      <c r="J257"/>
    </row>
    <row r="258" spans="7:10">
      <c r="G258"/>
      <c r="H258"/>
      <c r="I258"/>
      <c r="J258"/>
    </row>
    <row r="259" spans="7:10">
      <c r="G259"/>
      <c r="H259"/>
      <c r="I259"/>
      <c r="J259"/>
    </row>
    <row r="260" spans="7:10">
      <c r="G260"/>
      <c r="H260"/>
      <c r="I260"/>
      <c r="J260"/>
    </row>
    <row r="261" spans="7:10">
      <c r="G261"/>
      <c r="H261"/>
      <c r="I261"/>
      <c r="J261"/>
    </row>
    <row r="262" spans="7:10">
      <c r="G262"/>
      <c r="H262"/>
      <c r="I262"/>
      <c r="J262"/>
    </row>
    <row r="263" spans="7:10">
      <c r="G263"/>
      <c r="H263"/>
      <c r="I263"/>
      <c r="J263"/>
    </row>
    <row r="264" spans="7:10">
      <c r="G264"/>
      <c r="H264"/>
      <c r="I264"/>
      <c r="J264"/>
    </row>
    <row r="265" spans="7:10">
      <c r="G265"/>
      <c r="H265"/>
      <c r="I265"/>
      <c r="J265"/>
    </row>
    <row r="266" spans="7:10">
      <c r="G266"/>
      <c r="H266"/>
      <c r="I266"/>
      <c r="J266"/>
    </row>
    <row r="267" spans="7:10">
      <c r="G267"/>
      <c r="H267"/>
      <c r="I267"/>
      <c r="J267"/>
    </row>
    <row r="268" spans="7:10">
      <c r="G268"/>
      <c r="H268"/>
      <c r="I268"/>
      <c r="J268"/>
    </row>
    <row r="269" spans="7:10">
      <c r="G269"/>
      <c r="H269"/>
      <c r="I269"/>
      <c r="J269"/>
    </row>
    <row r="270" spans="7:10">
      <c r="G270"/>
      <c r="H270"/>
      <c r="I270"/>
      <c r="J270"/>
    </row>
    <row r="271" spans="7:10">
      <c r="G271"/>
      <c r="H271"/>
      <c r="I271"/>
      <c r="J271"/>
    </row>
    <row r="272" spans="7:10">
      <c r="G272"/>
      <c r="H272"/>
      <c r="I272"/>
      <c r="J272"/>
    </row>
    <row r="273" spans="7:10">
      <c r="G273"/>
      <c r="H273"/>
      <c r="I273"/>
      <c r="J273"/>
    </row>
    <row r="274" spans="7:10">
      <c r="G274"/>
      <c r="H274"/>
      <c r="I274"/>
      <c r="J274"/>
    </row>
    <row r="275" spans="7:10">
      <c r="G275"/>
      <c r="H275"/>
      <c r="I275"/>
      <c r="J275"/>
    </row>
    <row r="276" spans="7:10">
      <c r="G276"/>
      <c r="H276"/>
      <c r="I276"/>
      <c r="J276"/>
    </row>
    <row r="277" spans="7:10">
      <c r="G277"/>
      <c r="H277"/>
      <c r="I277"/>
      <c r="J277"/>
    </row>
    <row r="278" spans="7:10">
      <c r="G278"/>
      <c r="H278"/>
      <c r="I278"/>
      <c r="J278"/>
    </row>
    <row r="279" spans="7:10">
      <c r="G279"/>
      <c r="H279"/>
      <c r="I279"/>
      <c r="J279"/>
    </row>
    <row r="280" spans="7:10">
      <c r="G280"/>
      <c r="H280"/>
      <c r="I280"/>
      <c r="J280"/>
    </row>
    <row r="281" spans="7:10">
      <c r="G281"/>
      <c r="H281"/>
      <c r="I281"/>
      <c r="J281"/>
    </row>
    <row r="282" spans="7:10">
      <c r="G282"/>
      <c r="H282"/>
      <c r="I282"/>
      <c r="J282"/>
    </row>
    <row r="283" spans="7:10">
      <c r="G283"/>
      <c r="H283"/>
      <c r="I283"/>
      <c r="J283"/>
    </row>
    <row r="284" spans="7:10">
      <c r="G284"/>
      <c r="H284"/>
      <c r="I284"/>
      <c r="J284"/>
    </row>
    <row r="285" spans="7:10">
      <c r="G285"/>
      <c r="H285"/>
      <c r="I285"/>
      <c r="J285"/>
    </row>
    <row r="286" spans="7:10">
      <c r="G286"/>
      <c r="H286"/>
      <c r="I286"/>
      <c r="J286"/>
    </row>
    <row r="287" spans="7:10">
      <c r="G287"/>
      <c r="H287"/>
      <c r="I287"/>
      <c r="J287"/>
    </row>
    <row r="288" spans="7:10">
      <c r="G288"/>
      <c r="H288"/>
      <c r="I288"/>
      <c r="J288"/>
    </row>
    <row r="289" spans="7:10">
      <c r="G289"/>
      <c r="H289"/>
      <c r="I289"/>
      <c r="J289"/>
    </row>
    <row r="290" spans="7:10">
      <c r="G290"/>
      <c r="H290"/>
      <c r="I290"/>
      <c r="J290"/>
    </row>
    <row r="291" spans="7:10">
      <c r="G291"/>
      <c r="H291"/>
      <c r="I291"/>
      <c r="J291"/>
    </row>
    <row r="292" spans="7:10">
      <c r="G292"/>
      <c r="H292"/>
      <c r="I292"/>
      <c r="J292"/>
    </row>
    <row r="293" spans="7:10">
      <c r="G293"/>
      <c r="H293"/>
      <c r="I293"/>
      <c r="J293"/>
    </row>
    <row r="294" spans="7:10">
      <c r="G294"/>
      <c r="H294"/>
      <c r="I294"/>
      <c r="J294"/>
    </row>
    <row r="295" spans="7:10">
      <c r="G295"/>
      <c r="H295"/>
      <c r="I295"/>
      <c r="J295"/>
    </row>
    <row r="296" spans="7:10">
      <c r="G296"/>
      <c r="H296"/>
      <c r="I296"/>
      <c r="J296"/>
    </row>
    <row r="297" spans="7:10">
      <c r="G297"/>
      <c r="H297"/>
      <c r="I297"/>
      <c r="J297"/>
    </row>
    <row r="298" spans="7:10">
      <c r="G298"/>
      <c r="H298"/>
      <c r="I298"/>
      <c r="J298"/>
    </row>
    <row r="299" spans="7:10">
      <c r="G299"/>
      <c r="H299"/>
      <c r="I299"/>
      <c r="J299"/>
    </row>
    <row r="300" spans="7:10">
      <c r="G300"/>
      <c r="H300"/>
      <c r="I300"/>
      <c r="J300"/>
    </row>
    <row r="301" spans="7:10">
      <c r="G301"/>
      <c r="H301"/>
      <c r="I301"/>
      <c r="J301"/>
    </row>
    <row r="302" spans="7:10">
      <c r="G302"/>
      <c r="H302"/>
      <c r="I302"/>
      <c r="J302"/>
    </row>
    <row r="303" spans="7:10">
      <c r="G303"/>
      <c r="H303"/>
      <c r="I303"/>
      <c r="J303"/>
    </row>
    <row r="304" spans="7:10">
      <c r="G304"/>
      <c r="H304"/>
      <c r="I304"/>
      <c r="J304"/>
    </row>
    <row r="305" spans="7:10">
      <c r="G305"/>
      <c r="H305"/>
      <c r="I305"/>
      <c r="J305"/>
    </row>
    <row r="306" spans="7:10">
      <c r="G306"/>
      <c r="H306"/>
      <c r="I306"/>
      <c r="J306"/>
    </row>
    <row r="307" spans="7:10">
      <c r="G307"/>
      <c r="H307"/>
      <c r="I307"/>
      <c r="J307"/>
    </row>
    <row r="308" spans="7:10">
      <c r="G308"/>
      <c r="H308"/>
      <c r="I308"/>
      <c r="J308"/>
    </row>
    <row r="309" spans="7:10">
      <c r="G309"/>
      <c r="H309"/>
      <c r="I309"/>
      <c r="J309"/>
    </row>
    <row r="310" spans="7:10">
      <c r="G310"/>
      <c r="H310"/>
      <c r="I310"/>
      <c r="J310"/>
    </row>
    <row r="311" spans="7:10">
      <c r="G311"/>
      <c r="H311"/>
      <c r="I311"/>
      <c r="J311"/>
    </row>
    <row r="312" spans="7:10">
      <c r="G312"/>
      <c r="H312"/>
      <c r="I312"/>
      <c r="J312"/>
    </row>
    <row r="313" spans="7:10">
      <c r="G313"/>
      <c r="H313"/>
      <c r="I313"/>
      <c r="J313"/>
    </row>
    <row r="314" spans="7:10">
      <c r="G314"/>
      <c r="H314"/>
      <c r="I314"/>
      <c r="J314"/>
    </row>
    <row r="315" spans="7:10">
      <c r="G315"/>
      <c r="H315"/>
      <c r="I315"/>
      <c r="J315"/>
    </row>
    <row r="316" spans="7:10">
      <c r="G316"/>
      <c r="H316"/>
      <c r="I316"/>
      <c r="J316"/>
    </row>
    <row r="317" spans="7:10">
      <c r="G317"/>
      <c r="H317"/>
      <c r="I317"/>
      <c r="J317"/>
    </row>
    <row r="318" spans="7:10">
      <c r="G318"/>
      <c r="H318"/>
      <c r="I318"/>
      <c r="J318"/>
    </row>
    <row r="319" spans="7:10">
      <c r="G319"/>
      <c r="H319"/>
      <c r="I319"/>
      <c r="J319"/>
    </row>
    <row r="320" spans="7:10">
      <c r="G320"/>
      <c r="H320"/>
      <c r="I320"/>
      <c r="J320"/>
    </row>
    <row r="321" spans="7:10">
      <c r="G321"/>
      <c r="H321"/>
      <c r="I321"/>
      <c r="J321"/>
    </row>
    <row r="322" spans="7:10">
      <c r="G322"/>
      <c r="H322"/>
      <c r="I322"/>
      <c r="J322"/>
    </row>
    <row r="323" spans="7:10">
      <c r="G323"/>
      <c r="H323"/>
      <c r="I323"/>
      <c r="J323"/>
    </row>
    <row r="324" spans="7:10">
      <c r="G324"/>
      <c r="H324"/>
      <c r="I324"/>
      <c r="J324"/>
    </row>
    <row r="325" spans="7:10">
      <c r="G325"/>
      <c r="H325"/>
      <c r="I325"/>
      <c r="J325"/>
    </row>
    <row r="326" spans="7:10">
      <c r="G326"/>
      <c r="H326"/>
      <c r="I326"/>
      <c r="J326"/>
    </row>
    <row r="327" spans="7:10">
      <c r="G327"/>
      <c r="H327"/>
      <c r="I327"/>
      <c r="J327"/>
    </row>
    <row r="328" spans="7:10">
      <c r="G328"/>
      <c r="H328"/>
      <c r="I328"/>
      <c r="J328"/>
    </row>
    <row r="329" spans="7:10">
      <c r="G329"/>
      <c r="H329"/>
      <c r="I329"/>
      <c r="J329"/>
    </row>
    <row r="330" spans="7:10">
      <c r="G330"/>
      <c r="H330"/>
      <c r="I330"/>
      <c r="J330"/>
    </row>
    <row r="331" spans="7:10">
      <c r="G331"/>
      <c r="H331"/>
      <c r="I331"/>
      <c r="J331"/>
    </row>
    <row r="332" spans="7:10">
      <c r="G332"/>
      <c r="H332"/>
      <c r="I332"/>
      <c r="J332"/>
    </row>
    <row r="333" spans="7:10">
      <c r="G333"/>
      <c r="H333"/>
      <c r="I333"/>
      <c r="J333"/>
    </row>
    <row r="334" spans="7:10">
      <c r="G334"/>
      <c r="H334"/>
      <c r="I334"/>
      <c r="J334"/>
    </row>
    <row r="335" spans="7:10">
      <c r="G335"/>
      <c r="H335"/>
      <c r="I335"/>
      <c r="J335"/>
    </row>
    <row r="336" spans="7:10">
      <c r="G336"/>
      <c r="H336"/>
      <c r="I336"/>
      <c r="J336"/>
    </row>
    <row r="337" spans="7:10">
      <c r="G337"/>
      <c r="H337"/>
      <c r="I337"/>
      <c r="J337"/>
    </row>
    <row r="338" spans="7:10">
      <c r="G338"/>
      <c r="H338"/>
      <c r="I338"/>
      <c r="J338"/>
    </row>
    <row r="339" spans="7:10">
      <c r="G339"/>
      <c r="H339"/>
      <c r="I339"/>
      <c r="J339"/>
    </row>
    <row r="340" spans="7:10">
      <c r="G340"/>
      <c r="H340"/>
      <c r="I340"/>
      <c r="J340"/>
    </row>
    <row r="341" spans="7:10">
      <c r="G341"/>
      <c r="H341"/>
      <c r="I341"/>
      <c r="J341"/>
    </row>
    <row r="342" spans="7:10">
      <c r="G342"/>
      <c r="H342"/>
      <c r="I342"/>
      <c r="J342"/>
    </row>
    <row r="343" spans="7:10">
      <c r="G343"/>
      <c r="H343"/>
      <c r="I343"/>
      <c r="J343"/>
    </row>
    <row r="344" spans="7:10">
      <c r="G344"/>
      <c r="H344"/>
      <c r="I344"/>
      <c r="J344"/>
    </row>
    <row r="345" spans="7:10">
      <c r="G345"/>
      <c r="H345"/>
      <c r="I345"/>
      <c r="J345"/>
    </row>
    <row r="346" spans="7:10">
      <c r="G346"/>
      <c r="H346"/>
      <c r="I346"/>
      <c r="J346"/>
    </row>
    <row r="347" spans="7:10">
      <c r="G347"/>
      <c r="H347"/>
      <c r="I347"/>
      <c r="J347"/>
    </row>
    <row r="348" spans="7:10">
      <c r="G348"/>
      <c r="H348"/>
      <c r="I348"/>
      <c r="J348"/>
    </row>
    <row r="349" spans="7:10">
      <c r="G349"/>
      <c r="H349"/>
      <c r="I349"/>
      <c r="J349"/>
    </row>
    <row r="350" spans="7:10">
      <c r="G350"/>
      <c r="H350"/>
      <c r="I350"/>
      <c r="J350"/>
    </row>
    <row r="351" spans="7:10">
      <c r="G351"/>
      <c r="H351"/>
      <c r="I351"/>
      <c r="J351"/>
    </row>
    <row r="352" spans="7:10">
      <c r="G352"/>
      <c r="H352"/>
      <c r="I352"/>
      <c r="J352"/>
    </row>
    <row r="353" spans="7:10">
      <c r="G353"/>
      <c r="H353"/>
      <c r="I353"/>
      <c r="J353"/>
    </row>
    <row r="354" spans="7:10">
      <c r="G354"/>
      <c r="H354"/>
      <c r="I354"/>
      <c r="J354"/>
    </row>
    <row r="355" spans="7:10">
      <c r="G355"/>
      <c r="H355"/>
      <c r="I355"/>
      <c r="J355"/>
    </row>
    <row r="356" spans="7:10">
      <c r="G356"/>
      <c r="H356"/>
      <c r="I356"/>
      <c r="J356"/>
    </row>
    <row r="357" spans="7:10">
      <c r="G357"/>
      <c r="H357"/>
      <c r="I357"/>
      <c r="J357"/>
    </row>
    <row r="358" spans="7:10">
      <c r="G358"/>
      <c r="H358"/>
      <c r="I358"/>
      <c r="J358"/>
    </row>
    <row r="359" spans="7:10">
      <c r="G359"/>
      <c r="H359"/>
      <c r="I359"/>
      <c r="J359"/>
    </row>
    <row r="360" spans="7:10">
      <c r="G360"/>
      <c r="H360"/>
      <c r="I360"/>
      <c r="J360"/>
    </row>
    <row r="361" spans="7:10">
      <c r="G361"/>
      <c r="H361"/>
      <c r="I361"/>
      <c r="J361"/>
    </row>
    <row r="362" spans="7:10">
      <c r="G362"/>
      <c r="H362"/>
      <c r="I362"/>
      <c r="J362"/>
    </row>
    <row r="363" spans="7:10">
      <c r="G363"/>
      <c r="H363"/>
      <c r="I363"/>
      <c r="J363"/>
    </row>
    <row r="364" spans="7:10">
      <c r="G364"/>
      <c r="H364"/>
      <c r="I364"/>
      <c r="J364"/>
    </row>
    <row r="365" spans="7:10">
      <c r="G365"/>
      <c r="H365"/>
      <c r="I365"/>
      <c r="J365"/>
    </row>
    <row r="366" spans="7:10">
      <c r="G366"/>
      <c r="H366"/>
      <c r="I366"/>
      <c r="J366"/>
    </row>
    <row r="367" spans="7:10">
      <c r="G367"/>
      <c r="H367"/>
      <c r="I367"/>
      <c r="J367"/>
    </row>
    <row r="368" spans="7:10">
      <c r="G368"/>
      <c r="H368"/>
      <c r="I368"/>
      <c r="J368"/>
    </row>
    <row r="369" spans="7:10">
      <c r="G369"/>
      <c r="H369"/>
      <c r="I369"/>
      <c r="J369"/>
    </row>
    <row r="370" spans="7:10">
      <c r="G370"/>
      <c r="H370"/>
      <c r="I370"/>
      <c r="J370"/>
    </row>
    <row r="371" spans="7:10">
      <c r="G371"/>
      <c r="H371"/>
      <c r="I371"/>
      <c r="J371"/>
    </row>
    <row r="372" spans="7:10">
      <c r="G372"/>
      <c r="H372"/>
      <c r="I372"/>
      <c r="J372"/>
    </row>
    <row r="373" spans="7:10">
      <c r="G373"/>
      <c r="H373"/>
      <c r="I373"/>
      <c r="J373"/>
    </row>
    <row r="374" spans="7:10">
      <c r="G374"/>
      <c r="H374"/>
      <c r="I374"/>
      <c r="J374"/>
    </row>
    <row r="375" spans="7:10">
      <c r="G375"/>
      <c r="H375"/>
      <c r="I375"/>
      <c r="J375"/>
    </row>
    <row r="376" spans="7:10">
      <c r="G376"/>
      <c r="H376"/>
      <c r="I376"/>
      <c r="J376"/>
    </row>
    <row r="377" spans="7:10">
      <c r="G377"/>
      <c r="H377"/>
      <c r="I377"/>
      <c r="J377"/>
    </row>
    <row r="378" spans="7:10">
      <c r="G378"/>
      <c r="H378"/>
      <c r="I378"/>
      <c r="J378"/>
    </row>
    <row r="379" spans="7:10">
      <c r="G379"/>
      <c r="H379"/>
      <c r="I379"/>
      <c r="J379"/>
    </row>
    <row r="380" spans="7:10">
      <c r="G380"/>
      <c r="H380"/>
      <c r="I380"/>
      <c r="J380"/>
    </row>
    <row r="381" spans="7:10">
      <c r="G381"/>
      <c r="H381"/>
      <c r="I381"/>
      <c r="J381"/>
    </row>
    <row r="382" spans="7:10">
      <c r="G382"/>
      <c r="H382"/>
      <c r="I382"/>
      <c r="J382"/>
    </row>
    <row r="383" spans="7:10">
      <c r="G383"/>
      <c r="H383"/>
      <c r="I383"/>
      <c r="J383"/>
    </row>
    <row r="384" spans="7:10">
      <c r="G384"/>
      <c r="H384"/>
      <c r="I384"/>
      <c r="J384"/>
    </row>
    <row r="385" spans="7:10">
      <c r="G385"/>
      <c r="H385"/>
      <c r="I385"/>
      <c r="J385"/>
    </row>
    <row r="386" spans="7:10">
      <c r="G386"/>
      <c r="H386"/>
      <c r="I386"/>
      <c r="J386"/>
    </row>
    <row r="387" spans="7:10">
      <c r="G387"/>
      <c r="H387"/>
      <c r="I387"/>
      <c r="J387"/>
    </row>
    <row r="388" spans="7:10">
      <c r="G388"/>
      <c r="H388"/>
      <c r="I388"/>
      <c r="J388"/>
    </row>
    <row r="389" spans="7:10">
      <c r="G389"/>
      <c r="H389"/>
      <c r="I389"/>
      <c r="J389"/>
    </row>
    <row r="390" spans="7:10">
      <c r="G390"/>
      <c r="H390"/>
      <c r="I390"/>
      <c r="J390"/>
    </row>
    <row r="391" spans="7:10">
      <c r="G391"/>
      <c r="H391"/>
      <c r="I391"/>
      <c r="J391"/>
    </row>
    <row r="392" spans="7:10">
      <c r="G392"/>
      <c r="H392"/>
      <c r="I392"/>
      <c r="J392"/>
    </row>
    <row r="393" spans="7:10">
      <c r="G393"/>
      <c r="H393"/>
      <c r="I393"/>
      <c r="J393"/>
    </row>
    <row r="394" spans="7:10">
      <c r="G394"/>
      <c r="H394"/>
      <c r="I394"/>
      <c r="J394"/>
    </row>
    <row r="395" spans="7:10">
      <c r="G395"/>
      <c r="H395"/>
      <c r="I395"/>
      <c r="J395"/>
    </row>
    <row r="396" spans="7:10">
      <c r="G396"/>
      <c r="H396"/>
      <c r="I396"/>
      <c r="J396"/>
    </row>
    <row r="397" spans="7:10">
      <c r="G397"/>
      <c r="H397"/>
      <c r="I397"/>
      <c r="J397"/>
    </row>
    <row r="398" spans="7:10">
      <c r="G398"/>
      <c r="H398"/>
      <c r="I398"/>
      <c r="J398"/>
    </row>
    <row r="399" spans="7:10">
      <c r="G399"/>
      <c r="H399"/>
      <c r="I399"/>
      <c r="J399"/>
    </row>
    <row r="400" spans="7:10">
      <c r="G400"/>
      <c r="H400"/>
      <c r="I400"/>
      <c r="J400"/>
    </row>
    <row r="401" spans="7:10">
      <c r="G401"/>
      <c r="H401"/>
      <c r="I401"/>
      <c r="J401"/>
    </row>
    <row r="402" spans="7:10">
      <c r="G402"/>
      <c r="H402"/>
      <c r="I402"/>
      <c r="J402"/>
    </row>
    <row r="403" spans="7:10">
      <c r="G403"/>
      <c r="H403"/>
      <c r="I403"/>
      <c r="J403"/>
    </row>
    <row r="404" spans="7:10">
      <c r="G404"/>
      <c r="H404"/>
      <c r="I404"/>
      <c r="J404"/>
    </row>
    <row r="405" spans="7:10">
      <c r="G405"/>
      <c r="H405"/>
      <c r="I405"/>
      <c r="J405"/>
    </row>
    <row r="406" spans="7:10">
      <c r="G406"/>
      <c r="H406"/>
      <c r="I406"/>
      <c r="J406"/>
    </row>
    <row r="407" spans="7:10">
      <c r="G407"/>
      <c r="H407"/>
      <c r="I407"/>
      <c r="J407"/>
    </row>
    <row r="408" spans="7:10">
      <c r="G408"/>
      <c r="H408"/>
      <c r="I408"/>
      <c r="J408"/>
    </row>
    <row r="409" spans="7:10">
      <c r="G409"/>
      <c r="H409"/>
      <c r="I409"/>
      <c r="J409"/>
    </row>
    <row r="410" spans="7:10">
      <c r="G410"/>
      <c r="H410"/>
      <c r="I410"/>
      <c r="J410"/>
    </row>
    <row r="411" spans="7:10">
      <c r="G411"/>
      <c r="H411"/>
      <c r="I411"/>
      <c r="J411"/>
    </row>
    <row r="412" spans="7:10">
      <c r="G412"/>
      <c r="H412"/>
      <c r="I412"/>
      <c r="J412"/>
    </row>
    <row r="413" spans="7:10">
      <c r="G413"/>
      <c r="H413"/>
      <c r="I413"/>
      <c r="J413"/>
    </row>
    <row r="414" spans="7:10">
      <c r="G414"/>
      <c r="H414"/>
      <c r="I414"/>
      <c r="J414"/>
    </row>
    <row r="415" spans="7:10">
      <c r="G415"/>
      <c r="H415"/>
      <c r="I415"/>
      <c r="J415"/>
    </row>
    <row r="416" spans="7:10">
      <c r="G416"/>
      <c r="H416"/>
      <c r="I416"/>
      <c r="J416"/>
    </row>
    <row r="417" spans="7:10">
      <c r="G417"/>
      <c r="H417"/>
      <c r="I417"/>
      <c r="J417"/>
    </row>
    <row r="418" spans="7:10">
      <c r="G418"/>
      <c r="H418"/>
      <c r="I418"/>
      <c r="J418"/>
    </row>
    <row r="419" spans="7:10">
      <c r="G419"/>
      <c r="H419"/>
      <c r="I419"/>
      <c r="J419"/>
    </row>
    <row r="420" spans="7:10">
      <c r="G420"/>
      <c r="H420"/>
      <c r="I420"/>
      <c r="J420"/>
    </row>
    <row r="421" spans="7:10">
      <c r="G421"/>
      <c r="H421"/>
      <c r="I421"/>
      <c r="J421"/>
    </row>
    <row r="422" spans="7:10">
      <c r="G422"/>
      <c r="H422"/>
      <c r="I422"/>
      <c r="J422"/>
    </row>
    <row r="423" spans="7:10">
      <c r="G423"/>
      <c r="H423"/>
      <c r="I423"/>
      <c r="J423"/>
    </row>
    <row r="424" spans="7:10">
      <c r="G424"/>
      <c r="H424"/>
      <c r="I424"/>
      <c r="J424"/>
    </row>
    <row r="425" spans="7:10">
      <c r="G425"/>
      <c r="H425"/>
      <c r="I425"/>
      <c r="J425"/>
    </row>
    <row r="426" spans="7:10">
      <c r="G426"/>
      <c r="H426"/>
      <c r="I426"/>
      <c r="J426"/>
    </row>
    <row r="427" spans="7:10">
      <c r="G427"/>
      <c r="H427"/>
      <c r="I427"/>
      <c r="J427"/>
    </row>
    <row r="428" spans="7:10">
      <c r="G428"/>
      <c r="H428"/>
      <c r="I428"/>
      <c r="J428"/>
    </row>
    <row r="429" spans="7:10">
      <c r="G429"/>
      <c r="H429"/>
      <c r="I429"/>
      <c r="J429"/>
    </row>
    <row r="430" spans="7:10">
      <c r="G430"/>
      <c r="H430"/>
      <c r="I430"/>
      <c r="J430"/>
    </row>
    <row r="431" spans="7:10">
      <c r="G431"/>
      <c r="H431"/>
      <c r="I431"/>
      <c r="J431"/>
    </row>
    <row r="432" spans="7:10">
      <c r="G432"/>
      <c r="H432"/>
      <c r="I432"/>
      <c r="J432"/>
    </row>
    <row r="433" spans="7:10">
      <c r="G433"/>
      <c r="H433"/>
      <c r="I433"/>
      <c r="J433"/>
    </row>
    <row r="434" spans="7:10">
      <c r="G434"/>
      <c r="H434"/>
      <c r="I434"/>
      <c r="J434"/>
    </row>
    <row r="435" spans="7:10">
      <c r="G435"/>
      <c r="H435"/>
      <c r="I435"/>
      <c r="J435"/>
    </row>
    <row r="436" spans="7:10">
      <c r="G436"/>
      <c r="H436"/>
      <c r="I436"/>
      <c r="J436"/>
    </row>
    <row r="437" spans="7:10">
      <c r="G437"/>
      <c r="H437"/>
      <c r="I437"/>
      <c r="J437"/>
    </row>
    <row r="438" spans="7:10">
      <c r="G438"/>
      <c r="H438"/>
      <c r="I438"/>
      <c r="J438"/>
    </row>
    <row r="439" spans="7:10">
      <c r="G439"/>
      <c r="H439"/>
      <c r="I439"/>
      <c r="J439"/>
    </row>
    <row r="440" spans="7:10">
      <c r="G440"/>
      <c r="H440"/>
      <c r="I440"/>
      <c r="J440"/>
    </row>
    <row r="441" spans="7:10">
      <c r="G441"/>
      <c r="H441"/>
      <c r="I441"/>
      <c r="J441"/>
    </row>
    <row r="442" spans="7:10">
      <c r="G442"/>
      <c r="H442"/>
      <c r="I442"/>
      <c r="J442"/>
    </row>
    <row r="443" spans="7:10">
      <c r="G443"/>
      <c r="H443"/>
      <c r="I443"/>
      <c r="J443"/>
    </row>
    <row r="444" spans="7:10">
      <c r="G444"/>
      <c r="H444"/>
      <c r="I444"/>
      <c r="J444"/>
    </row>
    <row r="445" spans="7:10">
      <c r="G445"/>
      <c r="H445"/>
      <c r="I445"/>
      <c r="J445"/>
    </row>
    <row r="446" spans="7:10">
      <c r="G446"/>
      <c r="H446"/>
      <c r="I446"/>
      <c r="J446"/>
    </row>
    <row r="447" spans="7:10">
      <c r="G447"/>
      <c r="H447"/>
      <c r="I447"/>
      <c r="J447"/>
    </row>
    <row r="448" spans="7:10">
      <c r="G448"/>
      <c r="H448"/>
      <c r="I448"/>
      <c r="J448"/>
    </row>
    <row r="449" spans="7:10">
      <c r="G449"/>
      <c r="H449"/>
      <c r="I449"/>
      <c r="J449"/>
    </row>
    <row r="450" spans="7:10">
      <c r="G450"/>
      <c r="H450"/>
      <c r="I450"/>
      <c r="J450"/>
    </row>
    <row r="451" spans="7:10">
      <c r="G451"/>
      <c r="H451"/>
      <c r="I451"/>
      <c r="J451"/>
    </row>
    <row r="452" spans="7:10">
      <c r="G452"/>
      <c r="H452"/>
      <c r="I452"/>
      <c r="J452"/>
    </row>
    <row r="453" spans="7:10">
      <c r="G453"/>
      <c r="H453"/>
      <c r="I453"/>
      <c r="J453"/>
    </row>
    <row r="454" spans="7:10">
      <c r="G454"/>
      <c r="H454"/>
      <c r="I454"/>
      <c r="J454"/>
    </row>
    <row r="455" spans="7:10">
      <c r="G455"/>
      <c r="H455"/>
      <c r="I455"/>
      <c r="J455"/>
    </row>
    <row r="456" spans="7:10">
      <c r="G456"/>
      <c r="H456"/>
      <c r="I456"/>
      <c r="J456"/>
    </row>
    <row r="457" spans="7:10">
      <c r="G457"/>
      <c r="H457"/>
      <c r="I457"/>
      <c r="J457"/>
    </row>
    <row r="458" spans="7:10">
      <c r="G458"/>
      <c r="H458"/>
      <c r="I458"/>
      <c r="J458"/>
    </row>
    <row r="459" spans="7:10">
      <c r="G459"/>
      <c r="H459"/>
      <c r="I459"/>
      <c r="J459"/>
    </row>
    <row r="460" spans="7:10">
      <c r="G460"/>
      <c r="H460"/>
      <c r="I460"/>
      <c r="J460"/>
    </row>
    <row r="461" spans="7:10">
      <c r="G461"/>
      <c r="H461"/>
      <c r="I461"/>
      <c r="J461"/>
    </row>
    <row r="462" spans="7:10">
      <c r="G462"/>
      <c r="H462"/>
      <c r="I462"/>
      <c r="J462"/>
    </row>
    <row r="463" spans="7:10">
      <c r="G463"/>
      <c r="H463"/>
      <c r="I463"/>
      <c r="J463"/>
    </row>
    <row r="464" spans="7:10">
      <c r="G464"/>
      <c r="H464"/>
      <c r="I464"/>
      <c r="J464"/>
    </row>
    <row r="465" spans="7:10">
      <c r="G465"/>
      <c r="H465"/>
      <c r="I465"/>
      <c r="J465"/>
    </row>
    <row r="466" spans="7:10">
      <c r="G466"/>
      <c r="H466"/>
      <c r="I466"/>
      <c r="J466"/>
    </row>
    <row r="467" spans="7:10">
      <c r="G467"/>
      <c r="H467"/>
      <c r="I467"/>
      <c r="J467"/>
    </row>
    <row r="468" spans="7:10">
      <c r="G468"/>
      <c r="H468"/>
      <c r="I468"/>
      <c r="J468"/>
    </row>
    <row r="469" spans="7:10">
      <c r="G469"/>
      <c r="H469"/>
      <c r="I469"/>
      <c r="J469"/>
    </row>
    <row r="470" spans="7:10">
      <c r="G470"/>
      <c r="H470"/>
      <c r="I470"/>
      <c r="J470"/>
    </row>
    <row r="471" spans="7:10">
      <c r="G471"/>
      <c r="H471"/>
      <c r="I471"/>
      <c r="J471"/>
    </row>
    <row r="472" spans="7:10">
      <c r="G472"/>
      <c r="H472"/>
      <c r="I472"/>
      <c r="J472"/>
    </row>
    <row r="473" spans="7:10">
      <c r="G473"/>
      <c r="H473"/>
      <c r="I473"/>
      <c r="J473"/>
    </row>
    <row r="474" spans="7:10">
      <c r="G474"/>
      <c r="H474"/>
      <c r="I474"/>
      <c r="J474"/>
    </row>
    <row r="475" spans="7:10">
      <c r="G475"/>
      <c r="H475"/>
      <c r="I475"/>
      <c r="J475"/>
    </row>
    <row r="476" spans="7:10">
      <c r="G476"/>
      <c r="H476"/>
      <c r="I476"/>
      <c r="J476"/>
    </row>
    <row r="477" spans="7:10">
      <c r="G477"/>
      <c r="H477"/>
      <c r="I477"/>
      <c r="J477"/>
    </row>
    <row r="478" spans="7:10">
      <c r="G478"/>
      <c r="H478"/>
      <c r="I478"/>
      <c r="J478"/>
    </row>
    <row r="479" spans="7:10">
      <c r="G479"/>
      <c r="H479"/>
      <c r="I479"/>
      <c r="J479"/>
    </row>
    <row r="480" spans="7:10">
      <c r="G480"/>
      <c r="H480"/>
      <c r="I480"/>
      <c r="J480"/>
    </row>
    <row r="481" spans="7:10">
      <c r="G481"/>
      <c r="H481"/>
      <c r="I481"/>
      <c r="J481"/>
    </row>
    <row r="482" spans="7:10">
      <c r="G482"/>
      <c r="H482"/>
      <c r="I482"/>
      <c r="J482"/>
    </row>
    <row r="483" spans="7:10">
      <c r="G483"/>
      <c r="H483"/>
      <c r="I483"/>
      <c r="J483"/>
    </row>
    <row r="484" spans="7:10">
      <c r="G484"/>
      <c r="H484"/>
      <c r="I484"/>
      <c r="J484"/>
    </row>
    <row r="485" spans="7:10">
      <c r="G485"/>
      <c r="H485"/>
      <c r="I485"/>
      <c r="J485"/>
    </row>
    <row r="486" spans="7:10">
      <c r="G486"/>
      <c r="H486"/>
      <c r="I486"/>
      <c r="J486"/>
    </row>
    <row r="487" spans="7:10">
      <c r="G487"/>
      <c r="H487"/>
      <c r="I487"/>
      <c r="J487"/>
    </row>
    <row r="488" spans="7:10">
      <c r="G488"/>
      <c r="H488"/>
      <c r="I488"/>
      <c r="J488"/>
    </row>
    <row r="489" spans="7:10">
      <c r="G489"/>
      <c r="H489"/>
      <c r="I489"/>
      <c r="J489"/>
    </row>
    <row r="490" spans="7:10">
      <c r="G490"/>
      <c r="H490"/>
      <c r="I490"/>
      <c r="J490"/>
    </row>
    <row r="491" spans="7:10">
      <c r="G491"/>
      <c r="H491"/>
      <c r="I491"/>
      <c r="J491"/>
    </row>
    <row r="492" spans="7:10">
      <c r="G492"/>
      <c r="H492"/>
      <c r="I492"/>
      <c r="J492"/>
    </row>
    <row r="493" spans="7:10">
      <c r="G493"/>
      <c r="H493"/>
      <c r="I493"/>
      <c r="J493"/>
    </row>
    <row r="494" spans="7:10">
      <c r="G494"/>
      <c r="H494"/>
      <c r="I494"/>
      <c r="J494"/>
    </row>
    <row r="495" spans="7:10">
      <c r="G495"/>
      <c r="H495"/>
      <c r="I495"/>
      <c r="J495"/>
    </row>
    <row r="496" spans="7:10">
      <c r="G496"/>
      <c r="H496"/>
      <c r="I496"/>
      <c r="J496"/>
    </row>
    <row r="497" spans="7:10">
      <c r="G497"/>
      <c r="H497"/>
      <c r="I497"/>
      <c r="J497"/>
    </row>
    <row r="498" spans="7:10">
      <c r="G498"/>
      <c r="H498"/>
      <c r="I498"/>
      <c r="J498"/>
    </row>
    <row r="499" spans="7:10">
      <c r="G499"/>
      <c r="H499"/>
      <c r="I499"/>
      <c r="J499"/>
    </row>
    <row r="500" spans="7:10">
      <c r="G500"/>
      <c r="H500"/>
      <c r="I500"/>
      <c r="J500"/>
    </row>
    <row r="501" spans="7:10">
      <c r="G501"/>
      <c r="H501"/>
      <c r="I501"/>
      <c r="J501"/>
    </row>
    <row r="502" spans="7:10">
      <c r="G502"/>
      <c r="H502"/>
      <c r="I502"/>
      <c r="J502"/>
    </row>
    <row r="503" spans="7:10">
      <c r="G503"/>
      <c r="H503"/>
      <c r="I503"/>
      <c r="J503"/>
    </row>
    <row r="504" spans="7:10">
      <c r="G504"/>
      <c r="H504"/>
      <c r="I504"/>
      <c r="J504"/>
    </row>
    <row r="505" spans="7:10">
      <c r="G505"/>
      <c r="H505"/>
      <c r="I505"/>
      <c r="J505"/>
    </row>
    <row r="506" spans="7:10">
      <c r="G506"/>
      <c r="H506"/>
      <c r="I506"/>
      <c r="J506"/>
    </row>
    <row r="507" spans="7:10">
      <c r="G507"/>
      <c r="H507"/>
      <c r="I507"/>
      <c r="J507"/>
    </row>
    <row r="508" spans="7:10">
      <c r="G508"/>
      <c r="H508"/>
      <c r="I508"/>
      <c r="J508"/>
    </row>
    <row r="509" spans="7:10">
      <c r="G509"/>
      <c r="H509"/>
      <c r="I509"/>
      <c r="J509"/>
    </row>
    <row r="510" spans="7:10">
      <c r="G510"/>
      <c r="H510"/>
      <c r="I510"/>
      <c r="J510"/>
    </row>
    <row r="511" spans="7:10">
      <c r="G511"/>
      <c r="H511"/>
      <c r="I511"/>
      <c r="J511"/>
    </row>
    <row r="512" spans="7:10">
      <c r="G512"/>
      <c r="H512"/>
      <c r="I512"/>
      <c r="J512"/>
    </row>
    <row r="513" spans="7:10">
      <c r="G513"/>
      <c r="H513"/>
      <c r="I513"/>
      <c r="J513"/>
    </row>
    <row r="514" spans="7:10">
      <c r="G514"/>
      <c r="H514"/>
      <c r="I514"/>
      <c r="J514"/>
    </row>
    <row r="515" spans="7:10">
      <c r="G515"/>
      <c r="H515"/>
      <c r="I515"/>
      <c r="J515"/>
    </row>
    <row r="516" spans="7:10">
      <c r="G516"/>
      <c r="H516"/>
      <c r="I516"/>
      <c r="J516"/>
    </row>
    <row r="517" spans="7:10">
      <c r="G517"/>
      <c r="H517"/>
      <c r="I517"/>
      <c r="J517"/>
    </row>
    <row r="518" spans="7:10">
      <c r="G518"/>
      <c r="H518"/>
      <c r="I518"/>
      <c r="J518"/>
    </row>
    <row r="519" spans="7:10">
      <c r="G519"/>
      <c r="H519"/>
      <c r="I519"/>
      <c r="J519"/>
    </row>
    <row r="520" spans="7:10">
      <c r="G520"/>
      <c r="H520"/>
      <c r="I520"/>
      <c r="J520"/>
    </row>
    <row r="521" spans="7:10">
      <c r="G521"/>
      <c r="H521"/>
      <c r="I521"/>
      <c r="J521"/>
    </row>
    <row r="522" spans="7:10">
      <c r="G522"/>
      <c r="H522"/>
      <c r="I522"/>
      <c r="J522"/>
    </row>
    <row r="523" spans="7:10">
      <c r="G523"/>
      <c r="H523"/>
      <c r="I523"/>
      <c r="J523"/>
    </row>
    <row r="524" spans="7:10">
      <c r="G524"/>
      <c r="H524"/>
      <c r="I524"/>
      <c r="J524"/>
    </row>
    <row r="525" spans="7:10">
      <c r="G525"/>
      <c r="H525"/>
      <c r="I525"/>
      <c r="J525"/>
    </row>
    <row r="526" spans="7:10">
      <c r="G526"/>
      <c r="H526"/>
      <c r="I526"/>
      <c r="J526"/>
    </row>
    <row r="527" spans="7:10">
      <c r="G527"/>
      <c r="H527"/>
      <c r="I527"/>
      <c r="J527"/>
    </row>
    <row r="528" spans="7:10">
      <c r="G528"/>
      <c r="H528"/>
      <c r="I528"/>
      <c r="J528"/>
    </row>
    <row r="529" spans="7:10">
      <c r="G529"/>
      <c r="H529"/>
      <c r="I529"/>
      <c r="J529"/>
    </row>
    <row r="530" spans="7:10">
      <c r="G530"/>
      <c r="H530"/>
      <c r="I530"/>
      <c r="J530"/>
    </row>
    <row r="531" spans="7:10">
      <c r="G531"/>
      <c r="H531"/>
      <c r="I531"/>
      <c r="J531"/>
    </row>
    <row r="532" spans="7:10">
      <c r="G532"/>
      <c r="H532"/>
      <c r="I532"/>
      <c r="J532"/>
    </row>
    <row r="533" spans="7:10">
      <c r="G533"/>
      <c r="H533"/>
      <c r="I533"/>
      <c r="J533"/>
    </row>
    <row r="534" spans="7:10">
      <c r="G534"/>
      <c r="H534"/>
      <c r="I534"/>
      <c r="J534"/>
    </row>
    <row r="535" spans="7:10">
      <c r="G535"/>
      <c r="H535"/>
      <c r="I535"/>
      <c r="J535"/>
    </row>
    <row r="536" spans="7:10">
      <c r="G536"/>
      <c r="H536"/>
      <c r="I536"/>
      <c r="J536"/>
    </row>
    <row r="537" spans="7:10">
      <c r="G537"/>
      <c r="H537"/>
      <c r="I537"/>
      <c r="J537"/>
    </row>
    <row r="538" spans="7:10">
      <c r="G538"/>
      <c r="H538"/>
      <c r="I538"/>
      <c r="J538"/>
    </row>
    <row r="539" spans="7:10">
      <c r="G539"/>
      <c r="H539"/>
      <c r="I539"/>
      <c r="J539"/>
    </row>
    <row r="540" spans="7:10">
      <c r="G540"/>
      <c r="H540"/>
      <c r="I540"/>
      <c r="J540"/>
    </row>
    <row r="541" spans="7:10">
      <c r="G541"/>
      <c r="H541"/>
      <c r="I541"/>
      <c r="J541"/>
    </row>
    <row r="542" spans="7:10">
      <c r="G542"/>
      <c r="H542"/>
      <c r="I542"/>
      <c r="J542"/>
    </row>
    <row r="543" spans="7:10">
      <c r="G543"/>
      <c r="H543"/>
      <c r="I543"/>
      <c r="J543"/>
    </row>
    <row r="544" spans="7:10">
      <c r="G544"/>
      <c r="H544"/>
      <c r="I544"/>
      <c r="J544"/>
    </row>
    <row r="545" spans="7:10">
      <c r="G545"/>
      <c r="H545"/>
      <c r="I545"/>
      <c r="J545"/>
    </row>
    <row r="546" spans="7:10">
      <c r="G546"/>
      <c r="H546"/>
      <c r="I546"/>
      <c r="J546"/>
    </row>
    <row r="547" spans="7:10">
      <c r="G547"/>
      <c r="H547"/>
      <c r="I547"/>
      <c r="J547"/>
    </row>
    <row r="548" spans="7:10">
      <c r="G548"/>
      <c r="H548"/>
      <c r="I548"/>
      <c r="J548"/>
    </row>
    <row r="549" spans="7:10">
      <c r="G549"/>
      <c r="H549"/>
      <c r="I549"/>
      <c r="J549"/>
    </row>
    <row r="550" spans="7:10">
      <c r="G550"/>
      <c r="H550"/>
      <c r="I550"/>
      <c r="J550"/>
    </row>
    <row r="551" spans="7:10">
      <c r="G551"/>
      <c r="H551"/>
      <c r="I551"/>
      <c r="J551"/>
    </row>
    <row r="552" spans="7:10">
      <c r="G552"/>
      <c r="H552"/>
      <c r="I552"/>
      <c r="J552"/>
    </row>
    <row r="553" spans="7:10">
      <c r="G553"/>
      <c r="H553"/>
      <c r="I553"/>
      <c r="J553"/>
    </row>
    <row r="554" spans="7:10">
      <c r="G554"/>
      <c r="H554"/>
      <c r="I554"/>
      <c r="J554"/>
    </row>
    <row r="555" spans="7:10">
      <c r="G555"/>
      <c r="H555"/>
      <c r="I555"/>
      <c r="J555"/>
    </row>
    <row r="556" spans="7:10">
      <c r="G556"/>
      <c r="H556"/>
      <c r="I556"/>
      <c r="J556"/>
    </row>
    <row r="557" spans="7:10">
      <c r="G557"/>
      <c r="H557"/>
      <c r="I557"/>
      <c r="J557"/>
    </row>
    <row r="558" spans="7:10">
      <c r="G558"/>
      <c r="H558"/>
      <c r="I558"/>
      <c r="J558"/>
    </row>
    <row r="559" spans="7:10">
      <c r="G559"/>
      <c r="H559"/>
      <c r="I559"/>
      <c r="J559"/>
    </row>
    <row r="560" spans="7:10">
      <c r="G560"/>
      <c r="H560"/>
      <c r="I560"/>
      <c r="J560"/>
    </row>
    <row r="561" spans="7:10">
      <c r="G561"/>
      <c r="H561"/>
      <c r="I561"/>
      <c r="J561"/>
    </row>
    <row r="562" spans="7:10">
      <c r="G562"/>
      <c r="H562"/>
      <c r="I562"/>
      <c r="J562"/>
    </row>
    <row r="563" spans="7:10">
      <c r="G563"/>
      <c r="H563"/>
      <c r="I563"/>
      <c r="J563"/>
    </row>
    <row r="564" spans="7:10">
      <c r="G564"/>
      <c r="H564"/>
      <c r="I564"/>
      <c r="J564"/>
    </row>
    <row r="565" spans="7:10">
      <c r="G565"/>
      <c r="H565"/>
      <c r="I565"/>
      <c r="J565"/>
    </row>
    <row r="566" spans="7:10">
      <c r="G566"/>
      <c r="H566"/>
      <c r="I566"/>
      <c r="J566"/>
    </row>
    <row r="567" spans="7:10">
      <c r="G567"/>
      <c r="H567"/>
      <c r="I567"/>
      <c r="J567"/>
    </row>
    <row r="568" spans="7:10">
      <c r="G568"/>
      <c r="H568"/>
      <c r="I568"/>
      <c r="J568"/>
    </row>
    <row r="569" spans="7:10">
      <c r="G569"/>
      <c r="H569"/>
      <c r="I569"/>
      <c r="J569"/>
    </row>
    <row r="570" spans="7:10">
      <c r="G570"/>
      <c r="H570"/>
      <c r="I570"/>
      <c r="J570"/>
    </row>
    <row r="571" spans="7:10">
      <c r="G571"/>
      <c r="H571"/>
      <c r="I571"/>
      <c r="J571"/>
    </row>
    <row r="572" spans="7:10">
      <c r="G572"/>
      <c r="H572"/>
      <c r="I572"/>
      <c r="J572"/>
    </row>
    <row r="573" spans="7:10">
      <c r="G573"/>
      <c r="H573"/>
      <c r="I573"/>
      <c r="J573"/>
    </row>
    <row r="574" spans="7:10">
      <c r="G574"/>
      <c r="H574"/>
      <c r="I574"/>
      <c r="J574"/>
    </row>
    <row r="575" spans="7:10">
      <c r="G575"/>
      <c r="H575"/>
      <c r="I575"/>
      <c r="J575"/>
    </row>
    <row r="576" spans="7:10">
      <c r="G576"/>
      <c r="H576"/>
      <c r="I576"/>
      <c r="J576"/>
    </row>
    <row r="577" spans="7:10">
      <c r="G577"/>
      <c r="H577"/>
      <c r="I577"/>
      <c r="J577"/>
    </row>
    <row r="578" spans="7:10">
      <c r="G578"/>
      <c r="H578"/>
      <c r="I578"/>
      <c r="J578"/>
    </row>
    <row r="579" spans="7:10">
      <c r="G579"/>
      <c r="H579"/>
      <c r="I579"/>
      <c r="J579"/>
    </row>
    <row r="580" spans="7:10">
      <c r="G580"/>
      <c r="H580"/>
      <c r="I580"/>
      <c r="J580"/>
    </row>
    <row r="581" spans="7:10">
      <c r="G581"/>
      <c r="H581"/>
      <c r="I581"/>
      <c r="J581"/>
    </row>
    <row r="582" spans="7:10">
      <c r="G582"/>
      <c r="H582"/>
      <c r="I582"/>
      <c r="J582"/>
    </row>
    <row r="583" spans="7:10">
      <c r="G583"/>
      <c r="H583"/>
      <c r="I583"/>
      <c r="J583"/>
    </row>
    <row r="584" spans="7:10">
      <c r="G584"/>
      <c r="H584"/>
      <c r="I584"/>
      <c r="J584"/>
    </row>
    <row r="585" spans="7:10">
      <c r="G585"/>
      <c r="H585"/>
      <c r="I585"/>
      <c r="J585"/>
    </row>
    <row r="586" spans="7:10">
      <c r="G586"/>
      <c r="H586"/>
      <c r="I586"/>
      <c r="J586"/>
    </row>
    <row r="587" spans="7:10">
      <c r="G587"/>
      <c r="H587"/>
      <c r="I587"/>
      <c r="J587"/>
    </row>
    <row r="588" spans="7:10">
      <c r="G588"/>
      <c r="H588"/>
      <c r="I588"/>
      <c r="J588"/>
    </row>
    <row r="589" spans="7:10">
      <c r="G589"/>
      <c r="H589"/>
      <c r="I589"/>
      <c r="J589"/>
    </row>
    <row r="590" spans="7:10">
      <c r="G590"/>
      <c r="H590"/>
      <c r="I590"/>
      <c r="J590"/>
    </row>
    <row r="591" spans="7:10">
      <c r="G591"/>
      <c r="H591"/>
      <c r="I591"/>
      <c r="J591"/>
    </row>
    <row r="592" spans="7:10">
      <c r="G592"/>
      <c r="H592"/>
      <c r="I592"/>
      <c r="J592"/>
    </row>
    <row r="593" spans="7:10">
      <c r="G593"/>
      <c r="H593"/>
      <c r="I593"/>
      <c r="J593"/>
    </row>
    <row r="594" spans="7:10">
      <c r="G594"/>
      <c r="H594"/>
      <c r="I594"/>
      <c r="J594"/>
    </row>
    <row r="595" spans="7:10">
      <c r="G595"/>
      <c r="H595"/>
      <c r="I595"/>
      <c r="J595"/>
    </row>
    <row r="596" spans="7:10">
      <c r="G596"/>
      <c r="H596"/>
      <c r="I596"/>
      <c r="J596"/>
    </row>
    <row r="597" spans="7:10">
      <c r="G597"/>
      <c r="H597"/>
      <c r="I597"/>
      <c r="J597"/>
    </row>
    <row r="598" spans="7:10">
      <c r="G598"/>
      <c r="H598"/>
      <c r="I598"/>
      <c r="J598"/>
    </row>
    <row r="599" spans="7:10">
      <c r="G599"/>
      <c r="H599"/>
      <c r="I599"/>
      <c r="J599"/>
    </row>
    <row r="600" spans="7:10">
      <c r="G600"/>
      <c r="H600"/>
      <c r="I600"/>
      <c r="J600"/>
    </row>
    <row r="601" spans="7:10">
      <c r="G601"/>
      <c r="H601"/>
      <c r="I601"/>
      <c r="J601"/>
    </row>
    <row r="602" spans="7:10">
      <c r="G602"/>
      <c r="H602"/>
      <c r="I602"/>
      <c r="J602"/>
    </row>
    <row r="603" spans="7:10">
      <c r="G603"/>
      <c r="H603"/>
      <c r="I603"/>
      <c r="J603"/>
    </row>
    <row r="604" spans="7:10">
      <c r="G604"/>
      <c r="H604"/>
      <c r="I604"/>
      <c r="J604"/>
    </row>
    <row r="605" spans="7:10">
      <c r="G605"/>
      <c r="H605"/>
      <c r="I605"/>
      <c r="J605"/>
    </row>
    <row r="606" spans="7:10">
      <c r="G606"/>
      <c r="H606"/>
      <c r="I606"/>
      <c r="J606"/>
    </row>
    <row r="607" spans="7:10">
      <c r="G607"/>
      <c r="H607"/>
      <c r="I607"/>
      <c r="J607"/>
    </row>
    <row r="608" spans="7:10">
      <c r="G608"/>
      <c r="H608"/>
      <c r="I608"/>
      <c r="J608"/>
    </row>
    <row r="609" spans="7:10">
      <c r="G609"/>
      <c r="H609"/>
      <c r="I609"/>
      <c r="J609"/>
    </row>
    <row r="610" spans="7:10">
      <c r="G610"/>
      <c r="H610"/>
      <c r="I610"/>
      <c r="J610"/>
    </row>
    <row r="611" spans="7:10">
      <c r="G611"/>
      <c r="H611"/>
      <c r="I611"/>
      <c r="J611"/>
    </row>
    <row r="612" spans="7:10">
      <c r="G612"/>
      <c r="H612"/>
      <c r="I612"/>
      <c r="J612"/>
    </row>
    <row r="613" spans="7:10">
      <c r="G613"/>
      <c r="H613"/>
      <c r="I613"/>
      <c r="J613"/>
    </row>
    <row r="614" spans="7:10">
      <c r="G614"/>
      <c r="H614"/>
      <c r="I614"/>
      <c r="J614"/>
    </row>
    <row r="615" spans="7:10">
      <c r="G615"/>
      <c r="H615"/>
      <c r="I615"/>
      <c r="J615"/>
    </row>
    <row r="616" spans="7:10">
      <c r="G616"/>
      <c r="H616"/>
      <c r="I616"/>
      <c r="J616"/>
    </row>
    <row r="617" spans="7:10">
      <c r="G617"/>
      <c r="H617"/>
      <c r="I617"/>
      <c r="J617"/>
    </row>
    <row r="618" spans="7:10">
      <c r="G618"/>
      <c r="H618"/>
      <c r="I618"/>
      <c r="J618"/>
    </row>
    <row r="619" spans="7:10">
      <c r="G619"/>
      <c r="H619"/>
      <c r="I619"/>
      <c r="J619"/>
    </row>
    <row r="620" spans="7:10">
      <c r="G620"/>
      <c r="H620"/>
      <c r="I620"/>
      <c r="J620"/>
    </row>
    <row r="621" spans="7:10">
      <c r="G621"/>
      <c r="H621"/>
      <c r="I621"/>
      <c r="J621"/>
    </row>
    <row r="622" spans="7:10">
      <c r="G622"/>
      <c r="H622"/>
      <c r="I622"/>
      <c r="J622"/>
    </row>
    <row r="623" spans="7:10">
      <c r="G623"/>
      <c r="H623"/>
      <c r="I623"/>
      <c r="J623"/>
    </row>
    <row r="624" spans="7:10">
      <c r="G624"/>
      <c r="H624"/>
      <c r="I624"/>
      <c r="J624"/>
    </row>
    <row r="625" spans="7:10">
      <c r="G625"/>
      <c r="H625"/>
      <c r="I625"/>
      <c r="J625"/>
    </row>
    <row r="626" spans="7:10">
      <c r="G626"/>
      <c r="H626"/>
      <c r="I626"/>
      <c r="J626"/>
    </row>
    <row r="627" spans="7:10">
      <c r="G627"/>
      <c r="H627"/>
      <c r="I627"/>
      <c r="J627"/>
    </row>
    <row r="628" spans="7:10">
      <c r="G628"/>
      <c r="H628"/>
      <c r="I628"/>
      <c r="J628"/>
    </row>
    <row r="629" spans="7:10">
      <c r="G629"/>
      <c r="H629"/>
      <c r="I629"/>
      <c r="J629"/>
    </row>
    <row r="630" spans="7:10">
      <c r="G630"/>
      <c r="H630"/>
      <c r="I630"/>
      <c r="J630"/>
    </row>
    <row r="631" spans="7:10">
      <c r="G631"/>
      <c r="H631"/>
      <c r="I631"/>
      <c r="J631"/>
    </row>
    <row r="632" spans="7:10">
      <c r="G632"/>
      <c r="H632"/>
      <c r="I632"/>
      <c r="J632"/>
    </row>
    <row r="633" spans="7:10">
      <c r="G633"/>
      <c r="H633"/>
      <c r="I633"/>
      <c r="J633"/>
    </row>
    <row r="634" spans="7:10">
      <c r="G634"/>
      <c r="H634"/>
      <c r="I634"/>
      <c r="J634"/>
    </row>
    <row r="635" spans="7:10">
      <c r="G635"/>
      <c r="H635"/>
      <c r="I635"/>
      <c r="J635"/>
    </row>
    <row r="636" spans="7:10">
      <c r="G636"/>
      <c r="H636"/>
      <c r="I636"/>
      <c r="J636"/>
    </row>
    <row r="637" spans="7:10">
      <c r="G637"/>
      <c r="H637"/>
      <c r="I637"/>
      <c r="J637"/>
    </row>
    <row r="638" spans="7:10">
      <c r="G638"/>
      <c r="H638"/>
      <c r="I638"/>
      <c r="J638"/>
    </row>
    <row r="639" spans="7:10">
      <c r="G639"/>
      <c r="H639"/>
      <c r="I639"/>
      <c r="J639"/>
    </row>
    <row r="640" spans="7:10">
      <c r="G640"/>
      <c r="H640"/>
      <c r="I640"/>
      <c r="J640"/>
    </row>
    <row r="641" spans="7:10">
      <c r="G641"/>
      <c r="H641"/>
      <c r="I641"/>
      <c r="J641"/>
    </row>
    <row r="642" spans="7:10">
      <c r="G642"/>
      <c r="H642"/>
      <c r="I642"/>
      <c r="J642"/>
    </row>
    <row r="643" spans="7:10">
      <c r="G643"/>
      <c r="H643"/>
      <c r="I643"/>
      <c r="J643"/>
    </row>
    <row r="644" spans="7:10">
      <c r="G644"/>
      <c r="H644"/>
      <c r="I644"/>
      <c r="J644"/>
    </row>
    <row r="645" spans="7:10">
      <c r="G645"/>
      <c r="H645"/>
      <c r="I645"/>
      <c r="J645"/>
    </row>
    <row r="646" spans="7:10">
      <c r="G646"/>
      <c r="H646"/>
      <c r="I646"/>
      <c r="J646"/>
    </row>
    <row r="647" spans="7:10">
      <c r="G647"/>
      <c r="H647"/>
      <c r="I647"/>
      <c r="J647"/>
    </row>
    <row r="648" spans="7:10">
      <c r="G648"/>
      <c r="H648"/>
      <c r="I648"/>
      <c r="J648"/>
    </row>
    <row r="649" spans="7:10">
      <c r="G649"/>
      <c r="H649"/>
      <c r="I649"/>
      <c r="J649"/>
    </row>
    <row r="650" spans="7:10">
      <c r="G650"/>
      <c r="H650"/>
      <c r="I650"/>
      <c r="J650"/>
    </row>
    <row r="651" spans="7:10">
      <c r="G651"/>
      <c r="H651"/>
      <c r="I651"/>
      <c r="J651"/>
    </row>
    <row r="652" spans="7:10">
      <c r="G652"/>
      <c r="H652"/>
      <c r="I652"/>
      <c r="J652"/>
    </row>
    <row r="653" spans="7:10">
      <c r="G653"/>
      <c r="H653"/>
      <c r="I653"/>
      <c r="J653"/>
    </row>
    <row r="654" spans="7:10">
      <c r="G654"/>
      <c r="H654"/>
      <c r="I654"/>
      <c r="J654"/>
    </row>
    <row r="655" spans="7:10">
      <c r="G655"/>
      <c r="H655"/>
      <c r="I655"/>
      <c r="J655"/>
    </row>
    <row r="656" spans="7:10">
      <c r="G656"/>
      <c r="H656"/>
      <c r="I656"/>
      <c r="J656"/>
    </row>
    <row r="657" spans="7:10">
      <c r="G657"/>
      <c r="H657"/>
      <c r="I657"/>
      <c r="J657"/>
    </row>
    <row r="658" spans="7:10">
      <c r="G658"/>
      <c r="H658"/>
      <c r="I658"/>
      <c r="J658"/>
    </row>
    <row r="659" spans="7:10">
      <c r="G659"/>
      <c r="H659"/>
      <c r="I659"/>
      <c r="J659"/>
    </row>
    <row r="660" spans="7:10">
      <c r="G660"/>
      <c r="H660"/>
      <c r="I660"/>
      <c r="J660"/>
    </row>
    <row r="661" spans="7:10">
      <c r="G661"/>
      <c r="H661"/>
      <c r="I661"/>
      <c r="J661"/>
    </row>
    <row r="662" spans="7:10">
      <c r="G662"/>
      <c r="H662"/>
      <c r="I662"/>
      <c r="J662"/>
    </row>
    <row r="663" spans="7:10">
      <c r="G663"/>
      <c r="H663"/>
      <c r="I663"/>
      <c r="J663"/>
    </row>
    <row r="664" spans="7:10">
      <c r="G664"/>
      <c r="H664"/>
      <c r="I664"/>
      <c r="J664"/>
    </row>
    <row r="665" spans="7:10">
      <c r="G665"/>
      <c r="H665"/>
      <c r="I665"/>
      <c r="J665"/>
    </row>
    <row r="666" spans="7:10">
      <c r="G666"/>
      <c r="H666"/>
      <c r="I666"/>
      <c r="J666"/>
    </row>
    <row r="667" spans="7:10">
      <c r="G667"/>
      <c r="H667"/>
      <c r="I667"/>
      <c r="J667"/>
    </row>
    <row r="668" spans="7:10">
      <c r="G668"/>
      <c r="H668"/>
      <c r="I668"/>
      <c r="J668"/>
    </row>
    <row r="669" spans="7:10">
      <c r="G669"/>
      <c r="H669"/>
      <c r="I669"/>
      <c r="J669"/>
    </row>
    <row r="670" spans="7:10">
      <c r="G670"/>
      <c r="H670"/>
      <c r="I670"/>
      <c r="J670"/>
    </row>
    <row r="671" spans="7:10">
      <c r="G671"/>
      <c r="H671"/>
      <c r="I671"/>
      <c r="J671"/>
    </row>
    <row r="672" spans="7:10">
      <c r="G672"/>
      <c r="H672"/>
      <c r="I672"/>
      <c r="J672"/>
    </row>
    <row r="673" spans="7:10">
      <c r="G673"/>
      <c r="H673"/>
      <c r="I673"/>
      <c r="J673"/>
    </row>
    <row r="674" spans="7:10">
      <c r="G674"/>
      <c r="H674"/>
      <c r="I674"/>
      <c r="J674"/>
    </row>
    <row r="675" spans="7:10">
      <c r="G675"/>
      <c r="H675"/>
      <c r="I675"/>
      <c r="J675"/>
    </row>
    <row r="676" spans="7:10">
      <c r="G676"/>
      <c r="H676"/>
      <c r="I676"/>
      <c r="J676"/>
    </row>
    <row r="677" spans="7:10">
      <c r="G677"/>
      <c r="H677"/>
      <c r="I677"/>
      <c r="J677"/>
    </row>
    <row r="678" spans="7:10">
      <c r="G678"/>
      <c r="H678"/>
      <c r="I678"/>
      <c r="J678"/>
    </row>
    <row r="679" spans="7:10">
      <c r="G679"/>
      <c r="H679"/>
      <c r="I679"/>
      <c r="J679"/>
    </row>
    <row r="680" spans="7:10">
      <c r="G680"/>
      <c r="H680"/>
      <c r="I680"/>
      <c r="J680"/>
    </row>
    <row r="681" spans="7:10">
      <c r="G681"/>
      <c r="H681"/>
      <c r="I681"/>
      <c r="J681"/>
    </row>
    <row r="682" spans="7:10">
      <c r="G682"/>
      <c r="H682"/>
      <c r="I682"/>
      <c r="J682"/>
    </row>
    <row r="683" spans="7:10">
      <c r="G683"/>
      <c r="H683"/>
      <c r="I683"/>
      <c r="J683"/>
    </row>
    <row r="684" spans="7:10">
      <c r="G684"/>
      <c r="H684"/>
      <c r="I684"/>
      <c r="J684"/>
    </row>
    <row r="685" spans="7:10">
      <c r="G685"/>
      <c r="H685"/>
      <c r="I685"/>
      <c r="J685"/>
    </row>
    <row r="686" spans="7:10">
      <c r="G686"/>
      <c r="H686"/>
      <c r="I686"/>
      <c r="J686"/>
    </row>
    <row r="687" spans="7:10">
      <c r="G687"/>
      <c r="H687"/>
      <c r="I687"/>
      <c r="J687"/>
    </row>
    <row r="688" spans="7:10">
      <c r="G688"/>
      <c r="H688"/>
      <c r="I688"/>
      <c r="J688"/>
    </row>
    <row r="689" spans="7:10">
      <c r="G689"/>
      <c r="H689"/>
      <c r="I689"/>
      <c r="J689"/>
    </row>
    <row r="690" spans="7:10">
      <c r="G690"/>
      <c r="H690"/>
      <c r="I690"/>
      <c r="J690"/>
    </row>
    <row r="691" spans="7:10">
      <c r="G691"/>
      <c r="H691"/>
      <c r="I691"/>
      <c r="J691"/>
    </row>
    <row r="692" spans="7:10">
      <c r="G692"/>
      <c r="H692"/>
      <c r="I692"/>
      <c r="J692"/>
    </row>
    <row r="693" spans="7:10">
      <c r="G693"/>
      <c r="H693"/>
      <c r="I693"/>
      <c r="J693"/>
    </row>
    <row r="694" spans="7:10">
      <c r="G694"/>
      <c r="H694"/>
      <c r="I694"/>
      <c r="J694"/>
    </row>
    <row r="695" spans="7:10">
      <c r="G695"/>
      <c r="H695"/>
      <c r="I695"/>
      <c r="J695"/>
    </row>
    <row r="696" spans="7:10">
      <c r="G696"/>
      <c r="H696"/>
      <c r="I696"/>
      <c r="J696"/>
    </row>
    <row r="697" spans="7:10">
      <c r="G697"/>
      <c r="H697"/>
      <c r="I697"/>
      <c r="J697"/>
    </row>
    <row r="698" spans="7:10">
      <c r="G698"/>
      <c r="H698"/>
      <c r="I698"/>
      <c r="J698"/>
    </row>
    <row r="699" spans="7:10">
      <c r="G699"/>
      <c r="H699"/>
      <c r="I699"/>
      <c r="J699"/>
    </row>
    <row r="700" spans="7:10">
      <c r="G700"/>
      <c r="H700"/>
      <c r="I700"/>
      <c r="J700"/>
    </row>
    <row r="701" spans="7:10">
      <c r="G701"/>
      <c r="H701"/>
      <c r="I701"/>
      <c r="J701"/>
    </row>
    <row r="702" spans="7:10">
      <c r="G702"/>
      <c r="H702"/>
      <c r="I702"/>
      <c r="J702"/>
    </row>
    <row r="703" spans="7:10">
      <c r="G703"/>
      <c r="H703"/>
      <c r="I703"/>
      <c r="J703"/>
    </row>
    <row r="704" spans="7:10">
      <c r="G704"/>
      <c r="H704"/>
      <c r="I704"/>
      <c r="J704"/>
    </row>
    <row r="705" spans="7:10">
      <c r="G705"/>
      <c r="H705"/>
      <c r="I705"/>
      <c r="J705"/>
    </row>
    <row r="706" spans="7:10">
      <c r="G706"/>
      <c r="H706"/>
      <c r="I706"/>
      <c r="J706"/>
    </row>
    <row r="707" spans="7:10">
      <c r="G707"/>
      <c r="H707"/>
      <c r="I707"/>
      <c r="J707"/>
    </row>
    <row r="708" spans="7:10">
      <c r="G708"/>
      <c r="H708"/>
      <c r="I708"/>
      <c r="J708"/>
    </row>
    <row r="709" spans="7:10">
      <c r="G709"/>
      <c r="H709"/>
      <c r="I709"/>
      <c r="J709"/>
    </row>
    <row r="710" spans="7:10">
      <c r="G710"/>
      <c r="H710"/>
      <c r="I710"/>
      <c r="J710"/>
    </row>
    <row r="711" spans="7:10">
      <c r="G711"/>
      <c r="H711"/>
      <c r="I711"/>
      <c r="J711"/>
    </row>
    <row r="712" spans="7:10">
      <c r="G712"/>
      <c r="H712"/>
      <c r="I712"/>
      <c r="J712"/>
    </row>
    <row r="713" spans="7:10">
      <c r="G713"/>
      <c r="H713"/>
      <c r="I713"/>
      <c r="J713"/>
    </row>
    <row r="714" spans="7:10">
      <c r="G714"/>
      <c r="H714"/>
      <c r="I714"/>
      <c r="J714"/>
    </row>
    <row r="715" spans="7:10">
      <c r="G715"/>
      <c r="H715"/>
      <c r="I715"/>
      <c r="J715"/>
    </row>
    <row r="716" spans="7:10">
      <c r="G716"/>
      <c r="H716"/>
      <c r="I716"/>
      <c r="J716"/>
    </row>
    <row r="717" spans="7:10">
      <c r="G717"/>
      <c r="H717"/>
      <c r="I717"/>
      <c r="J717"/>
    </row>
    <row r="718" spans="7:10">
      <c r="G718"/>
      <c r="H718"/>
      <c r="I718"/>
      <c r="J718"/>
    </row>
    <row r="719" spans="7:10">
      <c r="G719"/>
      <c r="H719"/>
      <c r="I719"/>
      <c r="J719"/>
    </row>
    <row r="720" spans="7:10">
      <c r="G720"/>
      <c r="H720"/>
      <c r="I720"/>
      <c r="J720"/>
    </row>
    <row r="721" spans="7:10">
      <c r="G721"/>
      <c r="H721"/>
      <c r="I721"/>
      <c r="J721"/>
    </row>
    <row r="722" spans="7:10">
      <c r="G722"/>
      <c r="H722"/>
      <c r="I722"/>
      <c r="J722"/>
    </row>
    <row r="723" spans="7:10">
      <c r="G723"/>
      <c r="H723"/>
      <c r="I723"/>
      <c r="J723"/>
    </row>
    <row r="724" spans="7:10">
      <c r="G724"/>
      <c r="H724"/>
      <c r="I724"/>
      <c r="J724"/>
    </row>
    <row r="725" spans="7:10">
      <c r="G725"/>
      <c r="H725"/>
      <c r="I725"/>
      <c r="J725"/>
    </row>
    <row r="726" spans="7:10">
      <c r="G726"/>
      <c r="H726"/>
      <c r="I726"/>
      <c r="J726"/>
    </row>
    <row r="727" spans="7:10">
      <c r="G727"/>
      <c r="H727"/>
      <c r="I727"/>
      <c r="J727"/>
    </row>
    <row r="728" spans="7:10">
      <c r="G728"/>
      <c r="H728"/>
      <c r="I728"/>
      <c r="J728"/>
    </row>
    <row r="729" spans="7:10">
      <c r="G729"/>
      <c r="H729"/>
      <c r="I729"/>
      <c r="J729"/>
    </row>
    <row r="730" spans="7:10">
      <c r="G730"/>
      <c r="H730"/>
      <c r="I730"/>
      <c r="J730"/>
    </row>
    <row r="731" spans="7:10">
      <c r="G731"/>
      <c r="H731"/>
      <c r="I731"/>
      <c r="J731"/>
    </row>
    <row r="732" spans="7:10">
      <c r="G732"/>
      <c r="H732"/>
      <c r="I732"/>
      <c r="J732"/>
    </row>
    <row r="733" spans="7:10">
      <c r="G733"/>
      <c r="H733"/>
      <c r="I733"/>
      <c r="J733"/>
    </row>
    <row r="734" spans="7:10">
      <c r="G734"/>
      <c r="H734"/>
      <c r="I734"/>
      <c r="J734"/>
    </row>
    <row r="735" spans="7:10">
      <c r="G735"/>
      <c r="H735"/>
      <c r="I735"/>
      <c r="J735"/>
    </row>
    <row r="736" spans="7:10">
      <c r="G736"/>
      <c r="H736"/>
      <c r="I736"/>
      <c r="J736"/>
    </row>
    <row r="737" spans="7:10">
      <c r="G737"/>
      <c r="H737"/>
      <c r="I737"/>
      <c r="J737"/>
    </row>
    <row r="738" spans="7:10">
      <c r="G738"/>
      <c r="H738"/>
      <c r="I738"/>
      <c r="J738"/>
    </row>
    <row r="739" spans="7:10">
      <c r="G739"/>
      <c r="H739"/>
      <c r="I739"/>
      <c r="J739"/>
    </row>
    <row r="740" spans="7:10">
      <c r="G740"/>
      <c r="H740"/>
      <c r="I740"/>
      <c r="J740"/>
    </row>
    <row r="741" spans="7:10">
      <c r="G741"/>
      <c r="H741"/>
      <c r="I741"/>
      <c r="J741"/>
    </row>
    <row r="742" spans="7:10">
      <c r="G742"/>
      <c r="H742"/>
      <c r="I742"/>
      <c r="J742"/>
    </row>
    <row r="743" spans="7:10">
      <c r="G743"/>
      <c r="H743"/>
      <c r="I743"/>
      <c r="J743"/>
    </row>
    <row r="744" spans="7:10">
      <c r="G744"/>
      <c r="H744"/>
      <c r="I744"/>
      <c r="J744"/>
    </row>
    <row r="745" spans="7:10">
      <c r="G745"/>
      <c r="H745"/>
      <c r="I745"/>
      <c r="J745"/>
    </row>
    <row r="746" spans="7:10">
      <c r="G746"/>
      <c r="H746"/>
      <c r="I746"/>
      <c r="J746"/>
    </row>
    <row r="747" spans="7:10">
      <c r="G747"/>
      <c r="H747"/>
      <c r="I747"/>
      <c r="J747"/>
    </row>
    <row r="748" spans="7:10">
      <c r="G748"/>
      <c r="H748"/>
      <c r="I748"/>
      <c r="J748"/>
    </row>
    <row r="749" spans="7:10">
      <c r="G749"/>
      <c r="H749"/>
      <c r="I749"/>
      <c r="J749"/>
    </row>
    <row r="750" spans="7:10">
      <c r="G750"/>
      <c r="H750"/>
      <c r="I750"/>
      <c r="J750"/>
    </row>
    <row r="751" spans="7:10">
      <c r="G751"/>
      <c r="H751"/>
      <c r="I751"/>
      <c r="J751"/>
    </row>
    <row r="752" spans="7:10">
      <c r="G752"/>
      <c r="H752"/>
      <c r="I752"/>
      <c r="J752"/>
    </row>
    <row r="753" spans="7:10">
      <c r="G753"/>
      <c r="H753"/>
      <c r="I753"/>
      <c r="J753"/>
    </row>
    <row r="754" spans="7:10">
      <c r="G754"/>
      <c r="H754"/>
      <c r="I754"/>
      <c r="J754"/>
    </row>
    <row r="755" spans="7:10">
      <c r="G755"/>
      <c r="H755"/>
      <c r="I755"/>
      <c r="J755"/>
    </row>
    <row r="756" spans="7:10">
      <c r="G756"/>
      <c r="H756"/>
      <c r="I756"/>
      <c r="J756"/>
    </row>
    <row r="757" spans="7:10">
      <c r="G757"/>
      <c r="H757"/>
      <c r="I757"/>
      <c r="J757"/>
    </row>
    <row r="758" spans="7:10">
      <c r="G758"/>
      <c r="H758"/>
      <c r="I758"/>
      <c r="J758"/>
    </row>
    <row r="759" spans="7:10">
      <c r="G759"/>
      <c r="H759"/>
      <c r="I759"/>
      <c r="J759"/>
    </row>
    <row r="760" spans="7:10">
      <c r="G760"/>
      <c r="H760"/>
      <c r="I760"/>
      <c r="J760"/>
    </row>
    <row r="761" spans="7:10">
      <c r="G761"/>
      <c r="H761"/>
      <c r="I761"/>
      <c r="J761"/>
    </row>
    <row r="762" spans="7:10">
      <c r="G762"/>
      <c r="H762"/>
      <c r="I762"/>
      <c r="J762"/>
    </row>
    <row r="763" spans="7:10">
      <c r="G763"/>
      <c r="H763"/>
      <c r="I763"/>
      <c r="J763"/>
    </row>
    <row r="764" spans="7:10">
      <c r="G764"/>
      <c r="H764"/>
      <c r="I764"/>
      <c r="J764"/>
    </row>
    <row r="765" spans="7:10">
      <c r="G765"/>
      <c r="H765"/>
      <c r="I765"/>
      <c r="J765"/>
    </row>
    <row r="766" spans="7:10">
      <c r="G766"/>
      <c r="H766"/>
      <c r="I766"/>
      <c r="J766"/>
    </row>
    <row r="767" spans="7:10">
      <c r="G767"/>
      <c r="H767"/>
      <c r="I767"/>
      <c r="J767"/>
    </row>
    <row r="768" spans="7:10">
      <c r="G768"/>
      <c r="H768"/>
      <c r="I768"/>
      <c r="J768"/>
    </row>
    <row r="769" spans="7:10">
      <c r="G769"/>
      <c r="H769"/>
      <c r="I769"/>
      <c r="J769"/>
    </row>
    <row r="770" spans="7:10">
      <c r="G770"/>
      <c r="H770"/>
      <c r="I770"/>
      <c r="J770"/>
    </row>
    <row r="771" spans="7:10">
      <c r="G771"/>
      <c r="H771"/>
      <c r="I771"/>
      <c r="J771"/>
    </row>
    <row r="772" spans="7:10">
      <c r="G772"/>
      <c r="H772"/>
      <c r="I772"/>
      <c r="J772"/>
    </row>
    <row r="773" spans="7:10">
      <c r="G773"/>
      <c r="H773"/>
      <c r="I773"/>
      <c r="J773"/>
    </row>
    <row r="774" spans="7:10">
      <c r="G774"/>
      <c r="H774"/>
      <c r="I774"/>
      <c r="J774"/>
    </row>
    <row r="775" spans="7:10">
      <c r="G775"/>
      <c r="H775"/>
      <c r="I775"/>
      <c r="J775"/>
    </row>
    <row r="776" spans="7:10">
      <c r="G776"/>
      <c r="H776"/>
      <c r="I776"/>
      <c r="J776"/>
    </row>
    <row r="777" spans="7:10">
      <c r="G777"/>
      <c r="H777"/>
      <c r="I777"/>
      <c r="J777"/>
    </row>
    <row r="778" spans="7:10">
      <c r="G778"/>
      <c r="H778"/>
      <c r="I778"/>
      <c r="J778"/>
    </row>
    <row r="779" spans="7:10">
      <c r="G779"/>
      <c r="H779"/>
      <c r="I779"/>
      <c r="J779"/>
    </row>
    <row r="780" spans="7:10">
      <c r="G780"/>
      <c r="H780"/>
      <c r="I780"/>
      <c r="J780"/>
    </row>
    <row r="781" spans="7:10">
      <c r="G781"/>
      <c r="H781"/>
      <c r="I781"/>
      <c r="J781"/>
    </row>
    <row r="782" spans="7:10">
      <c r="G782"/>
      <c r="H782"/>
      <c r="I782"/>
      <c r="J782"/>
    </row>
    <row r="783" spans="7:10">
      <c r="G783"/>
      <c r="H783"/>
      <c r="I783"/>
      <c r="J783"/>
    </row>
    <row r="784" spans="7:10">
      <c r="G784"/>
      <c r="H784"/>
      <c r="I784"/>
      <c r="J784"/>
    </row>
    <row r="785" spans="7:10">
      <c r="G785"/>
      <c r="H785"/>
      <c r="I785"/>
      <c r="J785"/>
    </row>
    <row r="786" spans="7:10">
      <c r="G786"/>
      <c r="H786"/>
      <c r="I786"/>
      <c r="J786"/>
    </row>
    <row r="787" spans="7:10">
      <c r="G787"/>
      <c r="H787"/>
      <c r="I787"/>
      <c r="J787"/>
    </row>
    <row r="788" spans="7:10">
      <c r="G788"/>
      <c r="H788"/>
      <c r="I788"/>
      <c r="J788"/>
    </row>
    <row r="789" spans="7:10">
      <c r="G789"/>
      <c r="H789"/>
      <c r="I789"/>
      <c r="J789"/>
    </row>
    <row r="790" spans="7:10">
      <c r="G790"/>
      <c r="H790"/>
      <c r="I790"/>
      <c r="J790"/>
    </row>
    <row r="791" spans="7:10">
      <c r="G791"/>
      <c r="H791"/>
      <c r="I791"/>
      <c r="J791"/>
    </row>
    <row r="792" spans="7:10">
      <c r="G792"/>
      <c r="H792"/>
      <c r="I792"/>
      <c r="J792"/>
    </row>
    <row r="793" spans="7:10">
      <c r="G793"/>
      <c r="H793"/>
      <c r="I793"/>
      <c r="J793"/>
    </row>
    <row r="794" spans="7:10">
      <c r="G794"/>
      <c r="H794"/>
      <c r="I794"/>
      <c r="J794"/>
    </row>
    <row r="795" spans="7:10">
      <c r="G795"/>
      <c r="H795"/>
      <c r="I795"/>
      <c r="J795"/>
    </row>
    <row r="796" spans="7:10">
      <c r="G796"/>
      <c r="H796"/>
      <c r="I796"/>
      <c r="J796"/>
    </row>
    <row r="797" spans="7:10">
      <c r="G797"/>
      <c r="H797"/>
      <c r="I797"/>
      <c r="J797"/>
    </row>
    <row r="798" spans="7:10">
      <c r="G798"/>
      <c r="H798"/>
      <c r="I798"/>
      <c r="J798"/>
    </row>
    <row r="799" spans="7:10">
      <c r="G799"/>
      <c r="H799"/>
      <c r="I799"/>
      <c r="J799"/>
    </row>
    <row r="800" spans="7:10">
      <c r="G800"/>
      <c r="H800"/>
      <c r="I800"/>
      <c r="J800"/>
    </row>
    <row r="801" spans="7:10">
      <c r="G801"/>
      <c r="H801"/>
      <c r="I801"/>
      <c r="J801"/>
    </row>
    <row r="802" spans="7:10">
      <c r="G802"/>
      <c r="H802"/>
      <c r="I802"/>
      <c r="J802"/>
    </row>
    <row r="803" spans="7:10">
      <c r="G803"/>
      <c r="H803"/>
      <c r="I803"/>
      <c r="J803"/>
    </row>
    <row r="804" spans="7:10">
      <c r="G804"/>
      <c r="H804"/>
      <c r="I804"/>
      <c r="J804"/>
    </row>
    <row r="805" spans="7:10">
      <c r="G805"/>
      <c r="H805"/>
      <c r="I805"/>
      <c r="J805"/>
    </row>
    <row r="806" spans="7:10">
      <c r="G806"/>
      <c r="H806"/>
      <c r="I806"/>
      <c r="J806"/>
    </row>
    <row r="807" spans="7:10">
      <c r="G807"/>
      <c r="H807"/>
      <c r="I807"/>
      <c r="J807"/>
    </row>
    <row r="808" spans="7:10">
      <c r="G808"/>
      <c r="H808"/>
      <c r="I808"/>
      <c r="J808"/>
    </row>
    <row r="809" spans="7:10">
      <c r="G809"/>
      <c r="H809"/>
      <c r="I809"/>
      <c r="J809"/>
    </row>
    <row r="810" spans="7:10">
      <c r="G810"/>
      <c r="H810"/>
      <c r="I810"/>
      <c r="J810"/>
    </row>
    <row r="811" spans="7:10">
      <c r="G811"/>
      <c r="H811"/>
      <c r="I811"/>
      <c r="J811"/>
    </row>
    <row r="812" spans="7:10">
      <c r="G812"/>
      <c r="H812"/>
      <c r="I812"/>
      <c r="J812"/>
    </row>
    <row r="813" spans="7:10">
      <c r="G813"/>
      <c r="H813"/>
      <c r="I813"/>
      <c r="J813"/>
    </row>
    <row r="814" spans="7:10">
      <c r="G814"/>
      <c r="H814"/>
      <c r="I814"/>
      <c r="J814"/>
    </row>
    <row r="815" spans="7:10">
      <c r="G815"/>
      <c r="H815"/>
      <c r="I815"/>
      <c r="J815"/>
    </row>
    <row r="816" spans="7:10">
      <c r="G816"/>
      <c r="H816"/>
      <c r="I816"/>
      <c r="J816"/>
    </row>
    <row r="817" spans="7:10">
      <c r="G817"/>
      <c r="H817"/>
      <c r="I817"/>
      <c r="J817"/>
    </row>
    <row r="818" spans="7:10">
      <c r="G818"/>
      <c r="H818"/>
      <c r="I818"/>
      <c r="J818"/>
    </row>
    <row r="819" spans="7:10">
      <c r="G819"/>
      <c r="H819"/>
      <c r="I819"/>
      <c r="J819"/>
    </row>
    <row r="820" spans="7:10">
      <c r="G820"/>
      <c r="H820"/>
      <c r="I820"/>
      <c r="J820"/>
    </row>
    <row r="821" spans="7:10">
      <c r="G821"/>
      <c r="H821"/>
      <c r="I821"/>
      <c r="J821"/>
    </row>
    <row r="822" spans="7:10">
      <c r="G822"/>
      <c r="H822"/>
      <c r="I822"/>
      <c r="J822"/>
    </row>
    <row r="823" spans="7:10">
      <c r="G823"/>
      <c r="H823"/>
      <c r="I823"/>
      <c r="J823"/>
    </row>
    <row r="824" spans="7:10">
      <c r="G824"/>
      <c r="H824"/>
      <c r="I824"/>
      <c r="J824"/>
    </row>
    <row r="825" spans="7:10">
      <c r="G825"/>
      <c r="H825"/>
      <c r="I825"/>
      <c r="J825"/>
    </row>
    <row r="826" spans="7:10">
      <c r="G826"/>
      <c r="H826"/>
      <c r="I826"/>
      <c r="J826"/>
    </row>
    <row r="827" spans="7:10">
      <c r="G827"/>
      <c r="H827"/>
      <c r="I827"/>
      <c r="J827"/>
    </row>
    <row r="828" spans="7:10">
      <c r="G828"/>
      <c r="H828"/>
      <c r="I828"/>
      <c r="J828"/>
    </row>
    <row r="829" spans="7:10">
      <c r="G829"/>
      <c r="H829"/>
      <c r="I829"/>
      <c r="J829"/>
    </row>
    <row r="830" spans="7:10">
      <c r="G830"/>
      <c r="H830"/>
      <c r="I830"/>
      <c r="J830"/>
    </row>
    <row r="831" spans="7:10">
      <c r="G831"/>
      <c r="H831"/>
      <c r="I831"/>
      <c r="J831"/>
    </row>
    <row r="832" spans="7:10">
      <c r="G832"/>
      <c r="H832"/>
      <c r="I832"/>
      <c r="J832"/>
    </row>
    <row r="833" spans="7:10">
      <c r="G833"/>
      <c r="H833"/>
      <c r="I833"/>
      <c r="J833"/>
    </row>
    <row r="834" spans="7:10">
      <c r="G834"/>
      <c r="H834"/>
      <c r="I834"/>
      <c r="J834"/>
    </row>
    <row r="835" spans="7:10">
      <c r="G835"/>
      <c r="H835"/>
      <c r="I835"/>
      <c r="J835"/>
    </row>
    <row r="836" spans="7:10">
      <c r="G836"/>
      <c r="H836"/>
      <c r="I836"/>
      <c r="J836"/>
    </row>
    <row r="837" spans="7:10">
      <c r="G837"/>
      <c r="H837"/>
      <c r="I837"/>
      <c r="J837"/>
    </row>
    <row r="838" spans="7:10">
      <c r="G838"/>
      <c r="H838"/>
      <c r="I838"/>
      <c r="J838"/>
    </row>
    <row r="839" spans="7:10">
      <c r="G839"/>
      <c r="H839"/>
      <c r="I839"/>
      <c r="J839"/>
    </row>
    <row r="840" spans="7:10">
      <c r="G840"/>
      <c r="H840"/>
      <c r="I840"/>
      <c r="J840"/>
    </row>
    <row r="841" spans="7:10">
      <c r="G841"/>
      <c r="H841"/>
      <c r="I841"/>
      <c r="J841"/>
    </row>
    <row r="842" spans="7:10">
      <c r="G842"/>
      <c r="H842"/>
      <c r="I842"/>
      <c r="J842"/>
    </row>
    <row r="843" spans="7:10">
      <c r="G843"/>
      <c r="H843"/>
      <c r="I843"/>
      <c r="J843"/>
    </row>
    <row r="844" spans="7:10">
      <c r="G844"/>
      <c r="H844"/>
      <c r="I844"/>
      <c r="J844"/>
    </row>
    <row r="845" spans="7:10">
      <c r="G845"/>
      <c r="H845"/>
      <c r="I845"/>
      <c r="J845"/>
    </row>
    <row r="846" spans="7:10">
      <c r="G846"/>
      <c r="H846"/>
      <c r="I846"/>
      <c r="J846"/>
    </row>
    <row r="847" spans="7:10">
      <c r="G847"/>
      <c r="H847"/>
      <c r="I847"/>
      <c r="J847"/>
    </row>
    <row r="848" spans="7:10">
      <c r="G848"/>
      <c r="H848"/>
      <c r="I848"/>
      <c r="J848"/>
    </row>
    <row r="849" spans="7:10">
      <c r="G849"/>
      <c r="H849"/>
      <c r="I849"/>
      <c r="J849"/>
    </row>
    <row r="850" spans="7:10">
      <c r="G850"/>
      <c r="H850"/>
      <c r="I850"/>
      <c r="J850"/>
    </row>
    <row r="851" spans="7:10">
      <c r="G851"/>
      <c r="H851"/>
      <c r="I851"/>
      <c r="J851"/>
    </row>
    <row r="852" spans="7:10">
      <c r="G852"/>
      <c r="H852"/>
      <c r="I852"/>
      <c r="J852"/>
    </row>
    <row r="853" spans="7:10">
      <c r="G853"/>
      <c r="H853"/>
      <c r="I853"/>
      <c r="J853"/>
    </row>
    <row r="854" spans="7:10">
      <c r="G854"/>
      <c r="H854"/>
      <c r="I854"/>
      <c r="J854"/>
    </row>
    <row r="855" spans="7:10">
      <c r="G855"/>
      <c r="H855"/>
      <c r="I855"/>
      <c r="J855"/>
    </row>
    <row r="856" spans="7:10">
      <c r="G856"/>
      <c r="H856"/>
      <c r="I856"/>
      <c r="J856"/>
    </row>
    <row r="857" spans="7:10">
      <c r="G857"/>
      <c r="H857"/>
      <c r="I857"/>
      <c r="J857"/>
    </row>
    <row r="858" spans="7:10">
      <c r="G858"/>
      <c r="H858"/>
      <c r="I858"/>
      <c r="J858"/>
    </row>
    <row r="859" spans="7:10">
      <c r="G859"/>
      <c r="H859"/>
      <c r="I859"/>
      <c r="J859"/>
    </row>
    <row r="860" spans="7:10">
      <c r="G860"/>
      <c r="H860"/>
      <c r="I860"/>
      <c r="J860"/>
    </row>
    <row r="861" spans="7:10">
      <c r="G861"/>
      <c r="H861"/>
      <c r="I861"/>
      <c r="J861"/>
    </row>
    <row r="862" spans="7:10">
      <c r="G862"/>
      <c r="H862"/>
      <c r="I862"/>
      <c r="J862"/>
    </row>
    <row r="863" spans="7:10">
      <c r="G863"/>
      <c r="H863"/>
      <c r="I863"/>
      <c r="J863"/>
    </row>
    <row r="864" spans="7:10">
      <c r="G864"/>
      <c r="H864"/>
      <c r="I864"/>
      <c r="J864"/>
    </row>
    <row r="865" spans="7:10">
      <c r="G865"/>
      <c r="H865"/>
      <c r="I865"/>
      <c r="J865"/>
    </row>
    <row r="866" spans="7:10">
      <c r="G866"/>
      <c r="H866"/>
      <c r="I866"/>
      <c r="J866"/>
    </row>
    <row r="867" spans="7:10">
      <c r="G867"/>
      <c r="H867"/>
      <c r="I867"/>
      <c r="J867"/>
    </row>
    <row r="868" spans="7:10">
      <c r="G868"/>
      <c r="H868"/>
      <c r="I868"/>
      <c r="J868"/>
    </row>
    <row r="869" spans="7:10">
      <c r="G869"/>
      <c r="H869"/>
      <c r="I869"/>
      <c r="J869"/>
    </row>
    <row r="870" spans="7:10">
      <c r="G870"/>
      <c r="H870"/>
      <c r="I870"/>
      <c r="J870"/>
    </row>
    <row r="871" spans="7:10">
      <c r="G871"/>
      <c r="H871"/>
      <c r="I871"/>
      <c r="J871"/>
    </row>
    <row r="872" spans="7:10">
      <c r="G872"/>
      <c r="H872"/>
      <c r="I872"/>
      <c r="J872"/>
    </row>
    <row r="873" spans="7:10">
      <c r="G873"/>
      <c r="H873"/>
      <c r="I873"/>
      <c r="J873"/>
    </row>
    <row r="874" spans="7:10">
      <c r="G874"/>
      <c r="H874"/>
      <c r="I874"/>
      <c r="J874"/>
    </row>
    <row r="875" spans="7:10">
      <c r="G875"/>
      <c r="H875"/>
      <c r="I875"/>
      <c r="J875"/>
    </row>
    <row r="876" spans="7:10">
      <c r="G876"/>
      <c r="H876"/>
      <c r="I876"/>
      <c r="J876"/>
    </row>
    <row r="877" spans="7:10">
      <c r="G877"/>
      <c r="H877"/>
      <c r="I877"/>
      <c r="J877"/>
    </row>
    <row r="878" spans="7:10">
      <c r="G878"/>
      <c r="H878"/>
      <c r="I878"/>
      <c r="J878"/>
    </row>
    <row r="879" spans="7:10">
      <c r="G879"/>
      <c r="H879"/>
      <c r="I879"/>
      <c r="J879"/>
    </row>
    <row r="880" spans="7:10">
      <c r="G880"/>
      <c r="H880"/>
      <c r="I880"/>
      <c r="J880"/>
    </row>
    <row r="881" spans="7:10">
      <c r="G881"/>
      <c r="H881"/>
      <c r="I881"/>
      <c r="J881"/>
    </row>
    <row r="882" spans="7:10">
      <c r="G882"/>
      <c r="H882"/>
      <c r="I882"/>
      <c r="J882"/>
    </row>
    <row r="883" spans="7:10">
      <c r="G883"/>
      <c r="H883"/>
      <c r="I883"/>
      <c r="J883"/>
    </row>
    <row r="884" spans="7:10">
      <c r="G884"/>
      <c r="H884"/>
      <c r="I884"/>
      <c r="J884"/>
    </row>
    <row r="885" spans="7:10">
      <c r="G885"/>
      <c r="H885"/>
      <c r="I885"/>
      <c r="J885"/>
    </row>
    <row r="886" spans="7:10">
      <c r="G886"/>
      <c r="H886"/>
      <c r="I886"/>
      <c r="J886"/>
    </row>
    <row r="887" spans="7:10">
      <c r="G887"/>
      <c r="H887"/>
      <c r="I887"/>
      <c r="J887"/>
    </row>
    <row r="888" spans="7:10">
      <c r="G888"/>
      <c r="H888"/>
      <c r="I888"/>
      <c r="J888"/>
    </row>
    <row r="889" spans="7:10">
      <c r="G889"/>
      <c r="H889"/>
      <c r="I889"/>
      <c r="J889"/>
    </row>
    <row r="890" spans="7:10">
      <c r="G890"/>
      <c r="H890"/>
      <c r="I890"/>
      <c r="J890"/>
    </row>
    <row r="891" spans="7:10">
      <c r="G891"/>
      <c r="H891"/>
      <c r="I891"/>
      <c r="J891"/>
    </row>
    <row r="892" spans="7:10">
      <c r="G892"/>
      <c r="H892"/>
      <c r="I892"/>
      <c r="J892"/>
    </row>
    <row r="893" spans="7:10">
      <c r="G893"/>
      <c r="H893"/>
      <c r="I893"/>
      <c r="J893"/>
    </row>
    <row r="894" spans="7:10">
      <c r="G894"/>
      <c r="H894"/>
      <c r="I894"/>
      <c r="J894"/>
    </row>
    <row r="895" spans="7:10">
      <c r="G895"/>
      <c r="H895"/>
      <c r="I895"/>
      <c r="J895"/>
    </row>
    <row r="896" spans="7:10">
      <c r="G896"/>
      <c r="H896"/>
      <c r="I896"/>
      <c r="J896"/>
    </row>
    <row r="897" spans="7:10">
      <c r="G897"/>
      <c r="H897"/>
      <c r="I897"/>
      <c r="J897"/>
    </row>
    <row r="898" spans="7:10">
      <c r="G898"/>
      <c r="H898"/>
      <c r="I898"/>
      <c r="J898"/>
    </row>
    <row r="899" spans="7:10">
      <c r="G899"/>
      <c r="H899"/>
      <c r="I899"/>
      <c r="J899"/>
    </row>
    <row r="900" spans="7:10">
      <c r="G900"/>
      <c r="H900"/>
      <c r="I900"/>
      <c r="J900"/>
    </row>
    <row r="901" spans="7:10">
      <c r="G901"/>
      <c r="H901"/>
      <c r="I901"/>
      <c r="J901"/>
    </row>
    <row r="902" spans="7:10">
      <c r="G902"/>
      <c r="H902"/>
      <c r="I902"/>
      <c r="J902"/>
    </row>
    <row r="903" spans="7:10">
      <c r="G903"/>
      <c r="H903"/>
      <c r="I903"/>
      <c r="J903"/>
    </row>
    <row r="904" spans="7:10">
      <c r="G904"/>
      <c r="H904"/>
      <c r="I904"/>
      <c r="J904"/>
    </row>
    <row r="905" spans="7:10">
      <c r="G905"/>
      <c r="H905"/>
      <c r="I905"/>
      <c r="J905"/>
    </row>
    <row r="906" spans="7:10">
      <c r="G906"/>
      <c r="H906"/>
      <c r="I906"/>
      <c r="J906"/>
    </row>
    <row r="907" spans="7:10">
      <c r="G907"/>
      <c r="H907"/>
      <c r="I907"/>
      <c r="J907"/>
    </row>
    <row r="908" spans="7:10">
      <c r="G908"/>
      <c r="H908"/>
      <c r="I908"/>
      <c r="J908"/>
    </row>
    <row r="909" spans="7:10">
      <c r="G909"/>
      <c r="H909"/>
      <c r="I909"/>
      <c r="J909"/>
    </row>
    <row r="910" spans="7:10">
      <c r="G910"/>
      <c r="H910"/>
      <c r="I910"/>
      <c r="J910"/>
    </row>
    <row r="911" spans="7:10">
      <c r="G911"/>
      <c r="H911"/>
      <c r="I911"/>
      <c r="J911"/>
    </row>
    <row r="912" spans="7:10">
      <c r="G912"/>
      <c r="H912"/>
      <c r="I912"/>
      <c r="J912"/>
    </row>
    <row r="913" spans="7:10">
      <c r="G913"/>
      <c r="H913"/>
      <c r="I913"/>
      <c r="J913"/>
    </row>
    <row r="914" spans="7:10">
      <c r="G914"/>
      <c r="H914"/>
      <c r="I914"/>
      <c r="J914"/>
    </row>
    <row r="915" spans="7:10">
      <c r="G915"/>
      <c r="H915"/>
      <c r="I915"/>
      <c r="J915"/>
    </row>
    <row r="916" spans="7:10">
      <c r="G916"/>
      <c r="H916"/>
      <c r="I916"/>
      <c r="J916"/>
    </row>
    <row r="917" spans="7:10">
      <c r="G917"/>
      <c r="H917"/>
      <c r="I917"/>
      <c r="J917"/>
    </row>
    <row r="918" spans="7:10">
      <c r="G918"/>
      <c r="H918"/>
      <c r="I918"/>
      <c r="J918"/>
    </row>
    <row r="919" spans="7:10">
      <c r="G919"/>
      <c r="H919"/>
      <c r="I919"/>
      <c r="J919"/>
    </row>
    <row r="920" spans="7:10">
      <c r="G920"/>
      <c r="H920"/>
      <c r="I920"/>
      <c r="J920"/>
    </row>
    <row r="921" spans="7:10">
      <c r="G921"/>
      <c r="H921"/>
      <c r="I921"/>
      <c r="J921"/>
    </row>
    <row r="922" spans="7:10">
      <c r="G922"/>
      <c r="H922"/>
      <c r="I922"/>
      <c r="J922"/>
    </row>
    <row r="923" spans="7:10">
      <c r="G923"/>
      <c r="H923"/>
      <c r="I923"/>
      <c r="J923"/>
    </row>
    <row r="924" spans="7:10">
      <c r="G924"/>
      <c r="H924"/>
      <c r="I924"/>
      <c r="J924"/>
    </row>
    <row r="925" spans="7:10">
      <c r="G925"/>
      <c r="H925"/>
      <c r="I925"/>
      <c r="J925"/>
    </row>
    <row r="926" spans="7:10">
      <c r="G926"/>
      <c r="H926"/>
      <c r="I926"/>
      <c r="J926"/>
    </row>
    <row r="927" spans="7:10">
      <c r="G927"/>
      <c r="H927"/>
      <c r="I927"/>
      <c r="J927"/>
    </row>
    <row r="928" spans="7:10">
      <c r="G928"/>
      <c r="H928"/>
      <c r="I928"/>
      <c r="J928"/>
    </row>
    <row r="929" spans="7:10">
      <c r="G929"/>
      <c r="H929"/>
      <c r="I929"/>
      <c r="J929"/>
    </row>
    <row r="930" spans="7:10">
      <c r="G930"/>
      <c r="H930"/>
      <c r="I930"/>
      <c r="J930"/>
    </row>
    <row r="931" spans="7:10">
      <c r="G931"/>
      <c r="H931"/>
      <c r="I931"/>
      <c r="J931"/>
    </row>
    <row r="932" spans="7:10">
      <c r="G932"/>
      <c r="H932"/>
      <c r="I932"/>
      <c r="J932"/>
    </row>
    <row r="933" spans="7:10">
      <c r="G933"/>
      <c r="H933"/>
      <c r="I933"/>
      <c r="J933"/>
    </row>
    <row r="934" spans="7:10">
      <c r="G934"/>
      <c r="H934"/>
      <c r="I934"/>
      <c r="J934"/>
    </row>
    <row r="935" spans="7:10">
      <c r="G935"/>
      <c r="H935"/>
      <c r="I935"/>
      <c r="J935"/>
    </row>
    <row r="936" spans="7:10">
      <c r="G936"/>
      <c r="H936"/>
      <c r="I936"/>
      <c r="J936"/>
    </row>
    <row r="937" spans="7:10">
      <c r="G937"/>
      <c r="H937"/>
      <c r="I937"/>
      <c r="J937"/>
    </row>
    <row r="938" spans="7:10">
      <c r="G938"/>
      <c r="H938"/>
      <c r="I938"/>
      <c r="J938"/>
    </row>
    <row r="939" spans="7:10">
      <c r="G939"/>
      <c r="H939"/>
      <c r="I939"/>
      <c r="J939"/>
    </row>
    <row r="940" spans="7:10">
      <c r="G940"/>
      <c r="H940"/>
      <c r="I940"/>
      <c r="J940"/>
    </row>
    <row r="941" spans="7:10">
      <c r="G941"/>
      <c r="H941"/>
      <c r="I941"/>
      <c r="J941"/>
    </row>
    <row r="942" spans="7:10">
      <c r="G942"/>
      <c r="H942"/>
      <c r="I942"/>
      <c r="J942"/>
    </row>
    <row r="943" spans="7:10">
      <c r="G943"/>
      <c r="H943"/>
      <c r="I943"/>
      <c r="J943"/>
    </row>
    <row r="944" spans="7:10">
      <c r="G944"/>
      <c r="H944"/>
      <c r="I944"/>
      <c r="J944"/>
    </row>
    <row r="945" spans="7:10">
      <c r="G945"/>
      <c r="H945"/>
      <c r="I945"/>
      <c r="J945"/>
    </row>
    <row r="946" spans="7:10">
      <c r="G946"/>
      <c r="H946"/>
      <c r="I946"/>
      <c r="J946"/>
    </row>
    <row r="947" spans="7:10">
      <c r="G947"/>
      <c r="H947"/>
      <c r="I947"/>
      <c r="J947"/>
    </row>
    <row r="948" spans="7:10">
      <c r="G948"/>
      <c r="H948"/>
      <c r="I948"/>
      <c r="J948"/>
    </row>
    <row r="949" spans="7:10">
      <c r="G949"/>
      <c r="H949"/>
      <c r="I949"/>
      <c r="J949"/>
    </row>
    <row r="950" spans="7:10">
      <c r="G950"/>
      <c r="H950"/>
      <c r="I950"/>
      <c r="J950"/>
    </row>
    <row r="951" spans="7:10">
      <c r="G951"/>
      <c r="H951"/>
      <c r="I951"/>
      <c r="J951"/>
    </row>
    <row r="952" spans="7:10">
      <c r="G952"/>
      <c r="H952"/>
      <c r="I952"/>
      <c r="J952"/>
    </row>
    <row r="953" spans="7:10">
      <c r="G953"/>
      <c r="H953"/>
      <c r="I953"/>
      <c r="J953"/>
    </row>
    <row r="954" spans="7:10">
      <c r="G954"/>
      <c r="H954"/>
      <c r="I954"/>
      <c r="J954"/>
    </row>
    <row r="955" spans="7:10">
      <c r="G955"/>
      <c r="H955"/>
      <c r="I955"/>
      <c r="J955"/>
    </row>
    <row r="956" spans="7:10">
      <c r="G956"/>
      <c r="H956"/>
      <c r="I956"/>
      <c r="J956"/>
    </row>
    <row r="957" spans="7:10">
      <c r="G957"/>
      <c r="H957"/>
      <c r="I957"/>
      <c r="J957"/>
    </row>
    <row r="958" spans="7:10">
      <c r="G958"/>
      <c r="H958"/>
      <c r="I958"/>
      <c r="J958"/>
    </row>
    <row r="959" spans="7:10">
      <c r="G959"/>
      <c r="H959"/>
      <c r="I959"/>
      <c r="J959"/>
    </row>
    <row r="960" spans="7:10">
      <c r="G960"/>
      <c r="H960"/>
      <c r="I960"/>
      <c r="J960"/>
    </row>
    <row r="961" spans="7:10">
      <c r="G961"/>
      <c r="H961"/>
      <c r="I961"/>
      <c r="J961"/>
    </row>
    <row r="962" spans="7:10">
      <c r="G962"/>
      <c r="H962"/>
      <c r="I962"/>
      <c r="J962"/>
    </row>
    <row r="963" spans="7:10">
      <c r="G963"/>
      <c r="H963"/>
      <c r="I963"/>
      <c r="J963"/>
    </row>
    <row r="964" spans="7:10">
      <c r="G964"/>
      <c r="H964"/>
      <c r="I964"/>
      <c r="J964"/>
    </row>
    <row r="965" spans="7:10">
      <c r="G965"/>
      <c r="H965"/>
      <c r="I965"/>
      <c r="J965"/>
    </row>
    <row r="966" spans="7:10">
      <c r="G966"/>
      <c r="H966"/>
      <c r="I966"/>
      <c r="J966"/>
    </row>
    <row r="967" spans="7:10">
      <c r="G967"/>
      <c r="H967"/>
      <c r="I967"/>
      <c r="J967"/>
    </row>
    <row r="968" spans="7:10">
      <c r="G968"/>
      <c r="H968"/>
      <c r="I968"/>
      <c r="J968"/>
    </row>
    <row r="969" spans="7:10">
      <c r="G969"/>
      <c r="H969"/>
      <c r="I969"/>
      <c r="J969"/>
    </row>
    <row r="970" spans="7:10">
      <c r="G970"/>
      <c r="H970"/>
      <c r="I970"/>
      <c r="J970"/>
    </row>
    <row r="971" spans="7:10">
      <c r="G971"/>
      <c r="H971"/>
      <c r="I971"/>
      <c r="J971"/>
    </row>
    <row r="972" spans="7:10">
      <c r="G972"/>
      <c r="H972"/>
      <c r="I972"/>
      <c r="J972"/>
    </row>
    <row r="973" spans="7:10">
      <c r="G973"/>
      <c r="H973"/>
      <c r="I973"/>
      <c r="J973"/>
    </row>
    <row r="974" spans="7:10">
      <c r="G974"/>
      <c r="H974"/>
      <c r="I974"/>
      <c r="J974"/>
    </row>
    <row r="975" spans="7:10">
      <c r="G975"/>
      <c r="H975"/>
      <c r="I975"/>
      <c r="J975"/>
    </row>
    <row r="976" spans="7:10">
      <c r="G976"/>
      <c r="H976"/>
      <c r="I976"/>
      <c r="J976"/>
    </row>
    <row r="977" spans="7:10">
      <c r="G977"/>
      <c r="H977"/>
      <c r="I977"/>
      <c r="J977"/>
    </row>
    <row r="978" spans="7:10">
      <c r="G978"/>
      <c r="H978"/>
      <c r="I978"/>
      <c r="J978"/>
    </row>
    <row r="979" spans="7:10">
      <c r="G979"/>
      <c r="H979"/>
      <c r="I979"/>
      <c r="J979"/>
    </row>
    <row r="980" spans="7:10">
      <c r="G980"/>
      <c r="H980"/>
      <c r="I980"/>
      <c r="J980"/>
    </row>
    <row r="981" spans="7:10">
      <c r="G981"/>
      <c r="H981"/>
      <c r="I981"/>
      <c r="J981"/>
    </row>
    <row r="982" spans="7:10">
      <c r="G982"/>
      <c r="H982"/>
      <c r="I982"/>
      <c r="J982"/>
    </row>
    <row r="983" spans="7:10">
      <c r="G983"/>
      <c r="H983"/>
      <c r="I983"/>
      <c r="J983"/>
    </row>
    <row r="984" spans="7:10">
      <c r="G984"/>
      <c r="H984"/>
      <c r="I984"/>
      <c r="J984"/>
    </row>
    <row r="985" spans="7:10">
      <c r="G985"/>
      <c r="H985"/>
      <c r="I985"/>
      <c r="J985"/>
    </row>
    <row r="986" spans="7:10">
      <c r="G986"/>
      <c r="H986"/>
      <c r="I986"/>
      <c r="J986"/>
    </row>
    <row r="987" spans="7:10">
      <c r="G987"/>
      <c r="H987"/>
      <c r="I987"/>
      <c r="J987"/>
    </row>
    <row r="988" spans="7:10">
      <c r="G988"/>
      <c r="H988"/>
      <c r="I988"/>
      <c r="J988"/>
    </row>
    <row r="989" spans="7:10">
      <c r="G989"/>
      <c r="H989"/>
      <c r="I989"/>
      <c r="J989"/>
    </row>
    <row r="990" spans="7:10">
      <c r="G990"/>
      <c r="H990"/>
      <c r="I990"/>
      <c r="J990"/>
    </row>
    <row r="991" spans="7:10">
      <c r="G991"/>
      <c r="H991"/>
      <c r="I991"/>
      <c r="J991"/>
    </row>
    <row r="992" spans="7:10">
      <c r="G992"/>
      <c r="H992"/>
      <c r="I992"/>
      <c r="J992"/>
    </row>
    <row r="993" spans="7:10">
      <c r="G993"/>
      <c r="H993"/>
      <c r="I993"/>
      <c r="J993"/>
    </row>
    <row r="994" spans="7:10">
      <c r="G994"/>
      <c r="H994"/>
      <c r="I994"/>
      <c r="J994"/>
    </row>
    <row r="995" spans="7:10">
      <c r="G995"/>
      <c r="H995"/>
      <c r="I995"/>
      <c r="J995"/>
    </row>
    <row r="996" spans="7:10">
      <c r="G996"/>
      <c r="H996"/>
      <c r="I996"/>
      <c r="J996"/>
    </row>
    <row r="997" spans="7:10">
      <c r="G997"/>
      <c r="H997"/>
      <c r="I997"/>
      <c r="J997"/>
    </row>
    <row r="998" spans="7:10">
      <c r="G998"/>
      <c r="H998"/>
      <c r="I998"/>
      <c r="J998"/>
    </row>
    <row r="999" spans="7:10">
      <c r="G999"/>
      <c r="H999"/>
      <c r="I999"/>
      <c r="J999"/>
    </row>
    <row r="1000" spans="7:10">
      <c r="G1000"/>
      <c r="H1000"/>
      <c r="I1000"/>
      <c r="J1000"/>
    </row>
    <row r="1001" spans="7:10">
      <c r="G1001"/>
      <c r="H1001"/>
      <c r="I1001"/>
      <c r="J1001"/>
    </row>
    <row r="1002" spans="7:10">
      <c r="G1002"/>
      <c r="H1002"/>
      <c r="I1002"/>
      <c r="J1002"/>
    </row>
    <row r="1003" spans="7:10">
      <c r="G1003"/>
      <c r="H1003"/>
      <c r="I1003"/>
      <c r="J1003"/>
    </row>
    <row r="1004" spans="7:10">
      <c r="G1004"/>
      <c r="H1004"/>
      <c r="I1004"/>
      <c r="J1004"/>
    </row>
    <row r="1005" spans="7:10">
      <c r="G1005"/>
      <c r="H1005"/>
      <c r="I1005"/>
      <c r="J1005"/>
    </row>
    <row r="1006" spans="7:10">
      <c r="G1006"/>
      <c r="H1006"/>
      <c r="I1006"/>
      <c r="J1006"/>
    </row>
    <row r="1007" spans="7:10">
      <c r="G1007"/>
      <c r="H1007"/>
      <c r="I1007"/>
      <c r="J1007"/>
    </row>
    <row r="1008" spans="7:10">
      <c r="G1008"/>
      <c r="H1008"/>
      <c r="I1008"/>
      <c r="J1008"/>
    </row>
    <row r="1009" spans="7:10">
      <c r="G1009"/>
      <c r="H1009"/>
      <c r="I1009"/>
      <c r="J1009"/>
    </row>
    <row r="1010" spans="7:10">
      <c r="G1010"/>
      <c r="H1010"/>
      <c r="I1010"/>
      <c r="J1010"/>
    </row>
    <row r="1011" spans="7:10">
      <c r="G1011"/>
      <c r="H1011"/>
      <c r="I1011"/>
      <c r="J1011"/>
    </row>
    <row r="1012" spans="7:10">
      <c r="G1012"/>
      <c r="H1012"/>
      <c r="I1012"/>
      <c r="J1012"/>
    </row>
    <row r="1013" spans="7:10">
      <c r="G1013"/>
      <c r="H1013"/>
      <c r="I1013"/>
      <c r="J1013"/>
    </row>
    <row r="1014" spans="7:10">
      <c r="G1014"/>
      <c r="H1014"/>
      <c r="I1014"/>
      <c r="J1014"/>
    </row>
    <row r="1015" spans="7:10">
      <c r="G1015"/>
      <c r="H1015"/>
      <c r="I1015"/>
      <c r="J1015"/>
    </row>
    <row r="1016" spans="7:10">
      <c r="G1016"/>
      <c r="H1016"/>
      <c r="I1016"/>
      <c r="J1016"/>
    </row>
    <row r="1017" spans="7:10">
      <c r="G1017"/>
      <c r="H1017"/>
      <c r="I1017"/>
      <c r="J1017"/>
    </row>
    <row r="1018" spans="7:10">
      <c r="G1018"/>
      <c r="H1018"/>
      <c r="I1018"/>
      <c r="J1018"/>
    </row>
    <row r="1019" spans="7:10">
      <c r="G1019"/>
      <c r="H1019"/>
      <c r="I1019"/>
      <c r="J1019"/>
    </row>
    <row r="1020" spans="7:10">
      <c r="G1020"/>
      <c r="H1020"/>
      <c r="I1020"/>
      <c r="J1020"/>
    </row>
    <row r="1021" spans="7:10">
      <c r="G1021"/>
      <c r="H1021"/>
      <c r="I1021"/>
      <c r="J1021"/>
    </row>
    <row r="1022" spans="7:10">
      <c r="G1022"/>
      <c r="H1022"/>
      <c r="I1022"/>
      <c r="J1022"/>
    </row>
    <row r="1023" spans="7:10">
      <c r="G1023"/>
      <c r="H1023"/>
      <c r="I1023"/>
      <c r="J1023"/>
    </row>
    <row r="1024" spans="7:10">
      <c r="G1024"/>
      <c r="H1024"/>
      <c r="I1024"/>
      <c r="J1024"/>
    </row>
    <row r="1025" spans="7:10">
      <c r="G1025"/>
      <c r="H1025"/>
      <c r="I1025"/>
      <c r="J1025"/>
    </row>
    <row r="1026" spans="7:10">
      <c r="G1026"/>
      <c r="H1026"/>
      <c r="I1026"/>
      <c r="J1026"/>
    </row>
    <row r="1027" spans="7:10">
      <c r="G1027"/>
      <c r="H1027"/>
      <c r="I1027"/>
      <c r="J1027"/>
    </row>
    <row r="1028" spans="7:10">
      <c r="G1028"/>
      <c r="H1028"/>
      <c r="I1028"/>
      <c r="J1028"/>
    </row>
    <row r="1029" spans="7:10">
      <c r="G1029"/>
      <c r="H1029"/>
      <c r="I1029"/>
      <c r="J1029"/>
    </row>
    <row r="1030" spans="7:10">
      <c r="G1030"/>
      <c r="H1030"/>
      <c r="I1030"/>
      <c r="J1030"/>
    </row>
    <row r="1031" spans="7:10">
      <c r="G1031"/>
      <c r="H1031"/>
      <c r="I1031"/>
      <c r="J1031"/>
    </row>
    <row r="1032" spans="7:10">
      <c r="G1032"/>
      <c r="H1032"/>
      <c r="I1032"/>
      <c r="J1032"/>
    </row>
    <row r="1033" spans="7:10">
      <c r="G1033"/>
      <c r="H1033"/>
      <c r="I1033"/>
      <c r="J1033"/>
    </row>
    <row r="1034" spans="7:10">
      <c r="G1034"/>
      <c r="H1034"/>
      <c r="I1034"/>
      <c r="J1034"/>
    </row>
    <row r="1035" spans="7:10">
      <c r="G1035"/>
      <c r="H1035"/>
      <c r="I1035"/>
      <c r="J1035"/>
    </row>
    <row r="1036" spans="7:10">
      <c r="G1036"/>
      <c r="H1036"/>
      <c r="I1036"/>
      <c r="J1036"/>
    </row>
    <row r="1037" spans="7:10">
      <c r="G1037"/>
      <c r="H1037"/>
      <c r="I1037"/>
      <c r="J1037"/>
    </row>
    <row r="1038" spans="7:10">
      <c r="G1038"/>
      <c r="H1038"/>
      <c r="I1038"/>
      <c r="J1038"/>
    </row>
    <row r="1039" spans="7:10">
      <c r="G1039"/>
      <c r="H1039"/>
      <c r="I1039"/>
      <c r="J1039"/>
    </row>
    <row r="1040" spans="7:10">
      <c r="G1040"/>
      <c r="H1040"/>
      <c r="I1040"/>
      <c r="J1040"/>
    </row>
    <row r="1041" spans="7:10">
      <c r="G1041"/>
      <c r="H1041"/>
      <c r="I1041"/>
      <c r="J1041"/>
    </row>
    <row r="1042" spans="7:10">
      <c r="G1042"/>
      <c r="H1042"/>
      <c r="I1042"/>
      <c r="J1042"/>
    </row>
    <row r="1043" spans="7:10">
      <c r="G1043"/>
      <c r="H1043"/>
      <c r="I1043"/>
      <c r="J1043"/>
    </row>
    <row r="1044" spans="7:10">
      <c r="G1044"/>
      <c r="H1044"/>
      <c r="I1044"/>
      <c r="J1044"/>
    </row>
    <row r="1045" spans="7:10">
      <c r="G1045"/>
      <c r="H1045"/>
      <c r="I1045"/>
      <c r="J1045"/>
    </row>
    <row r="1046" spans="7:10">
      <c r="G1046"/>
      <c r="H1046"/>
      <c r="I1046"/>
      <c r="J1046"/>
    </row>
    <row r="1047" spans="7:10">
      <c r="G1047"/>
      <c r="H1047"/>
      <c r="I1047"/>
      <c r="J1047"/>
    </row>
    <row r="1048" spans="7:10">
      <c r="G1048"/>
      <c r="H1048"/>
      <c r="I1048"/>
      <c r="J1048"/>
    </row>
    <row r="1049" spans="7:10">
      <c r="G1049"/>
      <c r="H1049"/>
      <c r="I1049"/>
      <c r="J1049"/>
    </row>
    <row r="1050" spans="7:10">
      <c r="G1050"/>
      <c r="H1050"/>
      <c r="I1050"/>
      <c r="J1050"/>
    </row>
    <row r="1051" spans="7:10">
      <c r="G1051"/>
      <c r="H1051"/>
      <c r="I1051"/>
      <c r="J1051"/>
    </row>
    <row r="1052" spans="7:10">
      <c r="G1052"/>
      <c r="H1052"/>
      <c r="I1052"/>
      <c r="J1052"/>
    </row>
    <row r="1053" spans="7:10">
      <c r="G1053"/>
      <c r="H1053"/>
      <c r="I1053"/>
      <c r="J1053"/>
    </row>
    <row r="1054" spans="7:10">
      <c r="G1054"/>
      <c r="H1054"/>
      <c r="I1054"/>
      <c r="J1054"/>
    </row>
    <row r="1055" spans="7:10">
      <c r="G1055"/>
      <c r="H1055"/>
      <c r="I1055"/>
      <c r="J1055"/>
    </row>
    <row r="1056" spans="7:10">
      <c r="G1056"/>
      <c r="H1056"/>
      <c r="I1056"/>
      <c r="J1056"/>
    </row>
    <row r="1057" spans="7:10">
      <c r="G1057"/>
      <c r="H1057"/>
      <c r="I1057"/>
      <c r="J1057"/>
    </row>
    <row r="1058" spans="7:10">
      <c r="G1058"/>
      <c r="H1058"/>
      <c r="I1058"/>
      <c r="J1058"/>
    </row>
    <row r="1059" spans="7:10">
      <c r="G1059"/>
      <c r="H1059"/>
      <c r="I1059"/>
      <c r="J1059"/>
    </row>
    <row r="1060" spans="7:10">
      <c r="G1060"/>
      <c r="H1060"/>
      <c r="I1060"/>
      <c r="J1060"/>
    </row>
    <row r="1061" spans="7:10">
      <c r="G1061"/>
      <c r="H1061"/>
      <c r="I1061"/>
      <c r="J1061"/>
    </row>
    <row r="1062" spans="7:10">
      <c r="G1062"/>
      <c r="H1062"/>
      <c r="I1062"/>
      <c r="J1062"/>
    </row>
    <row r="1063" spans="7:10">
      <c r="G1063"/>
      <c r="H1063"/>
      <c r="I1063"/>
      <c r="J1063"/>
    </row>
    <row r="1064" spans="7:10">
      <c r="G1064"/>
      <c r="H1064"/>
      <c r="I1064"/>
      <c r="J1064"/>
    </row>
    <row r="1065" spans="7:10">
      <c r="G1065"/>
      <c r="H1065"/>
      <c r="I1065"/>
      <c r="J1065"/>
    </row>
    <row r="1066" spans="7:10">
      <c r="G1066"/>
      <c r="H1066"/>
      <c r="I1066"/>
      <c r="J1066"/>
    </row>
    <row r="1067" spans="7:10">
      <c r="G1067"/>
      <c r="H1067"/>
      <c r="I1067"/>
      <c r="J1067"/>
    </row>
    <row r="1068" spans="7:10">
      <c r="G1068"/>
      <c r="H1068"/>
      <c r="I1068"/>
      <c r="J1068"/>
    </row>
    <row r="1069" spans="7:10">
      <c r="G1069"/>
      <c r="H1069"/>
      <c r="I1069"/>
      <c r="J1069"/>
    </row>
    <row r="1070" spans="7:10">
      <c r="G1070"/>
      <c r="H1070"/>
      <c r="I1070"/>
      <c r="J1070"/>
    </row>
    <row r="1071" spans="7:10">
      <c r="G1071"/>
      <c r="H1071"/>
      <c r="I1071"/>
      <c r="J1071"/>
    </row>
    <row r="1072" spans="7:10">
      <c r="G1072"/>
      <c r="H1072"/>
      <c r="I1072"/>
      <c r="J1072"/>
    </row>
    <row r="1073" spans="7:10">
      <c r="G1073"/>
      <c r="H1073"/>
      <c r="I1073"/>
      <c r="J1073"/>
    </row>
    <row r="1074" spans="7:10">
      <c r="G1074"/>
      <c r="H1074"/>
      <c r="I1074"/>
      <c r="J1074"/>
    </row>
    <row r="1075" spans="7:10">
      <c r="G1075"/>
      <c r="H1075"/>
      <c r="I1075"/>
      <c r="J1075"/>
    </row>
    <row r="1076" spans="7:10">
      <c r="G1076"/>
      <c r="H1076"/>
      <c r="I1076"/>
      <c r="J1076"/>
    </row>
    <row r="1077" spans="7:10">
      <c r="G1077"/>
      <c r="H1077"/>
      <c r="I1077"/>
      <c r="J1077"/>
    </row>
    <row r="1078" spans="7:10">
      <c r="G1078"/>
      <c r="H1078"/>
      <c r="I1078"/>
      <c r="J1078"/>
    </row>
    <row r="1079" spans="7:10">
      <c r="G1079"/>
      <c r="H1079"/>
      <c r="I1079"/>
      <c r="J1079"/>
    </row>
    <row r="1080" spans="7:10">
      <c r="G1080"/>
      <c r="H1080"/>
      <c r="I1080"/>
      <c r="J1080"/>
    </row>
    <row r="1081" spans="7:10">
      <c r="G1081"/>
      <c r="H1081"/>
      <c r="I1081"/>
      <c r="J1081"/>
    </row>
    <row r="1082" spans="7:10">
      <c r="G1082"/>
      <c r="H1082"/>
      <c r="I1082"/>
      <c r="J1082"/>
    </row>
    <row r="1083" spans="7:10">
      <c r="G1083"/>
      <c r="H1083"/>
      <c r="I1083"/>
      <c r="J1083"/>
    </row>
    <row r="1084" spans="7:10">
      <c r="G1084"/>
      <c r="H1084"/>
      <c r="I1084"/>
      <c r="J1084"/>
    </row>
    <row r="1085" spans="7:10">
      <c r="G1085"/>
      <c r="H1085"/>
      <c r="I1085"/>
      <c r="J1085"/>
    </row>
    <row r="1086" spans="7:10">
      <c r="G1086"/>
      <c r="H1086"/>
      <c r="I1086"/>
      <c r="J1086"/>
    </row>
    <row r="1087" spans="7:10">
      <c r="G1087"/>
      <c r="H1087"/>
      <c r="I1087"/>
      <c r="J1087"/>
    </row>
    <row r="1088" spans="7:10">
      <c r="G1088"/>
      <c r="H1088"/>
      <c r="I1088"/>
      <c r="J1088"/>
    </row>
    <row r="1089" spans="7:10">
      <c r="G1089"/>
      <c r="H1089"/>
      <c r="I1089"/>
      <c r="J1089"/>
    </row>
    <row r="1090" spans="7:10">
      <c r="G1090"/>
      <c r="H1090"/>
      <c r="I1090"/>
      <c r="J1090"/>
    </row>
    <row r="1091" spans="7:10">
      <c r="G1091"/>
      <c r="H1091"/>
      <c r="I1091"/>
      <c r="J1091"/>
    </row>
    <row r="1092" spans="7:10">
      <c r="G1092"/>
      <c r="H1092"/>
      <c r="I1092"/>
      <c r="J1092"/>
    </row>
    <row r="1093" spans="7:10">
      <c r="G1093"/>
      <c r="H1093"/>
      <c r="I1093"/>
      <c r="J1093"/>
    </row>
    <row r="1094" spans="7:10">
      <c r="G1094"/>
      <c r="H1094"/>
      <c r="I1094"/>
      <c r="J1094"/>
    </row>
    <row r="1095" spans="7:10">
      <c r="G1095"/>
      <c r="H1095"/>
      <c r="I1095"/>
      <c r="J1095"/>
    </row>
    <row r="1096" spans="7:10">
      <c r="G1096"/>
      <c r="H1096"/>
      <c r="I1096"/>
      <c r="J1096"/>
    </row>
    <row r="1097" spans="7:10">
      <c r="G1097"/>
      <c r="H1097"/>
      <c r="I1097"/>
      <c r="J1097"/>
    </row>
    <row r="1098" spans="7:10">
      <c r="G1098"/>
      <c r="H1098"/>
      <c r="I1098"/>
      <c r="J1098"/>
    </row>
    <row r="1099" spans="7:10">
      <c r="G1099"/>
      <c r="H1099"/>
      <c r="I1099"/>
      <c r="J1099"/>
    </row>
    <row r="1100" spans="7:10">
      <c r="G1100"/>
      <c r="H1100"/>
      <c r="I1100"/>
      <c r="J1100"/>
    </row>
    <row r="1101" spans="7:10">
      <c r="G1101"/>
      <c r="H1101"/>
      <c r="I1101"/>
      <c r="J1101"/>
    </row>
    <row r="1102" spans="7:10">
      <c r="G1102"/>
      <c r="H1102"/>
      <c r="I1102"/>
      <c r="J1102"/>
    </row>
    <row r="1103" spans="7:10">
      <c r="G1103"/>
      <c r="H1103"/>
      <c r="I1103"/>
      <c r="J1103"/>
    </row>
    <row r="1104" spans="7:10">
      <c r="G1104"/>
      <c r="H1104"/>
      <c r="I1104"/>
      <c r="J1104"/>
    </row>
    <row r="1105" spans="7:10">
      <c r="G1105"/>
      <c r="H1105"/>
      <c r="I1105"/>
      <c r="J1105"/>
    </row>
    <row r="1106" spans="7:10">
      <c r="G1106"/>
      <c r="H1106"/>
      <c r="I1106"/>
      <c r="J1106"/>
    </row>
    <row r="1107" spans="7:10">
      <c r="G1107"/>
      <c r="H1107"/>
      <c r="I1107"/>
      <c r="J1107"/>
    </row>
    <row r="1108" spans="7:10">
      <c r="G1108"/>
      <c r="H1108"/>
      <c r="I1108"/>
      <c r="J1108"/>
    </row>
    <row r="1109" spans="7:10">
      <c r="G1109"/>
      <c r="H1109"/>
      <c r="I1109"/>
      <c r="J1109"/>
    </row>
    <row r="1110" spans="7:10">
      <c r="G1110"/>
      <c r="H1110"/>
      <c r="I1110"/>
      <c r="J1110"/>
    </row>
    <row r="1111" spans="7:10">
      <c r="G1111"/>
      <c r="H1111"/>
      <c r="I1111"/>
      <c r="J1111"/>
    </row>
    <row r="1112" spans="7:10">
      <c r="G1112"/>
      <c r="H1112"/>
      <c r="I1112"/>
      <c r="J1112"/>
    </row>
    <row r="1113" spans="7:10">
      <c r="G1113"/>
      <c r="H1113"/>
      <c r="I1113"/>
      <c r="J1113"/>
    </row>
    <row r="1114" spans="7:10">
      <c r="G1114"/>
      <c r="H1114"/>
      <c r="I1114"/>
      <c r="J1114"/>
    </row>
    <row r="1115" spans="7:10">
      <c r="G1115"/>
      <c r="H1115"/>
      <c r="I1115"/>
      <c r="J1115"/>
    </row>
    <row r="1116" spans="7:10">
      <c r="G1116"/>
      <c r="H1116"/>
      <c r="I1116"/>
      <c r="J1116"/>
    </row>
    <row r="1117" spans="7:10">
      <c r="G1117"/>
      <c r="H1117"/>
      <c r="I1117"/>
      <c r="J1117"/>
    </row>
    <row r="1118" spans="7:10">
      <c r="G1118"/>
      <c r="H1118"/>
      <c r="I1118"/>
      <c r="J1118"/>
    </row>
    <row r="1119" spans="7:10">
      <c r="G1119"/>
      <c r="H1119"/>
      <c r="I1119"/>
      <c r="J1119"/>
    </row>
    <row r="1120" spans="7:10">
      <c r="G1120"/>
      <c r="H1120"/>
      <c r="I1120"/>
      <c r="J1120"/>
    </row>
    <row r="1121" spans="7:10">
      <c r="G1121"/>
      <c r="H1121"/>
      <c r="I1121"/>
      <c r="J1121"/>
    </row>
    <row r="1122" spans="7:10">
      <c r="G1122"/>
      <c r="H1122"/>
      <c r="I1122"/>
      <c r="J1122"/>
    </row>
    <row r="1123" spans="7:10">
      <c r="G1123"/>
      <c r="H1123"/>
      <c r="I1123"/>
      <c r="J1123"/>
    </row>
    <row r="1124" spans="7:10">
      <c r="G1124"/>
      <c r="H1124"/>
      <c r="I1124"/>
      <c r="J1124"/>
    </row>
    <row r="1125" spans="7:10">
      <c r="G1125"/>
      <c r="H1125"/>
      <c r="I1125"/>
      <c r="J1125"/>
    </row>
    <row r="1126" spans="7:10">
      <c r="G1126"/>
      <c r="H1126"/>
      <c r="I1126"/>
      <c r="J1126"/>
    </row>
    <row r="1127" spans="7:10">
      <c r="G1127"/>
      <c r="H1127"/>
      <c r="I1127"/>
      <c r="J1127"/>
    </row>
    <row r="1128" spans="7:10">
      <c r="G1128"/>
      <c r="H1128"/>
      <c r="I1128"/>
      <c r="J1128"/>
    </row>
    <row r="1129" spans="7:10">
      <c r="G1129"/>
      <c r="H1129"/>
      <c r="I1129"/>
      <c r="J1129"/>
    </row>
    <row r="1130" spans="7:10">
      <c r="G1130"/>
      <c r="H1130"/>
      <c r="I1130"/>
      <c r="J1130"/>
    </row>
    <row r="1131" spans="7:10">
      <c r="G1131"/>
      <c r="H1131"/>
      <c r="I1131"/>
      <c r="J1131"/>
    </row>
    <row r="1132" spans="7:10">
      <c r="G1132"/>
      <c r="H1132"/>
      <c r="I1132"/>
      <c r="J1132"/>
    </row>
    <row r="1133" spans="7:10">
      <c r="G1133"/>
      <c r="H1133"/>
      <c r="I1133"/>
      <c r="J1133"/>
    </row>
    <row r="1134" spans="7:10">
      <c r="G1134"/>
      <c r="H1134"/>
      <c r="I1134"/>
      <c r="J1134"/>
    </row>
    <row r="1135" spans="7:10">
      <c r="G1135"/>
      <c r="H1135"/>
      <c r="I1135"/>
      <c r="J1135"/>
    </row>
    <row r="1136" spans="7:10">
      <c r="G1136"/>
      <c r="H1136"/>
      <c r="I1136"/>
      <c r="J1136"/>
    </row>
    <row r="1137" spans="7:10">
      <c r="G1137"/>
      <c r="H1137"/>
      <c r="I1137"/>
      <c r="J1137"/>
    </row>
    <row r="1138" spans="7:10">
      <c r="G1138"/>
      <c r="H1138"/>
      <c r="I1138"/>
      <c r="J1138"/>
    </row>
    <row r="1139" spans="7:10">
      <c r="G1139"/>
      <c r="H1139"/>
      <c r="I1139"/>
      <c r="J1139"/>
    </row>
    <row r="1140" spans="7:10">
      <c r="G1140"/>
      <c r="H1140"/>
      <c r="I1140"/>
      <c r="J1140"/>
    </row>
    <row r="1141" spans="7:10">
      <c r="G1141"/>
      <c r="H1141"/>
      <c r="I1141"/>
      <c r="J1141"/>
    </row>
    <row r="1142" spans="7:10">
      <c r="G1142"/>
      <c r="H1142"/>
      <c r="I1142"/>
      <c r="J1142"/>
    </row>
    <row r="1143" spans="7:10">
      <c r="G1143"/>
      <c r="H1143"/>
      <c r="I1143"/>
      <c r="J1143"/>
    </row>
    <row r="1144" spans="7:10">
      <c r="G1144"/>
      <c r="H1144"/>
      <c r="I1144"/>
      <c r="J1144"/>
    </row>
    <row r="1145" spans="7:10">
      <c r="G1145"/>
      <c r="H1145"/>
      <c r="I1145"/>
      <c r="J1145"/>
    </row>
    <row r="1146" spans="7:10">
      <c r="G1146"/>
      <c r="H1146"/>
      <c r="I1146"/>
      <c r="J1146"/>
    </row>
    <row r="1147" spans="7:10">
      <c r="G1147"/>
      <c r="H1147"/>
      <c r="I1147"/>
      <c r="J1147"/>
    </row>
    <row r="1148" spans="7:10">
      <c r="G1148"/>
      <c r="H1148"/>
      <c r="I1148"/>
      <c r="J1148"/>
    </row>
    <row r="1149" spans="7:10">
      <c r="G1149"/>
      <c r="H1149"/>
      <c r="I1149"/>
      <c r="J1149"/>
    </row>
    <row r="1150" spans="7:10">
      <c r="G1150"/>
      <c r="H1150"/>
      <c r="I1150"/>
      <c r="J1150"/>
    </row>
    <row r="1151" spans="7:10">
      <c r="G1151"/>
      <c r="H1151"/>
      <c r="I1151"/>
      <c r="J1151"/>
    </row>
    <row r="1152" spans="7:10">
      <c r="G1152"/>
      <c r="H1152"/>
      <c r="I1152"/>
      <c r="J1152"/>
    </row>
    <row r="1153" spans="7:10">
      <c r="G1153"/>
      <c r="H1153"/>
      <c r="I1153"/>
      <c r="J1153"/>
    </row>
    <row r="1154" spans="7:10">
      <c r="G1154"/>
      <c r="H1154"/>
      <c r="I1154"/>
      <c r="J1154"/>
    </row>
    <row r="1155" spans="7:10">
      <c r="G1155"/>
      <c r="H1155"/>
      <c r="I1155"/>
      <c r="J1155"/>
    </row>
    <row r="1156" spans="7:10">
      <c r="G1156"/>
      <c r="H1156"/>
      <c r="I1156"/>
      <c r="J1156"/>
    </row>
    <row r="1157" spans="7:10">
      <c r="G1157"/>
      <c r="H1157"/>
      <c r="I1157"/>
      <c r="J1157"/>
    </row>
    <row r="1158" spans="7:10">
      <c r="G1158"/>
      <c r="H1158"/>
      <c r="I1158"/>
      <c r="J1158"/>
    </row>
    <row r="1159" spans="7:10">
      <c r="G1159"/>
      <c r="H1159"/>
      <c r="I1159"/>
      <c r="J1159"/>
    </row>
    <row r="1160" spans="7:10">
      <c r="G1160"/>
      <c r="H1160"/>
      <c r="I1160"/>
      <c r="J1160"/>
    </row>
    <row r="1161" spans="7:10">
      <c r="G1161"/>
      <c r="H1161"/>
      <c r="I1161"/>
      <c r="J1161"/>
    </row>
    <row r="1162" spans="7:10">
      <c r="G1162"/>
      <c r="H1162"/>
      <c r="I1162"/>
      <c r="J1162"/>
    </row>
    <row r="1163" spans="7:10">
      <c r="G1163"/>
      <c r="H1163"/>
      <c r="I1163"/>
      <c r="J1163"/>
    </row>
    <row r="1164" spans="7:10">
      <c r="G1164"/>
      <c r="H1164"/>
      <c r="I1164"/>
      <c r="J1164"/>
    </row>
    <row r="1165" spans="7:10">
      <c r="G1165"/>
      <c r="H1165"/>
      <c r="I1165"/>
      <c r="J1165"/>
    </row>
    <row r="1166" spans="7:10">
      <c r="G1166"/>
      <c r="H1166"/>
      <c r="I1166"/>
      <c r="J1166"/>
    </row>
    <row r="1167" spans="7:10">
      <c r="G1167"/>
      <c r="H1167"/>
      <c r="I1167"/>
      <c r="J1167"/>
    </row>
    <row r="1168" spans="7:10">
      <c r="G1168"/>
      <c r="H1168"/>
      <c r="I1168"/>
      <c r="J1168"/>
    </row>
    <row r="1169" spans="7:10">
      <c r="G1169"/>
      <c r="H1169"/>
      <c r="I1169"/>
      <c r="J1169"/>
    </row>
    <row r="1170" spans="7:10">
      <c r="G1170"/>
      <c r="H1170"/>
      <c r="I1170"/>
      <c r="J1170"/>
    </row>
    <row r="1171" spans="7:10">
      <c r="G1171"/>
      <c r="H1171"/>
      <c r="I1171"/>
      <c r="J1171"/>
    </row>
    <row r="1172" spans="7:10">
      <c r="G1172"/>
      <c r="H1172"/>
      <c r="I1172"/>
      <c r="J1172"/>
    </row>
    <row r="1173" spans="7:10">
      <c r="G1173"/>
      <c r="H1173"/>
      <c r="I1173"/>
      <c r="J1173"/>
    </row>
    <row r="1174" spans="7:10">
      <c r="G1174"/>
      <c r="H1174"/>
      <c r="I1174"/>
      <c r="J1174"/>
    </row>
    <row r="1175" spans="7:10">
      <c r="G1175"/>
      <c r="H1175"/>
      <c r="I1175"/>
      <c r="J1175"/>
    </row>
    <row r="1176" spans="7:10">
      <c r="G1176"/>
      <c r="H1176"/>
      <c r="I1176"/>
      <c r="J1176"/>
    </row>
    <row r="1177" spans="7:10">
      <c r="G1177"/>
      <c r="H1177"/>
      <c r="I1177"/>
      <c r="J1177"/>
    </row>
    <row r="1178" spans="7:10">
      <c r="G1178"/>
      <c r="H1178"/>
      <c r="I1178"/>
      <c r="J1178"/>
    </row>
    <row r="1179" spans="7:10">
      <c r="G1179"/>
      <c r="H1179"/>
      <c r="I1179"/>
      <c r="J1179"/>
    </row>
    <row r="1180" spans="7:10">
      <c r="G1180"/>
      <c r="H1180"/>
      <c r="I1180"/>
      <c r="J1180"/>
    </row>
    <row r="1181" spans="7:10">
      <c r="G1181"/>
      <c r="H1181"/>
      <c r="I1181"/>
      <c r="J1181"/>
    </row>
    <row r="1182" spans="7:10">
      <c r="G1182"/>
      <c r="H1182"/>
      <c r="I1182"/>
      <c r="J1182"/>
    </row>
    <row r="1183" spans="7:10">
      <c r="G1183"/>
      <c r="H1183"/>
      <c r="I1183"/>
      <c r="J1183"/>
    </row>
    <row r="1184" spans="7:10">
      <c r="G1184"/>
      <c r="H1184"/>
      <c r="I1184"/>
      <c r="J1184"/>
    </row>
    <row r="1185" spans="7:10">
      <c r="G1185"/>
      <c r="H1185"/>
      <c r="I1185"/>
      <c r="J1185"/>
    </row>
    <row r="1186" spans="7:10">
      <c r="G1186"/>
      <c r="H1186"/>
      <c r="I1186"/>
      <c r="J1186"/>
    </row>
    <row r="1187" spans="7:10">
      <c r="G1187"/>
      <c r="H1187"/>
      <c r="I1187"/>
      <c r="J1187"/>
    </row>
    <row r="1188" spans="7:10">
      <c r="G1188"/>
      <c r="H1188"/>
      <c r="I1188"/>
      <c r="J1188"/>
    </row>
    <row r="1189" spans="7:10">
      <c r="G1189"/>
      <c r="H1189"/>
      <c r="I1189"/>
      <c r="J1189"/>
    </row>
    <row r="1190" spans="7:10">
      <c r="G1190"/>
      <c r="H1190"/>
      <c r="I1190"/>
      <c r="J1190"/>
    </row>
    <row r="1191" spans="7:10">
      <c r="G1191"/>
      <c r="H1191"/>
      <c r="I1191"/>
      <c r="J1191"/>
    </row>
    <row r="1192" spans="7:10">
      <c r="G1192"/>
      <c r="H1192"/>
      <c r="I1192"/>
      <c r="J1192"/>
    </row>
    <row r="1193" spans="7:10">
      <c r="G1193"/>
      <c r="H1193"/>
      <c r="I1193"/>
      <c r="J1193"/>
    </row>
    <row r="1194" spans="7:10">
      <c r="G1194"/>
      <c r="H1194"/>
      <c r="I1194"/>
      <c r="J1194"/>
    </row>
    <row r="1195" spans="7:10">
      <c r="G1195"/>
      <c r="H1195"/>
      <c r="I1195"/>
      <c r="J1195"/>
    </row>
    <row r="1196" spans="7:10">
      <c r="G1196"/>
      <c r="H1196"/>
      <c r="I1196"/>
      <c r="J1196"/>
    </row>
    <row r="1197" spans="7:10">
      <c r="G1197"/>
      <c r="H1197"/>
      <c r="I1197"/>
      <c r="J1197"/>
    </row>
    <row r="1198" spans="7:10">
      <c r="G1198"/>
      <c r="H1198"/>
      <c r="I1198"/>
      <c r="J1198"/>
    </row>
    <row r="1199" spans="7:10">
      <c r="G1199"/>
      <c r="H1199"/>
      <c r="I1199"/>
      <c r="J1199"/>
    </row>
    <row r="1200" spans="7:10">
      <c r="G1200"/>
      <c r="H1200"/>
      <c r="I1200"/>
      <c r="J1200"/>
    </row>
    <row r="1201" spans="7:10">
      <c r="G1201"/>
      <c r="H1201"/>
      <c r="I1201"/>
      <c r="J1201"/>
    </row>
    <row r="1202" spans="7:10">
      <c r="G1202"/>
      <c r="H1202"/>
      <c r="I1202"/>
      <c r="J1202"/>
    </row>
    <row r="1203" spans="7:10">
      <c r="G1203"/>
      <c r="H1203"/>
      <c r="I1203"/>
      <c r="J1203"/>
    </row>
    <row r="1204" spans="7:10">
      <c r="G1204"/>
      <c r="H1204"/>
      <c r="I1204"/>
      <c r="J1204"/>
    </row>
    <row r="1205" spans="7:10">
      <c r="G1205"/>
      <c r="H1205"/>
      <c r="I1205"/>
      <c r="J1205"/>
    </row>
    <row r="1206" spans="7:10">
      <c r="G1206"/>
      <c r="H1206"/>
      <c r="I1206"/>
      <c r="J1206"/>
    </row>
    <row r="1207" spans="7:10">
      <c r="G1207"/>
      <c r="H1207"/>
      <c r="I1207"/>
      <c r="J1207"/>
    </row>
    <row r="1208" spans="7:10">
      <c r="G1208"/>
      <c r="H1208"/>
      <c r="I1208"/>
      <c r="J1208"/>
    </row>
    <row r="1209" spans="7:10">
      <c r="G1209"/>
      <c r="H1209"/>
      <c r="I1209"/>
      <c r="J1209"/>
    </row>
    <row r="1210" spans="7:10">
      <c r="G1210"/>
      <c r="H1210"/>
      <c r="I1210"/>
      <c r="J1210"/>
    </row>
    <row r="1211" spans="7:10">
      <c r="G1211"/>
      <c r="H1211"/>
      <c r="I1211"/>
      <c r="J1211"/>
    </row>
    <row r="1212" spans="7:10">
      <c r="G1212"/>
      <c r="H1212"/>
      <c r="I1212"/>
      <c r="J1212"/>
    </row>
    <row r="1213" spans="7:10">
      <c r="G1213"/>
      <c r="H1213"/>
      <c r="I1213"/>
      <c r="J1213"/>
    </row>
    <row r="1214" spans="7:10">
      <c r="G1214"/>
      <c r="H1214"/>
      <c r="I1214"/>
      <c r="J1214"/>
    </row>
    <row r="1215" spans="7:10">
      <c r="G1215"/>
      <c r="H1215"/>
      <c r="I1215"/>
      <c r="J1215"/>
    </row>
    <row r="1216" spans="7:10">
      <c r="G1216"/>
      <c r="H1216"/>
      <c r="I1216"/>
      <c r="J1216"/>
    </row>
    <row r="1217" spans="7:10">
      <c r="G1217"/>
      <c r="H1217"/>
      <c r="I1217"/>
      <c r="J1217"/>
    </row>
    <row r="1218" spans="7:10">
      <c r="G1218"/>
      <c r="H1218"/>
      <c r="I1218"/>
      <c r="J1218"/>
    </row>
    <row r="1219" spans="7:10">
      <c r="G1219"/>
      <c r="H1219"/>
      <c r="I1219"/>
      <c r="J1219"/>
    </row>
    <row r="1220" spans="7:10">
      <c r="G1220"/>
      <c r="H1220"/>
      <c r="I1220"/>
      <c r="J1220"/>
    </row>
    <row r="1221" spans="7:10">
      <c r="G1221"/>
      <c r="H1221"/>
      <c r="I1221"/>
      <c r="J1221"/>
    </row>
    <row r="1222" spans="7:10">
      <c r="G1222"/>
      <c r="H1222"/>
      <c r="I1222"/>
      <c r="J1222"/>
    </row>
    <row r="1223" spans="7:10">
      <c r="G1223"/>
      <c r="H1223"/>
      <c r="I1223"/>
      <c r="J1223"/>
    </row>
    <row r="1224" spans="7:10">
      <c r="G1224"/>
      <c r="H1224"/>
      <c r="I1224"/>
      <c r="J1224"/>
    </row>
    <row r="1225" spans="7:10">
      <c r="G1225"/>
      <c r="H1225"/>
      <c r="I1225"/>
      <c r="J1225"/>
    </row>
    <row r="1226" spans="7:10">
      <c r="G1226"/>
      <c r="H1226"/>
      <c r="I1226"/>
      <c r="J1226"/>
    </row>
    <row r="1227" spans="7:10">
      <c r="G1227"/>
      <c r="H1227"/>
      <c r="I1227"/>
      <c r="J1227"/>
    </row>
    <row r="1228" spans="7:10">
      <c r="G1228"/>
      <c r="H1228"/>
      <c r="I1228"/>
      <c r="J1228"/>
    </row>
    <row r="1229" spans="7:10">
      <c r="G1229"/>
      <c r="H1229"/>
      <c r="I1229"/>
      <c r="J1229"/>
    </row>
    <row r="1230" spans="7:10">
      <c r="G1230"/>
      <c r="H1230"/>
      <c r="I1230"/>
      <c r="J1230"/>
    </row>
    <row r="1231" spans="7:10">
      <c r="G1231"/>
      <c r="H1231"/>
      <c r="I1231"/>
      <c r="J1231"/>
    </row>
    <row r="1232" spans="7:10">
      <c r="G1232"/>
      <c r="H1232"/>
      <c r="I1232"/>
      <c r="J1232"/>
    </row>
    <row r="1233" spans="7:10">
      <c r="G1233"/>
      <c r="H1233"/>
      <c r="I1233"/>
      <c r="J1233"/>
    </row>
    <row r="1234" spans="7:10">
      <c r="G1234"/>
      <c r="H1234"/>
      <c r="I1234"/>
      <c r="J1234"/>
    </row>
    <row r="1235" spans="7:10">
      <c r="G1235"/>
      <c r="H1235"/>
      <c r="I1235"/>
      <c r="J1235"/>
    </row>
    <row r="1236" spans="7:10">
      <c r="G1236"/>
      <c r="H1236"/>
      <c r="I1236"/>
      <c r="J1236"/>
    </row>
    <row r="1237" spans="7:10">
      <c r="G1237"/>
      <c r="H1237"/>
      <c r="I1237"/>
      <c r="J1237"/>
    </row>
    <row r="1238" spans="7:10">
      <c r="G1238"/>
      <c r="H1238"/>
      <c r="I1238"/>
      <c r="J1238"/>
    </row>
    <row r="1239" spans="7:10">
      <c r="G1239"/>
      <c r="H1239"/>
      <c r="I1239"/>
      <c r="J1239"/>
    </row>
    <row r="1240" spans="7:10">
      <c r="G1240"/>
      <c r="H1240"/>
      <c r="I1240"/>
      <c r="J1240"/>
    </row>
    <row r="1241" spans="7:10">
      <c r="G1241"/>
      <c r="H1241"/>
      <c r="I1241"/>
      <c r="J1241"/>
    </row>
    <row r="1242" spans="7:10">
      <c r="G1242"/>
      <c r="H1242"/>
      <c r="I1242"/>
      <c r="J1242"/>
    </row>
    <row r="1243" spans="7:10">
      <c r="G1243"/>
      <c r="H1243"/>
      <c r="I1243"/>
      <c r="J1243"/>
    </row>
    <row r="1244" spans="7:10">
      <c r="G1244"/>
      <c r="H1244"/>
      <c r="I1244"/>
      <c r="J1244"/>
    </row>
    <row r="1245" spans="7:10">
      <c r="G1245"/>
      <c r="H1245"/>
      <c r="I1245"/>
      <c r="J1245"/>
    </row>
    <row r="1246" spans="7:10">
      <c r="G1246"/>
      <c r="H1246"/>
      <c r="I1246"/>
      <c r="J1246"/>
    </row>
    <row r="1247" spans="7:10">
      <c r="G1247"/>
      <c r="H1247"/>
      <c r="I1247"/>
      <c r="J1247"/>
    </row>
    <row r="1248" spans="7:10">
      <c r="G1248"/>
      <c r="H1248"/>
      <c r="I1248"/>
      <c r="J1248"/>
    </row>
    <row r="1249" spans="7:10">
      <c r="G1249"/>
      <c r="H1249"/>
      <c r="I1249"/>
      <c r="J1249"/>
    </row>
    <row r="1250" spans="7:10">
      <c r="G1250"/>
      <c r="H1250"/>
      <c r="I1250"/>
      <c r="J1250"/>
    </row>
    <row r="1251" spans="7:10">
      <c r="G1251"/>
      <c r="H1251"/>
      <c r="I1251"/>
      <c r="J1251"/>
    </row>
    <row r="1252" spans="7:10">
      <c r="G1252"/>
      <c r="H1252"/>
      <c r="I1252"/>
      <c r="J1252"/>
    </row>
    <row r="1253" spans="7:10">
      <c r="G1253"/>
      <c r="H1253"/>
      <c r="I1253"/>
      <c r="J1253"/>
    </row>
    <row r="1254" spans="7:10">
      <c r="G1254"/>
      <c r="H1254"/>
      <c r="I1254"/>
      <c r="J1254"/>
    </row>
    <row r="1255" spans="7:10">
      <c r="G1255"/>
      <c r="H1255"/>
      <c r="I1255"/>
      <c r="J1255"/>
    </row>
    <row r="1256" spans="7:10">
      <c r="G1256"/>
      <c r="H1256"/>
      <c r="I1256"/>
      <c r="J1256"/>
    </row>
    <row r="1257" spans="7:10">
      <c r="G1257"/>
      <c r="H1257"/>
      <c r="I1257"/>
      <c r="J1257"/>
    </row>
    <row r="1258" spans="7:10">
      <c r="G1258"/>
      <c r="H1258"/>
      <c r="I1258"/>
      <c r="J1258"/>
    </row>
    <row r="1259" spans="7:10">
      <c r="G1259"/>
      <c r="H1259"/>
      <c r="I1259"/>
      <c r="J1259"/>
    </row>
    <row r="1260" spans="7:10">
      <c r="G1260"/>
      <c r="H1260"/>
      <c r="I1260"/>
      <c r="J1260"/>
    </row>
    <row r="1261" spans="7:10">
      <c r="G1261"/>
      <c r="H1261"/>
      <c r="I1261"/>
      <c r="J1261"/>
    </row>
    <row r="1262" spans="7:10">
      <c r="G1262"/>
      <c r="H1262"/>
      <c r="I1262"/>
      <c r="J1262"/>
    </row>
    <row r="1263" spans="7:10">
      <c r="G1263"/>
      <c r="H1263"/>
      <c r="I1263"/>
      <c r="J1263"/>
    </row>
    <row r="1264" spans="7:10">
      <c r="G1264"/>
      <c r="H1264"/>
      <c r="I1264"/>
      <c r="J1264"/>
    </row>
    <row r="1265" spans="7:10">
      <c r="G1265"/>
      <c r="H1265"/>
      <c r="I1265"/>
      <c r="J1265"/>
    </row>
    <row r="1266" spans="7:10">
      <c r="G1266"/>
      <c r="H1266"/>
      <c r="I1266"/>
      <c r="J1266"/>
    </row>
    <row r="1267" spans="7:10">
      <c r="G1267"/>
      <c r="H1267"/>
      <c r="I1267"/>
      <c r="J1267"/>
    </row>
    <row r="1268" spans="7:10">
      <c r="G1268"/>
      <c r="H1268"/>
      <c r="I1268"/>
      <c r="J1268"/>
    </row>
    <row r="1269" spans="7:10">
      <c r="G1269"/>
      <c r="H1269"/>
      <c r="I1269"/>
      <c r="J1269"/>
    </row>
    <row r="1270" spans="7:10">
      <c r="G1270"/>
      <c r="H1270"/>
      <c r="I1270"/>
      <c r="J1270"/>
    </row>
    <row r="1271" spans="7:10">
      <c r="G1271"/>
      <c r="H1271"/>
      <c r="I1271"/>
      <c r="J1271"/>
    </row>
    <row r="1272" spans="7:10">
      <c r="G1272"/>
      <c r="H1272"/>
      <c r="I1272"/>
      <c r="J1272"/>
    </row>
    <row r="1273" spans="7:10">
      <c r="G1273"/>
      <c r="H1273"/>
      <c r="I1273"/>
      <c r="J1273"/>
    </row>
    <row r="1274" spans="7:10">
      <c r="G1274"/>
      <c r="H1274"/>
      <c r="I1274"/>
      <c r="J1274"/>
    </row>
    <row r="1275" spans="7:10">
      <c r="G1275"/>
      <c r="H1275"/>
      <c r="I1275"/>
      <c r="J1275"/>
    </row>
    <row r="1276" spans="7:10">
      <c r="G1276"/>
      <c r="H1276"/>
      <c r="I1276"/>
      <c r="J1276"/>
    </row>
    <row r="1277" spans="7:10">
      <c r="G1277"/>
      <c r="H1277"/>
      <c r="I1277"/>
      <c r="J1277"/>
    </row>
    <row r="1278" spans="7:10">
      <c r="G1278"/>
      <c r="H1278"/>
      <c r="I1278"/>
      <c r="J1278"/>
    </row>
    <row r="1279" spans="7:10">
      <c r="G1279"/>
      <c r="H1279"/>
      <c r="I1279"/>
      <c r="J1279"/>
    </row>
    <row r="1280" spans="7:10">
      <c r="G1280"/>
      <c r="H1280"/>
      <c r="I1280"/>
      <c r="J1280"/>
    </row>
    <row r="1281" spans="7:10">
      <c r="G1281"/>
      <c r="H1281"/>
      <c r="I1281"/>
      <c r="J1281"/>
    </row>
    <row r="1282" spans="7:10">
      <c r="G1282"/>
      <c r="H1282"/>
      <c r="I1282"/>
      <c r="J1282"/>
    </row>
    <row r="1283" spans="7:10">
      <c r="G1283"/>
      <c r="H1283"/>
      <c r="I1283"/>
      <c r="J1283"/>
    </row>
    <row r="1284" spans="7:10">
      <c r="G1284"/>
      <c r="H1284"/>
      <c r="I1284"/>
      <c r="J1284"/>
    </row>
    <row r="1285" spans="7:10">
      <c r="G1285"/>
      <c r="H1285"/>
      <c r="I1285"/>
      <c r="J1285"/>
    </row>
    <row r="1286" spans="7:10">
      <c r="G1286"/>
      <c r="H1286"/>
      <c r="I1286"/>
      <c r="J1286"/>
    </row>
    <row r="1287" spans="7:10">
      <c r="G1287"/>
      <c r="H1287"/>
      <c r="I1287"/>
      <c r="J1287"/>
    </row>
    <row r="1288" spans="7:10">
      <c r="G1288"/>
      <c r="H1288"/>
      <c r="I1288"/>
      <c r="J1288"/>
    </row>
    <row r="1289" spans="7:10">
      <c r="G1289"/>
      <c r="H1289"/>
      <c r="I1289"/>
      <c r="J1289"/>
    </row>
    <row r="1290" spans="7:10">
      <c r="G1290"/>
      <c r="H1290"/>
      <c r="I1290"/>
      <c r="J1290"/>
    </row>
    <row r="1291" spans="7:10">
      <c r="G1291"/>
      <c r="H1291"/>
      <c r="I1291"/>
      <c r="J1291"/>
    </row>
    <row r="1292" spans="7:10">
      <c r="G1292"/>
      <c r="H1292"/>
      <c r="I1292"/>
      <c r="J1292"/>
    </row>
    <row r="1293" spans="7:10">
      <c r="G1293"/>
      <c r="H1293"/>
      <c r="I1293"/>
      <c r="J1293"/>
    </row>
    <row r="1294" spans="7:10">
      <c r="G1294"/>
      <c r="H1294"/>
      <c r="I1294"/>
      <c r="J1294"/>
    </row>
    <row r="1295" spans="7:10">
      <c r="G1295"/>
      <c r="H1295"/>
      <c r="I1295"/>
      <c r="J1295"/>
    </row>
    <row r="1296" spans="7:10">
      <c r="G1296"/>
      <c r="H1296"/>
      <c r="I1296"/>
      <c r="J1296"/>
    </row>
    <row r="1297" spans="7:10">
      <c r="G1297"/>
      <c r="H1297"/>
      <c r="I1297"/>
      <c r="J1297"/>
    </row>
    <row r="1298" spans="7:10">
      <c r="G1298"/>
      <c r="H1298"/>
      <c r="I1298"/>
      <c r="J1298"/>
    </row>
    <row r="1299" spans="7:10">
      <c r="G1299"/>
      <c r="H1299"/>
      <c r="I1299"/>
      <c r="J1299"/>
    </row>
    <row r="1300" spans="7:10">
      <c r="G1300"/>
      <c r="H1300"/>
      <c r="I1300"/>
      <c r="J1300"/>
    </row>
    <row r="1301" spans="7:10">
      <c r="G1301"/>
      <c r="H1301"/>
      <c r="I1301"/>
      <c r="J1301"/>
    </row>
    <row r="1302" spans="7:10">
      <c r="G1302"/>
      <c r="H1302"/>
      <c r="I1302"/>
      <c r="J1302"/>
    </row>
    <row r="1303" spans="7:10">
      <c r="G1303"/>
      <c r="H1303"/>
      <c r="I1303"/>
      <c r="J1303"/>
    </row>
    <row r="1304" spans="7:10">
      <c r="G1304"/>
      <c r="H1304"/>
      <c r="I1304"/>
      <c r="J1304"/>
    </row>
    <row r="1305" spans="7:10">
      <c r="G1305"/>
      <c r="H1305"/>
      <c r="I1305"/>
      <c r="J1305"/>
    </row>
    <row r="1306" spans="7:10">
      <c r="G1306"/>
      <c r="H1306"/>
      <c r="I1306"/>
      <c r="J1306"/>
    </row>
    <row r="1307" spans="7:10">
      <c r="G1307"/>
      <c r="H1307"/>
      <c r="I1307"/>
      <c r="J1307"/>
    </row>
    <row r="1308" spans="7:10">
      <c r="G1308"/>
      <c r="H1308"/>
      <c r="I1308"/>
      <c r="J1308"/>
    </row>
    <row r="1309" spans="7:10">
      <c r="G1309"/>
      <c r="H1309"/>
      <c r="I1309"/>
      <c r="J1309"/>
    </row>
    <row r="1310" spans="7:10">
      <c r="G1310"/>
      <c r="H1310"/>
      <c r="I1310"/>
      <c r="J1310"/>
    </row>
    <row r="1311" spans="7:10">
      <c r="G1311"/>
      <c r="H1311"/>
      <c r="I1311"/>
      <c r="J1311"/>
    </row>
    <row r="1312" spans="7:10">
      <c r="G1312"/>
      <c r="H1312"/>
      <c r="I1312"/>
      <c r="J1312"/>
    </row>
    <row r="1313" spans="7:10">
      <c r="G1313"/>
      <c r="H1313"/>
      <c r="I1313"/>
      <c r="J1313"/>
    </row>
    <row r="1314" spans="7:10">
      <c r="G1314"/>
      <c r="H1314"/>
      <c r="I1314"/>
      <c r="J1314"/>
    </row>
    <row r="1315" spans="7:10">
      <c r="G1315"/>
      <c r="H1315"/>
      <c r="I1315"/>
      <c r="J1315"/>
    </row>
    <row r="1316" spans="7:10">
      <c r="G1316"/>
      <c r="H1316"/>
      <c r="I1316"/>
      <c r="J1316"/>
    </row>
    <row r="1317" spans="7:10">
      <c r="G1317"/>
      <c r="H1317"/>
      <c r="I1317"/>
      <c r="J1317"/>
    </row>
    <row r="1318" spans="7:10">
      <c r="G1318"/>
      <c r="H1318"/>
      <c r="I1318"/>
      <c r="J1318"/>
    </row>
    <row r="1319" spans="7:10">
      <c r="G1319"/>
      <c r="H1319"/>
      <c r="I1319"/>
      <c r="J1319"/>
    </row>
    <row r="1320" spans="7:10">
      <c r="G1320"/>
      <c r="H1320"/>
      <c r="I1320"/>
      <c r="J1320"/>
    </row>
    <row r="1321" spans="7:10">
      <c r="G1321"/>
      <c r="H1321"/>
      <c r="I1321"/>
      <c r="J1321"/>
    </row>
    <row r="1322" spans="7:10">
      <c r="G1322"/>
      <c r="H1322"/>
      <c r="I1322"/>
      <c r="J1322"/>
    </row>
    <row r="1323" spans="7:10">
      <c r="G1323"/>
      <c r="H1323"/>
      <c r="I1323"/>
      <c r="J1323"/>
    </row>
    <row r="1324" spans="7:10">
      <c r="G1324"/>
      <c r="H1324"/>
      <c r="I1324"/>
      <c r="J1324"/>
    </row>
    <row r="1325" spans="7:10">
      <c r="G1325"/>
      <c r="H1325"/>
      <c r="I1325"/>
      <c r="J1325"/>
    </row>
    <row r="1326" spans="7:10">
      <c r="G1326"/>
      <c r="H1326"/>
      <c r="I1326"/>
      <c r="J1326"/>
    </row>
    <row r="1327" spans="7:10">
      <c r="G1327"/>
      <c r="H1327"/>
      <c r="I1327"/>
      <c r="J1327"/>
    </row>
    <row r="1328" spans="7:10">
      <c r="G1328"/>
      <c r="H1328"/>
      <c r="I1328"/>
      <c r="J1328"/>
    </row>
    <row r="1329" spans="7:10">
      <c r="G1329"/>
      <c r="H1329"/>
      <c r="I1329"/>
      <c r="J1329"/>
    </row>
    <row r="1330" spans="7:10">
      <c r="G1330"/>
      <c r="H1330"/>
      <c r="I1330"/>
      <c r="J1330"/>
    </row>
    <row r="1331" spans="7:10">
      <c r="G1331"/>
      <c r="H1331"/>
      <c r="I1331"/>
      <c r="J1331"/>
    </row>
    <row r="1332" spans="7:10">
      <c r="G1332"/>
      <c r="H1332"/>
      <c r="I1332"/>
      <c r="J1332"/>
    </row>
    <row r="1333" spans="7:10">
      <c r="G1333"/>
      <c r="H1333"/>
      <c r="I1333"/>
      <c r="J1333"/>
    </row>
    <row r="1334" spans="7:10">
      <c r="G1334"/>
      <c r="H1334"/>
      <c r="I1334"/>
      <c r="J1334"/>
    </row>
    <row r="1335" spans="7:10">
      <c r="G1335"/>
      <c r="H1335"/>
      <c r="I1335"/>
      <c r="J1335"/>
    </row>
    <row r="1336" spans="7:10">
      <c r="G1336"/>
      <c r="H1336"/>
      <c r="I1336"/>
      <c r="J1336"/>
    </row>
    <row r="1337" spans="7:10">
      <c r="G1337"/>
      <c r="H1337"/>
      <c r="I1337"/>
      <c r="J1337"/>
    </row>
    <row r="1338" spans="7:10">
      <c r="G1338"/>
      <c r="H1338"/>
      <c r="I1338"/>
      <c r="J1338"/>
    </row>
    <row r="1339" spans="7:10">
      <c r="G1339"/>
      <c r="H1339"/>
      <c r="I1339"/>
      <c r="J1339"/>
    </row>
    <row r="1340" spans="7:10">
      <c r="G1340"/>
      <c r="H1340"/>
      <c r="I1340"/>
      <c r="J1340"/>
    </row>
    <row r="1341" spans="7:10">
      <c r="G1341"/>
      <c r="H1341"/>
      <c r="I1341"/>
      <c r="J1341"/>
    </row>
    <row r="1342" spans="7:10">
      <c r="G1342"/>
      <c r="H1342"/>
      <c r="I1342"/>
      <c r="J1342"/>
    </row>
    <row r="1343" spans="7:10">
      <c r="G1343"/>
      <c r="H1343"/>
      <c r="I1343"/>
      <c r="J1343"/>
    </row>
    <row r="1344" spans="7:10">
      <c r="G1344"/>
      <c r="H1344"/>
      <c r="I1344"/>
      <c r="J1344"/>
    </row>
    <row r="1345" spans="7:10">
      <c r="G1345"/>
      <c r="H1345"/>
      <c r="I1345"/>
      <c r="J1345"/>
    </row>
    <row r="1346" spans="7:10">
      <c r="G1346"/>
      <c r="H1346"/>
      <c r="I1346"/>
      <c r="J1346"/>
    </row>
    <row r="1347" spans="7:10">
      <c r="G1347"/>
      <c r="H1347"/>
      <c r="I1347"/>
      <c r="J1347"/>
    </row>
    <row r="1348" spans="7:10">
      <c r="G1348"/>
      <c r="H1348"/>
      <c r="I1348"/>
      <c r="J1348"/>
    </row>
    <row r="1349" spans="7:10">
      <c r="G1349"/>
      <c r="H1349"/>
      <c r="I1349"/>
      <c r="J1349"/>
    </row>
    <row r="1350" spans="7:10">
      <c r="G1350"/>
      <c r="H1350"/>
      <c r="I1350"/>
      <c r="J1350"/>
    </row>
    <row r="1351" spans="7:10">
      <c r="G1351"/>
      <c r="H1351"/>
      <c r="I1351"/>
      <c r="J1351"/>
    </row>
    <row r="1352" spans="7:10">
      <c r="G1352"/>
      <c r="H1352"/>
      <c r="I1352"/>
      <c r="J1352"/>
    </row>
    <row r="1353" spans="7:10">
      <c r="G1353"/>
      <c r="H1353"/>
      <c r="I1353"/>
      <c r="J1353"/>
    </row>
    <row r="1354" spans="7:10">
      <c r="G1354"/>
      <c r="H1354"/>
      <c r="I1354"/>
      <c r="J1354"/>
    </row>
    <row r="1355" spans="7:10">
      <c r="G1355"/>
      <c r="H1355"/>
      <c r="I1355"/>
      <c r="J1355"/>
    </row>
    <row r="1356" spans="7:10">
      <c r="G1356"/>
      <c r="H1356"/>
      <c r="I1356"/>
      <c r="J1356"/>
    </row>
    <row r="1357" spans="7:10">
      <c r="G1357"/>
      <c r="H1357"/>
      <c r="I1357"/>
      <c r="J1357"/>
    </row>
    <row r="1358" spans="7:10">
      <c r="G1358"/>
      <c r="H1358"/>
      <c r="I1358"/>
      <c r="J1358"/>
    </row>
    <row r="1359" spans="7:10">
      <c r="G1359"/>
      <c r="H1359"/>
      <c r="I1359"/>
      <c r="J1359"/>
    </row>
    <row r="1360" spans="7:10">
      <c r="G1360"/>
      <c r="H1360"/>
      <c r="I1360"/>
      <c r="J1360"/>
    </row>
    <row r="1361" spans="7:10">
      <c r="G1361"/>
      <c r="H1361"/>
      <c r="I1361"/>
      <c r="J1361"/>
    </row>
    <row r="1362" spans="7:10">
      <c r="G1362"/>
      <c r="H1362"/>
      <c r="I1362"/>
      <c r="J1362"/>
    </row>
    <row r="1363" spans="7:10">
      <c r="G1363"/>
      <c r="H1363"/>
      <c r="I1363"/>
      <c r="J1363"/>
    </row>
    <row r="1364" spans="7:10">
      <c r="G1364"/>
      <c r="H1364"/>
      <c r="I1364"/>
      <c r="J1364"/>
    </row>
    <row r="1365" spans="7:10">
      <c r="G1365"/>
      <c r="H1365"/>
      <c r="I1365"/>
      <c r="J1365"/>
    </row>
    <row r="1366" spans="7:10">
      <c r="G1366"/>
      <c r="H1366"/>
      <c r="I1366"/>
      <c r="J1366"/>
    </row>
    <row r="1367" spans="7:10">
      <c r="G1367"/>
      <c r="H1367"/>
      <c r="I1367"/>
      <c r="J1367"/>
    </row>
    <row r="1368" spans="7:10">
      <c r="G1368"/>
      <c r="H1368"/>
      <c r="I1368"/>
      <c r="J1368"/>
    </row>
    <row r="1369" spans="7:10">
      <c r="G1369"/>
      <c r="H1369"/>
      <c r="I1369"/>
      <c r="J1369"/>
    </row>
    <row r="1370" spans="7:10">
      <c r="G1370"/>
      <c r="H1370"/>
      <c r="I1370"/>
      <c r="J1370"/>
    </row>
    <row r="1371" spans="7:10">
      <c r="G1371"/>
      <c r="H1371"/>
      <c r="I1371"/>
      <c r="J1371"/>
    </row>
    <row r="1372" spans="7:10">
      <c r="G1372"/>
      <c r="H1372"/>
      <c r="I1372"/>
      <c r="J1372"/>
    </row>
    <row r="1373" spans="7:10">
      <c r="G1373"/>
      <c r="H1373"/>
      <c r="I1373"/>
      <c r="J1373"/>
    </row>
    <row r="1374" spans="7:10">
      <c r="G1374"/>
      <c r="H1374"/>
      <c r="I1374"/>
      <c r="J1374"/>
    </row>
    <row r="1375" spans="7:10">
      <c r="G1375"/>
      <c r="H1375"/>
      <c r="I1375"/>
      <c r="J1375"/>
    </row>
    <row r="1376" spans="7:10">
      <c r="G1376"/>
      <c r="H1376"/>
      <c r="I1376"/>
      <c r="J1376"/>
    </row>
    <row r="1377" spans="7:10">
      <c r="G1377"/>
      <c r="H1377"/>
      <c r="I1377"/>
      <c r="J1377"/>
    </row>
    <row r="1378" spans="7:10">
      <c r="G1378"/>
      <c r="H1378"/>
      <c r="I1378"/>
      <c r="J1378"/>
    </row>
    <row r="1379" spans="7:10">
      <c r="G1379"/>
      <c r="H1379"/>
      <c r="I1379"/>
      <c r="J1379"/>
    </row>
    <row r="1380" spans="7:10">
      <c r="G1380"/>
      <c r="H1380"/>
      <c r="I1380"/>
      <c r="J1380"/>
    </row>
    <row r="1381" spans="7:10">
      <c r="G1381"/>
      <c r="H1381"/>
      <c r="I1381"/>
      <c r="J1381"/>
    </row>
    <row r="1382" spans="7:10">
      <c r="G1382"/>
      <c r="H1382"/>
      <c r="I1382"/>
      <c r="J1382"/>
    </row>
    <row r="1383" spans="7:10">
      <c r="G1383"/>
      <c r="H1383"/>
      <c r="I1383"/>
      <c r="J1383"/>
    </row>
    <row r="1384" spans="7:10">
      <c r="G1384"/>
      <c r="H1384"/>
      <c r="I1384"/>
      <c r="J1384"/>
    </row>
    <row r="1385" spans="7:10">
      <c r="G1385"/>
      <c r="H1385"/>
      <c r="I1385"/>
      <c r="J1385"/>
    </row>
    <row r="1386" spans="7:10">
      <c r="G1386"/>
      <c r="H1386"/>
      <c r="I1386"/>
      <c r="J1386"/>
    </row>
    <row r="1387" spans="7:10">
      <c r="G1387"/>
      <c r="H1387"/>
      <c r="I1387"/>
      <c r="J1387"/>
    </row>
    <row r="1388" spans="7:10">
      <c r="G1388"/>
      <c r="H1388"/>
      <c r="I1388"/>
      <c r="J1388"/>
    </row>
    <row r="1389" spans="7:10">
      <c r="G1389"/>
      <c r="H1389"/>
      <c r="I1389"/>
      <c r="J1389"/>
    </row>
    <row r="1390" spans="7:10">
      <c r="G1390"/>
      <c r="H1390"/>
      <c r="I1390"/>
      <c r="J1390"/>
    </row>
    <row r="1391" spans="7:10">
      <c r="G1391"/>
      <c r="H1391"/>
      <c r="I1391"/>
      <c r="J1391"/>
    </row>
    <row r="1392" spans="7:10">
      <c r="G1392"/>
      <c r="H1392"/>
      <c r="I1392"/>
      <c r="J1392"/>
    </row>
    <row r="1393" spans="7:10">
      <c r="G1393"/>
      <c r="H1393"/>
      <c r="I1393"/>
      <c r="J1393"/>
    </row>
    <row r="1394" spans="7:10">
      <c r="G1394"/>
      <c r="H1394"/>
      <c r="I1394"/>
      <c r="J1394"/>
    </row>
    <row r="1395" spans="7:10">
      <c r="G1395"/>
      <c r="H1395"/>
      <c r="I1395"/>
      <c r="J1395"/>
    </row>
    <row r="1396" spans="7:10">
      <c r="G1396"/>
      <c r="H1396"/>
      <c r="I1396"/>
      <c r="J1396"/>
    </row>
    <row r="1397" spans="7:10">
      <c r="G1397"/>
      <c r="H1397"/>
      <c r="I1397"/>
      <c r="J1397"/>
    </row>
    <row r="1398" spans="7:10">
      <c r="G1398"/>
      <c r="H1398"/>
      <c r="I1398"/>
      <c r="J1398"/>
    </row>
    <row r="1399" spans="7:10">
      <c r="G1399"/>
      <c r="H1399"/>
      <c r="I1399"/>
      <c r="J1399"/>
    </row>
    <row r="1400" spans="7:10">
      <c r="G1400"/>
      <c r="H1400"/>
      <c r="I1400"/>
      <c r="J1400"/>
    </row>
    <row r="1401" spans="7:10">
      <c r="G1401"/>
      <c r="H1401"/>
      <c r="I1401"/>
      <c r="J1401"/>
    </row>
    <row r="1402" spans="7:10">
      <c r="G1402"/>
      <c r="H1402"/>
      <c r="I1402"/>
      <c r="J1402"/>
    </row>
    <row r="1403" spans="7:10">
      <c r="G1403"/>
      <c r="H1403"/>
      <c r="I1403"/>
      <c r="J1403"/>
    </row>
    <row r="1404" spans="7:10">
      <c r="G1404"/>
      <c r="H1404"/>
      <c r="I1404"/>
      <c r="J1404"/>
    </row>
    <row r="1405" spans="7:10">
      <c r="G1405"/>
      <c r="H1405"/>
      <c r="I1405"/>
      <c r="J1405"/>
    </row>
    <row r="1406" spans="7:10">
      <c r="G1406"/>
      <c r="H1406"/>
      <c r="I1406"/>
      <c r="J1406"/>
    </row>
    <row r="1407" spans="7:10">
      <c r="G1407"/>
      <c r="H1407"/>
      <c r="I1407"/>
      <c r="J1407"/>
    </row>
    <row r="1408" spans="7:10">
      <c r="G1408"/>
      <c r="H1408"/>
      <c r="I1408"/>
      <c r="J1408"/>
    </row>
    <row r="1409" spans="7:10">
      <c r="G1409"/>
      <c r="H1409"/>
      <c r="I1409"/>
      <c r="J1409"/>
    </row>
    <row r="1410" spans="7:10">
      <c r="G1410"/>
      <c r="H1410"/>
      <c r="I1410"/>
      <c r="J1410"/>
    </row>
    <row r="1411" spans="7:10">
      <c r="G1411"/>
      <c r="H1411"/>
      <c r="I1411"/>
      <c r="J1411"/>
    </row>
    <row r="1412" spans="7:10">
      <c r="G1412"/>
      <c r="H1412"/>
      <c r="I1412"/>
      <c r="J1412"/>
    </row>
    <row r="1413" spans="7:10">
      <c r="G1413"/>
      <c r="H1413"/>
      <c r="I1413"/>
      <c r="J1413"/>
    </row>
    <row r="1414" spans="7:10">
      <c r="G1414"/>
      <c r="H1414"/>
      <c r="I1414"/>
      <c r="J1414"/>
    </row>
    <row r="1415" spans="7:10">
      <c r="G1415"/>
      <c r="H1415"/>
      <c r="I1415"/>
      <c r="J1415"/>
    </row>
    <row r="1416" spans="7:10">
      <c r="G1416"/>
      <c r="H1416"/>
      <c r="I1416"/>
      <c r="J1416"/>
    </row>
    <row r="1417" spans="7:10">
      <c r="G1417"/>
      <c r="H1417"/>
      <c r="I1417"/>
      <c r="J1417"/>
    </row>
    <row r="1418" spans="7:10">
      <c r="G1418"/>
      <c r="H1418"/>
      <c r="I1418"/>
      <c r="J1418"/>
    </row>
    <row r="1419" spans="7:10">
      <c r="G1419"/>
      <c r="H1419"/>
      <c r="I1419"/>
      <c r="J1419"/>
    </row>
    <row r="1420" spans="7:10">
      <c r="G1420"/>
      <c r="H1420"/>
      <c r="I1420"/>
      <c r="J1420"/>
    </row>
    <row r="1421" spans="7:10">
      <c r="G1421"/>
      <c r="H1421"/>
      <c r="I1421"/>
      <c r="J1421"/>
    </row>
    <row r="1422" spans="7:10">
      <c r="G1422"/>
      <c r="H1422"/>
      <c r="I1422"/>
      <c r="J1422"/>
    </row>
    <row r="1423" spans="7:10">
      <c r="G1423"/>
      <c r="H1423"/>
      <c r="I1423"/>
      <c r="J1423"/>
    </row>
    <row r="1424" spans="7:10">
      <c r="G1424"/>
      <c r="H1424"/>
      <c r="I1424"/>
      <c r="J1424"/>
    </row>
    <row r="1425" spans="7:10">
      <c r="G1425"/>
      <c r="H1425"/>
      <c r="I1425"/>
      <c r="J1425"/>
    </row>
    <row r="1426" spans="7:10">
      <c r="G1426"/>
      <c r="H1426"/>
      <c r="I1426"/>
      <c r="J1426"/>
    </row>
    <row r="1427" spans="7:10">
      <c r="G1427"/>
      <c r="H1427"/>
      <c r="I1427"/>
      <c r="J1427"/>
    </row>
    <row r="1428" spans="7:10">
      <c r="G1428"/>
      <c r="H1428"/>
      <c r="I1428"/>
      <c r="J1428"/>
    </row>
    <row r="1429" spans="7:10">
      <c r="G1429"/>
      <c r="H1429"/>
      <c r="I1429"/>
      <c r="J1429"/>
    </row>
    <row r="1430" spans="7:10">
      <c r="G1430"/>
      <c r="H1430"/>
      <c r="I1430"/>
      <c r="J1430"/>
    </row>
    <row r="1431" spans="7:10">
      <c r="G1431"/>
      <c r="H1431"/>
      <c r="I1431"/>
      <c r="J1431"/>
    </row>
    <row r="1432" spans="7:10">
      <c r="G1432"/>
      <c r="H1432"/>
      <c r="I1432"/>
      <c r="J1432"/>
    </row>
    <row r="1433" spans="7:10">
      <c r="G1433"/>
      <c r="H1433"/>
      <c r="I1433"/>
      <c r="J1433"/>
    </row>
    <row r="1434" spans="7:10">
      <c r="G1434"/>
      <c r="H1434"/>
      <c r="I1434"/>
      <c r="J1434"/>
    </row>
    <row r="1435" spans="7:10">
      <c r="G1435"/>
      <c r="H1435"/>
      <c r="I1435"/>
      <c r="J1435"/>
    </row>
    <row r="1436" spans="7:10">
      <c r="G1436"/>
      <c r="H1436"/>
      <c r="I1436"/>
      <c r="J1436"/>
    </row>
    <row r="1437" spans="7:10">
      <c r="G1437"/>
      <c r="H1437"/>
      <c r="I1437"/>
      <c r="J1437"/>
    </row>
    <row r="1438" spans="7:10">
      <c r="G1438"/>
      <c r="H1438"/>
      <c r="I1438"/>
      <c r="J1438"/>
    </row>
    <row r="1439" spans="7:10">
      <c r="G1439"/>
      <c r="H1439"/>
      <c r="I1439"/>
      <c r="J1439"/>
    </row>
    <row r="1440" spans="7:10">
      <c r="G1440"/>
      <c r="H1440"/>
      <c r="I1440"/>
      <c r="J1440"/>
    </row>
    <row r="1441" spans="7:10">
      <c r="G1441"/>
      <c r="H1441"/>
      <c r="I1441"/>
      <c r="J1441"/>
    </row>
    <row r="1442" spans="7:10">
      <c r="G1442"/>
      <c r="H1442"/>
      <c r="I1442"/>
      <c r="J1442"/>
    </row>
    <row r="1443" spans="7:10">
      <c r="G1443"/>
      <c r="H1443"/>
      <c r="I1443"/>
      <c r="J1443"/>
    </row>
    <row r="1444" spans="7:10">
      <c r="G1444"/>
      <c r="H1444"/>
      <c r="I1444"/>
      <c r="J1444"/>
    </row>
    <row r="1445" spans="7:10">
      <c r="G1445"/>
      <c r="H1445"/>
      <c r="I1445"/>
      <c r="J1445"/>
    </row>
    <row r="1446" spans="7:10">
      <c r="G1446"/>
      <c r="H1446"/>
      <c r="I1446"/>
      <c r="J1446"/>
    </row>
    <row r="1447" spans="7:10">
      <c r="G1447"/>
      <c r="H1447"/>
      <c r="I1447"/>
      <c r="J1447"/>
    </row>
    <row r="1448" spans="7:10">
      <c r="G1448"/>
      <c r="H1448"/>
      <c r="I1448"/>
      <c r="J1448"/>
    </row>
    <row r="1449" spans="7:10">
      <c r="G1449"/>
      <c r="H1449"/>
      <c r="I1449"/>
      <c r="J1449"/>
    </row>
    <row r="1450" spans="7:10">
      <c r="G1450"/>
      <c r="H1450"/>
      <c r="I1450"/>
      <c r="J1450"/>
    </row>
    <row r="1451" spans="7:10">
      <c r="G1451"/>
      <c r="H1451"/>
      <c r="I1451"/>
      <c r="J1451"/>
    </row>
    <row r="1452" spans="7:10">
      <c r="G1452"/>
      <c r="H1452"/>
      <c r="I1452"/>
      <c r="J1452"/>
    </row>
    <row r="1453" spans="7:10">
      <c r="G1453"/>
      <c r="H1453"/>
      <c r="I1453"/>
      <c r="J1453"/>
    </row>
    <row r="1454" spans="7:10">
      <c r="G1454"/>
      <c r="H1454"/>
      <c r="I1454"/>
      <c r="J1454"/>
    </row>
    <row r="1455" spans="7:10">
      <c r="G1455"/>
      <c r="H1455"/>
      <c r="I1455"/>
      <c r="J1455"/>
    </row>
    <row r="1456" spans="7:10">
      <c r="G1456"/>
      <c r="H1456"/>
      <c r="I1456"/>
      <c r="J1456"/>
    </row>
    <row r="1457" spans="7:10">
      <c r="G1457"/>
      <c r="H1457"/>
      <c r="I1457"/>
      <c r="J1457"/>
    </row>
    <row r="1458" spans="7:10">
      <c r="G1458"/>
      <c r="H1458"/>
      <c r="I1458"/>
      <c r="J1458"/>
    </row>
    <row r="1459" spans="7:10">
      <c r="G1459"/>
      <c r="H1459"/>
      <c r="I1459"/>
      <c r="J1459"/>
    </row>
    <row r="1460" spans="7:10">
      <c r="G1460"/>
      <c r="H1460"/>
      <c r="I1460"/>
      <c r="J1460"/>
    </row>
    <row r="1461" spans="7:10">
      <c r="G1461"/>
      <c r="H1461"/>
      <c r="I1461"/>
      <c r="J1461"/>
    </row>
    <row r="1462" spans="7:10">
      <c r="G1462"/>
      <c r="H1462"/>
      <c r="I1462"/>
      <c r="J1462"/>
    </row>
    <row r="1463" spans="7:10">
      <c r="G1463"/>
      <c r="H1463"/>
      <c r="I1463"/>
      <c r="J1463"/>
    </row>
    <row r="1464" spans="7:10">
      <c r="G1464"/>
      <c r="H1464"/>
      <c r="I1464"/>
      <c r="J1464"/>
    </row>
    <row r="1465" spans="7:10">
      <c r="G1465"/>
      <c r="H1465"/>
      <c r="I1465"/>
      <c r="J1465"/>
    </row>
    <row r="1466" spans="7:10">
      <c r="G1466"/>
      <c r="H1466"/>
      <c r="I1466"/>
      <c r="J1466"/>
    </row>
    <row r="1467" spans="7:10">
      <c r="G1467"/>
      <c r="H1467"/>
      <c r="I1467"/>
      <c r="J1467"/>
    </row>
    <row r="1468" spans="7:10">
      <c r="G1468"/>
      <c r="H1468"/>
      <c r="I1468"/>
      <c r="J1468"/>
    </row>
    <row r="1469" spans="7:10">
      <c r="G1469"/>
      <c r="H1469"/>
      <c r="I1469"/>
      <c r="J1469"/>
    </row>
    <row r="1470" spans="7:10">
      <c r="G1470"/>
      <c r="H1470"/>
      <c r="I1470"/>
      <c r="J1470"/>
    </row>
    <row r="1471" spans="7:10">
      <c r="G1471"/>
      <c r="H1471"/>
      <c r="I1471"/>
      <c r="J1471"/>
    </row>
    <row r="1472" spans="7:10">
      <c r="G1472"/>
      <c r="H1472"/>
      <c r="I1472"/>
      <c r="J1472"/>
    </row>
    <row r="1473" spans="7:10">
      <c r="G1473"/>
      <c r="H1473"/>
      <c r="I1473"/>
      <c r="J1473"/>
    </row>
    <row r="1474" spans="7:10">
      <c r="G1474"/>
      <c r="H1474"/>
      <c r="I1474"/>
      <c r="J1474"/>
    </row>
    <row r="1475" spans="7:10">
      <c r="G1475"/>
      <c r="H1475"/>
      <c r="I1475"/>
      <c r="J1475"/>
    </row>
    <row r="1476" spans="7:10">
      <c r="G1476"/>
      <c r="H1476"/>
      <c r="I1476"/>
      <c r="J1476"/>
    </row>
    <row r="1477" spans="7:10">
      <c r="G1477"/>
      <c r="H1477"/>
      <c r="I1477"/>
      <c r="J1477"/>
    </row>
    <row r="1478" spans="7:10">
      <c r="G1478"/>
      <c r="H1478"/>
      <c r="I1478"/>
      <c r="J1478"/>
    </row>
    <row r="1479" spans="7:10">
      <c r="G1479"/>
      <c r="H1479"/>
      <c r="I1479"/>
      <c r="J1479"/>
    </row>
    <row r="1480" spans="7:10">
      <c r="G1480"/>
      <c r="H1480"/>
      <c r="I1480"/>
      <c r="J1480"/>
    </row>
    <row r="1481" spans="7:10">
      <c r="G1481"/>
      <c r="H1481"/>
      <c r="I1481"/>
      <c r="J1481"/>
    </row>
    <row r="1482" spans="7:10">
      <c r="G1482"/>
      <c r="H1482"/>
      <c r="I1482"/>
      <c r="J1482"/>
    </row>
    <row r="1483" spans="7:10">
      <c r="G1483"/>
      <c r="H1483"/>
      <c r="I1483"/>
      <c r="J1483"/>
    </row>
    <row r="1484" spans="7:10">
      <c r="G1484"/>
      <c r="H1484"/>
      <c r="I1484"/>
      <c r="J1484"/>
    </row>
    <row r="1485" spans="7:10">
      <c r="G1485"/>
      <c r="H1485"/>
      <c r="I1485"/>
      <c r="J1485"/>
    </row>
    <row r="1486" spans="7:10">
      <c r="G1486"/>
      <c r="H1486"/>
      <c r="I1486"/>
      <c r="J1486"/>
    </row>
    <row r="1487" spans="7:10">
      <c r="G1487"/>
      <c r="H1487"/>
      <c r="I1487"/>
      <c r="J1487"/>
    </row>
    <row r="1488" spans="7:10">
      <c r="G1488"/>
      <c r="H1488"/>
      <c r="I1488"/>
      <c r="J1488"/>
    </row>
    <row r="1489" spans="7:10">
      <c r="G1489"/>
      <c r="H1489"/>
      <c r="I1489"/>
      <c r="J1489"/>
    </row>
    <row r="1490" spans="7:10">
      <c r="G1490"/>
      <c r="H1490"/>
      <c r="I1490"/>
      <c r="J1490"/>
    </row>
    <row r="1491" spans="7:10">
      <c r="G1491"/>
      <c r="H1491"/>
      <c r="I1491"/>
      <c r="J1491"/>
    </row>
    <row r="1492" spans="7:10">
      <c r="G1492"/>
      <c r="H1492"/>
      <c r="I1492"/>
      <c r="J1492"/>
    </row>
    <row r="1493" spans="7:10">
      <c r="G1493"/>
      <c r="H1493"/>
      <c r="I1493"/>
      <c r="J1493"/>
    </row>
    <row r="1494" spans="7:10">
      <c r="G1494"/>
      <c r="H1494"/>
      <c r="I1494"/>
      <c r="J1494"/>
    </row>
    <row r="1495" spans="7:10">
      <c r="G1495"/>
      <c r="H1495"/>
      <c r="I1495"/>
      <c r="J1495"/>
    </row>
    <row r="1496" spans="7:10">
      <c r="G1496"/>
      <c r="H1496"/>
      <c r="I1496"/>
      <c r="J1496"/>
    </row>
    <row r="1497" spans="7:10">
      <c r="G1497"/>
      <c r="H1497"/>
      <c r="I1497"/>
      <c r="J1497"/>
    </row>
    <row r="1498" spans="7:10">
      <c r="G1498"/>
      <c r="H1498"/>
      <c r="I1498"/>
      <c r="J1498"/>
    </row>
    <row r="1499" spans="7:10">
      <c r="G1499"/>
      <c r="H1499"/>
      <c r="I1499"/>
      <c r="J1499"/>
    </row>
    <row r="1500" spans="7:10">
      <c r="G1500"/>
      <c r="H1500"/>
      <c r="I1500"/>
      <c r="J1500"/>
    </row>
    <row r="1501" spans="7:10">
      <c r="G1501"/>
      <c r="H1501"/>
      <c r="I1501"/>
      <c r="J1501"/>
    </row>
    <row r="1502" spans="7:10">
      <c r="G1502"/>
      <c r="H1502"/>
      <c r="I1502"/>
      <c r="J1502"/>
    </row>
    <row r="1503" spans="7:10">
      <c r="G1503"/>
      <c r="H1503"/>
      <c r="I1503"/>
      <c r="J1503"/>
    </row>
    <row r="1504" spans="7:10">
      <c r="G1504"/>
      <c r="H1504"/>
      <c r="I1504"/>
      <c r="J1504"/>
    </row>
    <row r="1505" spans="7:10">
      <c r="G1505"/>
      <c r="H1505"/>
      <c r="I1505"/>
      <c r="J1505"/>
    </row>
    <row r="1506" spans="7:10">
      <c r="G1506"/>
      <c r="H1506"/>
      <c r="I1506"/>
      <c r="J1506"/>
    </row>
    <row r="1507" spans="7:10">
      <c r="G1507"/>
      <c r="H1507"/>
      <c r="I1507"/>
      <c r="J1507"/>
    </row>
    <row r="1508" spans="7:10">
      <c r="G1508"/>
      <c r="H1508"/>
      <c r="I1508"/>
      <c r="J1508"/>
    </row>
    <row r="1509" spans="7:10">
      <c r="G1509"/>
      <c r="H1509"/>
      <c r="I1509"/>
      <c r="J1509"/>
    </row>
    <row r="1510" spans="7:10">
      <c r="G1510"/>
      <c r="H1510"/>
      <c r="I1510"/>
      <c r="J1510"/>
    </row>
    <row r="1511" spans="7:10">
      <c r="G1511"/>
      <c r="H1511"/>
      <c r="I1511"/>
      <c r="J1511"/>
    </row>
    <row r="1512" spans="7:10">
      <c r="G1512"/>
      <c r="H1512"/>
      <c r="I1512"/>
      <c r="J1512"/>
    </row>
    <row r="1513" spans="7:10">
      <c r="G1513"/>
      <c r="H1513"/>
      <c r="I1513"/>
      <c r="J1513"/>
    </row>
    <row r="1514" spans="7:10">
      <c r="G1514"/>
      <c r="H1514"/>
      <c r="I1514"/>
      <c r="J1514"/>
    </row>
    <row r="1515" spans="7:10"/>
    <row r="1516" spans="7:10"/>
    <row r="1517" spans="7:10"/>
    <row r="1518" spans="7:10"/>
    <row r="1519" spans="7:10"/>
    <row r="1520" spans="7:1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sheetData>
  <pageMargins left="0.70866141732283472" right="0.70866141732283472" top="0.74803149606299213" bottom="0.74803149606299213" header="0.31496062992125984" footer="0.31496062992125984"/>
  <pageSetup paperSize="9" scale="52" orientation="landscape" r:id="rId3"/>
  <headerFooter>
    <oddHeader>&amp;RPage &amp;P&amp;C&amp;A</oddHeader>
    <oddFooter>&amp;CPage &amp;P of &amp;N</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2"/>
    <pageSetUpPr fitToPage="1"/>
  </sheetPr>
  <dimension ref="A1:CI475"/>
  <sheetViews>
    <sheetView showGridLines="0" showRowColHeaders="0" topLeftCell="A4" zoomScale="85" zoomScaleNormal="85" zoomScaleSheetLayoutView="100" workbookViewId="0">
      <pane ySplit="16" topLeftCell="A25" activePane="bottomLeft" state="frozen"/>
      <selection activeCell="A4" sqref="A4"/>
      <selection pane="bottomLeft" activeCell="A4" sqref="A4"/>
    </sheetView>
  </sheetViews>
  <sheetFormatPr defaultColWidth="0" defaultRowHeight="15" zeroHeight="1"/>
  <cols>
    <col min="1" max="1" width="1.81640625" style="23" customWidth="1"/>
    <col min="2" max="2" width="30.08984375" style="23" customWidth="1"/>
    <col min="3" max="3" width="34.6328125" style="23" customWidth="1"/>
    <col min="4" max="4" width="19.1796875" style="23" customWidth="1"/>
    <col min="5" max="5" width="18.36328125" style="23" customWidth="1"/>
    <col min="6" max="6" width="15.90625" style="23" customWidth="1"/>
    <col min="7" max="7" width="10.453125" style="23" customWidth="1"/>
    <col min="8" max="8" width="13.90625" style="23" customWidth="1"/>
    <col min="9" max="12" width="8.08984375" style="23" customWidth="1"/>
    <col min="13" max="13" width="8.08984375" style="23" hidden="1" customWidth="1"/>
    <col min="14" max="14" width="8.54296875" style="23" hidden="1" customWidth="1"/>
    <col min="15" max="17" width="7.90625" style="23" hidden="1" customWidth="1"/>
    <col min="18" max="18" width="2.54296875" style="23" hidden="1" customWidth="1"/>
    <col min="19" max="26" width="8.90625" style="23" hidden="1" customWidth="1"/>
    <col min="27" max="27" width="37.36328125" style="23" hidden="1" customWidth="1"/>
    <col min="28" max="29" width="19.1796875" style="23" hidden="1" customWidth="1"/>
    <col min="30" max="30" width="18.36328125" style="23" hidden="1" customWidth="1"/>
    <col min="31" max="32" width="8.90625" style="23" hidden="1" customWidth="1"/>
    <col min="33" max="33" width="37.36328125" style="23" hidden="1" customWidth="1"/>
    <col min="34" max="34" width="19.54296875" style="23" hidden="1" customWidth="1"/>
    <col min="35" max="35" width="25.54296875" style="23" hidden="1" customWidth="1"/>
    <col min="36" max="36" width="12.1796875" style="23" hidden="1" customWidth="1"/>
    <col min="37" max="37" width="9.6328125" style="23" hidden="1" customWidth="1"/>
    <col min="38" max="38" width="11.6328125" style="23" hidden="1" customWidth="1"/>
    <col min="39" max="39" width="27" style="23" hidden="1" customWidth="1"/>
    <col min="40" max="40" width="22.6328125" style="23" hidden="1" customWidth="1"/>
    <col min="41" max="41" width="10.1796875" style="23" hidden="1" customWidth="1"/>
    <col min="42" max="42" width="19.6328125" style="23" hidden="1" customWidth="1"/>
    <col min="43" max="43" width="10.1796875" style="23" hidden="1" customWidth="1"/>
    <col min="44" max="44" width="24.81640625" style="23" hidden="1" customWidth="1"/>
    <col min="45" max="45" width="10.1796875" style="23" hidden="1" customWidth="1"/>
    <col min="46" max="46" width="20.08984375" style="23" hidden="1" customWidth="1"/>
    <col min="47" max="47" width="10.1796875" style="23" hidden="1" customWidth="1"/>
    <col min="48" max="48" width="16.453125" style="23" hidden="1" customWidth="1"/>
    <col min="49" max="49" width="24" style="23" hidden="1" customWidth="1"/>
    <col min="50" max="50" width="12.1796875" style="23" hidden="1" customWidth="1"/>
    <col min="51" max="68" width="8.90625" style="23" hidden="1" customWidth="1"/>
    <col min="69" max="69" width="34.08984375" style="23" hidden="1" customWidth="1"/>
    <col min="70" max="70" width="9" style="23" hidden="1" customWidth="1"/>
    <col min="71" max="84" width="8.90625" style="23" hidden="1" customWidth="1"/>
    <col min="85" max="85" width="4.81640625" style="23" hidden="1" customWidth="1"/>
    <col min="86" max="86" width="4.54296875" style="23" hidden="1" customWidth="1"/>
    <col min="87" max="87" width="26.6328125" style="23" hidden="1" customWidth="1"/>
    <col min="88" max="16384" width="8.90625" style="23" hidden="1"/>
  </cols>
  <sheetData>
    <row r="1" spans="2:86" hidden="1">
      <c r="O1" s="145"/>
    </row>
    <row r="2" spans="2:86" hidden="1">
      <c r="O2" s="145"/>
    </row>
    <row r="3" spans="2:86" hidden="1">
      <c r="O3" s="145"/>
    </row>
    <row r="4" spans="2:86" ht="8.25" customHeight="1">
      <c r="B4" s="133"/>
      <c r="C4" s="133"/>
      <c r="D4" s="133"/>
      <c r="E4" s="133"/>
      <c r="F4" s="133"/>
      <c r="G4" s="133"/>
      <c r="H4" s="133"/>
      <c r="I4" s="133"/>
      <c r="J4" s="133"/>
      <c r="K4" s="133"/>
    </row>
    <row r="5" spans="2:86" ht="11.25" customHeight="1">
      <c r="B5" s="133"/>
      <c r="C5" s="133"/>
      <c r="D5" s="133"/>
      <c r="E5" s="133"/>
      <c r="F5" s="133"/>
      <c r="G5" s="133"/>
      <c r="H5" s="133"/>
      <c r="I5" s="133"/>
      <c r="J5" s="133"/>
      <c r="K5" s="133"/>
    </row>
    <row r="6" spans="2:86">
      <c r="B6" s="133"/>
      <c r="C6" s="133"/>
      <c r="D6" s="133"/>
      <c r="E6" s="133"/>
      <c r="F6" s="133"/>
      <c r="G6" s="133"/>
      <c r="H6" s="133"/>
      <c r="I6" s="133"/>
      <c r="J6" s="133"/>
      <c r="K6" s="133"/>
      <c r="AG6" s="23" t="s">
        <v>143</v>
      </c>
      <c r="AH6" s="23" t="str" vm="959">
        <f>'Enter Parameters'!D17</f>
        <v>York (member)</v>
      </c>
    </row>
    <row r="7" spans="2:86">
      <c r="B7" s="133"/>
      <c r="C7" s="133"/>
      <c r="D7" s="133"/>
      <c r="E7" s="133"/>
      <c r="F7" s="133"/>
      <c r="G7" s="133"/>
      <c r="H7" s="133"/>
      <c r="I7" s="133"/>
      <c r="J7" s="133"/>
      <c r="K7" s="133"/>
      <c r="AG7" s="23" t="s">
        <v>122</v>
      </c>
      <c r="AH7" s="23" t="str" vm="950">
        <f>C17</f>
        <v>2016-17</v>
      </c>
    </row>
    <row r="8" spans="2:86" hidden="1">
      <c r="B8" s="133"/>
      <c r="C8" s="133"/>
      <c r="D8" s="133"/>
      <c r="E8" s="133"/>
      <c r="F8" s="133"/>
      <c r="G8" s="133"/>
      <c r="H8" s="133"/>
      <c r="I8" s="133"/>
      <c r="J8" s="133"/>
      <c r="K8" s="133"/>
      <c r="AG8" s="23" t="s">
        <v>123</v>
      </c>
      <c r="AH8" s="23" t="str" vm="942">
        <f>C18</f>
        <v>All</v>
      </c>
    </row>
    <row r="9" spans="2:86" hidden="1">
      <c r="B9" s="133"/>
      <c r="C9" s="133"/>
      <c r="D9" s="133"/>
      <c r="E9" s="133"/>
      <c r="F9" s="133"/>
      <c r="G9" s="133"/>
      <c r="H9" s="133"/>
      <c r="I9" s="133"/>
      <c r="J9" s="133"/>
      <c r="K9" s="133"/>
      <c r="AG9" s="23" t="s">
        <v>21</v>
      </c>
      <c r="AH9" s="23" t="str" vm="941">
        <f>'Enter Parameters'!D19</f>
        <v>All</v>
      </c>
    </row>
    <row r="10" spans="2:86" hidden="1">
      <c r="B10" s="133"/>
      <c r="C10" s="133"/>
      <c r="D10" s="133"/>
      <c r="E10" s="133"/>
      <c r="F10" s="133"/>
      <c r="G10" s="133"/>
      <c r="H10" s="133"/>
      <c r="I10" s="133"/>
      <c r="J10" s="133"/>
      <c r="K10" s="133"/>
    </row>
    <row r="11" spans="2:86" hidden="1">
      <c r="B11" s="133"/>
      <c r="C11" s="133"/>
      <c r="D11" s="133"/>
      <c r="E11" s="133"/>
      <c r="F11" s="133"/>
      <c r="G11" s="133"/>
      <c r="H11" s="133"/>
      <c r="I11" s="133"/>
      <c r="J11" s="133"/>
      <c r="K11" s="133"/>
      <c r="AG11" s="23" t="str" vm="527">
        <f>CUBEMEMBER("cabcrmsqlrs1 CABReportingCubes Local Financial Snapshot","[Measures].[Annualised Value]")</f>
        <v>Annualised Value</v>
      </c>
      <c r="AH11" s="23" t="s">
        <v>151</v>
      </c>
    </row>
    <row r="12" spans="2:86" hidden="1">
      <c r="B12" s="133"/>
      <c r="C12" s="133"/>
      <c r="D12" s="133"/>
      <c r="E12" s="133"/>
      <c r="F12" s="133"/>
      <c r="G12" s="133"/>
      <c r="H12" s="133"/>
      <c r="I12" s="133"/>
      <c r="J12" s="133"/>
      <c r="K12" s="133"/>
      <c r="AG12" s="152" t="s">
        <v>46</v>
      </c>
      <c r="AH12" s="152" t="str" vm="859">
        <f>CUBEMEMBER("cabcrmsqlrs1 CABReportingCubes Local Financial Snapshot","[AIC Outcome].[Advice Area].&amp;[Benefits &amp; tax credits]")</f>
        <v>Benefits &amp; tax credits</v>
      </c>
      <c r="AI12" s="152" t="str" vm="875">
        <f>CUBEMEMBER("cabcrmsqlrs1 CABReportingCubes Local Financial Snapshot","[AIC Outcome].[Advice Area].&amp;[Consumer goods &amp; services]")</f>
        <v>Consumer goods &amp; services</v>
      </c>
      <c r="AJ12" s="152" t="str" vm="869">
        <f>CUBEMEMBER("cabcrmsqlrs1 CABReportingCubes Local Financial Snapshot","[AIC Outcome].[Advice Area].&amp;[Debt]")</f>
        <v>Debt</v>
      </c>
      <c r="AK12" s="152" t="str" vm="864">
        <f>CUBEMEMBER("cabcrmsqlrs1 CABReportingCubes Local Financial Snapshot","[AIC Outcome].[Advice Area].&amp;[Education]")</f>
        <v>Education</v>
      </c>
      <c r="AL12" s="152" t="str" vm="858">
        <f>CUBEMEMBER("cabcrmsqlrs1 CABReportingCubes Local Financial Snapshot","[AIC Outcome].[Advice Area].&amp;[Employment]")</f>
        <v>Employment</v>
      </c>
      <c r="AM12" s="152" t="str" vm="874">
        <f>CUBEMEMBER("cabcrmsqlrs1 CABReportingCubes Local Financial Snapshot","[AIC Outcome].[Advice Area].&amp;[Financial services &amp; capability]")</f>
        <v>Financial services &amp; capability</v>
      </c>
      <c r="AN12" s="152" t="str" vm="868">
        <f>CUBEMEMBER("cabcrmsqlrs1 CABReportingCubes Local Financial Snapshot","[AIC Outcome].[Advice Area].&amp;[Health &amp; community care]")</f>
        <v>Health &amp; community care</v>
      </c>
      <c r="AO12" s="152" t="str" vm="863">
        <f>CUBEMEMBER("cabcrmsqlrs1 CABReportingCubes Local Financial Snapshot","[AIC Outcome].[Advice Area].&amp;[Housing]")</f>
        <v>Housing</v>
      </c>
      <c r="AP12" s="152" t="str" vm="857">
        <f>CUBEMEMBER("cabcrmsqlrs1 CABReportingCubes Local Financial Snapshot","[AIC Outcome].[Advice Area].&amp;[Immigration &amp; asylum]")</f>
        <v>Immigration &amp; asylum</v>
      </c>
      <c r="AQ12" s="152" t="str" vm="873">
        <f>CUBEMEMBER("cabcrmsqlrs1 CABReportingCubes Local Financial Snapshot","[AIC Outcome].[Advice Area].&amp;[Legal]")</f>
        <v>Legal</v>
      </c>
      <c r="AR12" s="152" t="str" vm="867">
        <f>CUBEMEMBER("cabcrmsqlrs1 CABReportingCubes Local Financial Snapshot","[AIC Outcome].[Advice Area].&amp;[Not recorded/not applicable]")</f>
        <v>Not recorded/not applicable</v>
      </c>
      <c r="AS12" s="152" t="str" vm="862">
        <f>CUBEMEMBER("cabcrmsqlrs1 CABReportingCubes Local Financial Snapshot","[AIC Outcome].[Advice Area].&amp;[Other]")</f>
        <v>Other</v>
      </c>
      <c r="AT12" s="152" t="str" vm="856">
        <f>CUBEMEMBER("cabcrmsqlrs1 CABReportingCubes Local Financial Snapshot","[AIC Outcome].[Advice Area].&amp;[Relationships &amp; family]")</f>
        <v>Relationships &amp; family</v>
      </c>
      <c r="AU12" s="152" t="str" vm="872">
        <f>CUBEMEMBER("cabcrmsqlrs1 CABReportingCubes Local Financial Snapshot","[AIC Outcome].[Advice Area].&amp;[Tax]")</f>
        <v>Tax</v>
      </c>
      <c r="AV12" s="152" t="str" vm="866">
        <f>CUBEMEMBER("cabcrmsqlrs1 CABReportingCubes Local Financial Snapshot","[AIC Outcome].[Advice Area].&amp;[Travel &amp; transport]")</f>
        <v>Travel &amp; transport</v>
      </c>
      <c r="AW12" s="152" t="str" vm="861">
        <f>CUBEMEMBER("cabcrmsqlrs1 CABReportingCubes Local Financial Snapshot","[AIC Outcome].[Advice Area].&amp;[Utilities &amp; communications]")</f>
        <v>Utilities &amp; communications</v>
      </c>
      <c r="AX12" s="152" t="str" vm="855">
        <f>CUBEMEMBER("cabcrmsqlrs1 CABReportingCubes Local Financial Snapshot","[AIC Outcome].[Advice Area].[All]","Grand Total")</f>
        <v>Grand Total</v>
      </c>
    </row>
    <row r="13" spans="2:86" hidden="1">
      <c r="AA13" s="23" t="s">
        <v>4</v>
      </c>
      <c r="AB13" s="23" t="str" vm="959">
        <f>'Enter Parameters'!D17</f>
        <v>York (member)</v>
      </c>
      <c r="AG13" s="153" t="str" vm="871">
        <f>CUBEMEMBER("cabcrmsqlrs1 CABReportingCubes Local Financial Snapshot","[AIC Outcome].[Financial Outcome Category].&amp;[Debts written off]")</f>
        <v>Debts written off</v>
      </c>
      <c r="AH13" s="212">
        <f t="shared" ref="AH13:AX13" si="0">IF(CUBEVALUE("cabcrmsqlrs1 CABReportingCubes Local Financial Snapshot",$AH$6,$AH$7,$AH$8,$AH$9,$AG$11,$AG13,AH$12)="",0,CUBEVALUE("cabcrmsqlrs1 CABReportingCubes Local Financial Snapshot",$AH$6,$AH$7,$AH$8,$AH$9,$AG$11,$AG13,AH$12))</f>
        <v>0</v>
      </c>
      <c r="AI13" s="212">
        <f t="shared" si="0"/>
        <v>0</v>
      </c>
      <c r="AJ13" s="212" vm="2013">
        <f t="shared" si="0"/>
        <v>1248785.0500000003</v>
      </c>
      <c r="AK13" s="212">
        <f t="shared" si="0"/>
        <v>0</v>
      </c>
      <c r="AL13" s="212">
        <f t="shared" si="0"/>
        <v>0</v>
      </c>
      <c r="AM13" s="212">
        <f t="shared" si="0"/>
        <v>0</v>
      </c>
      <c r="AN13" s="212">
        <f t="shared" si="0"/>
        <v>0</v>
      </c>
      <c r="AO13" s="212">
        <f t="shared" si="0"/>
        <v>0</v>
      </c>
      <c r="AP13" s="212">
        <f t="shared" si="0"/>
        <v>0</v>
      </c>
      <c r="AQ13" s="212">
        <f t="shared" si="0"/>
        <v>0</v>
      </c>
      <c r="AR13" s="212">
        <f t="shared" si="0"/>
        <v>0</v>
      </c>
      <c r="AS13" s="212">
        <f t="shared" si="0"/>
        <v>0</v>
      </c>
      <c r="AT13" s="212">
        <f t="shared" si="0"/>
        <v>0</v>
      </c>
      <c r="AU13" s="212">
        <f t="shared" si="0"/>
        <v>0</v>
      </c>
      <c r="AV13" s="212">
        <f t="shared" si="0"/>
        <v>0</v>
      </c>
      <c r="AW13" s="212">
        <f t="shared" si="0"/>
        <v>0</v>
      </c>
      <c r="AX13" s="212" vm="2050">
        <f t="shared" si="0"/>
        <v>1248785.0500000003</v>
      </c>
    </row>
    <row r="14" spans="2:86" ht="15.75" hidden="1" customHeight="1">
      <c r="AA14" s="23" t="s">
        <v>122</v>
      </c>
      <c r="AB14" s="23" t="str" vm="950">
        <f>C17</f>
        <v>2016-17</v>
      </c>
      <c r="AG14" s="153" t="str" vm="865">
        <f>CUBEMEMBER("cabcrmsqlrs1 CABReportingCubes Local Financial Snapshot","[AIC Outcome].[Financial Outcome Category].&amp;[Income gain]")</f>
        <v>Income gain</v>
      </c>
      <c r="AH14" s="212" vm="2086">
        <f t="shared" ref="AH14:AW18" si="1">IF(CUBEVALUE("cabcrmsqlrs1 CABReportingCubes Local Financial Snapshot",$AH$6,$AH$7,$AH$8,$AH$9,$AG$11,$AG14,AH$12)="",0,CUBEVALUE("cabcrmsqlrs1 CABReportingCubes Local Financial Snapshot",$AH$6,$AH$7,$AH$8,$AH$9,$AG$11,$AG14,AH$12))</f>
        <v>1531540.5800000003</v>
      </c>
      <c r="AI14" s="212" vm="2039">
        <f t="shared" si="1"/>
        <v>0</v>
      </c>
      <c r="AJ14" s="212" vm="1996">
        <f t="shared" si="1"/>
        <v>572</v>
      </c>
      <c r="AK14" s="212">
        <f t="shared" si="1"/>
        <v>0</v>
      </c>
      <c r="AL14" s="212" vm="2532">
        <f t="shared" si="1"/>
        <v>14595.65</v>
      </c>
      <c r="AM14" s="212" vm="1941">
        <f t="shared" si="1"/>
        <v>14431.359999999997</v>
      </c>
      <c r="AN14" s="212">
        <f t="shared" si="1"/>
        <v>0</v>
      </c>
      <c r="AO14" s="212">
        <f t="shared" si="1"/>
        <v>0</v>
      </c>
      <c r="AP14" s="212">
        <f t="shared" si="1"/>
        <v>0</v>
      </c>
      <c r="AQ14" s="212" vm="2580">
        <f t="shared" si="1"/>
        <v>15000</v>
      </c>
      <c r="AR14" s="212">
        <f t="shared" si="1"/>
        <v>0</v>
      </c>
      <c r="AS14" s="212" vm="2531">
        <f t="shared" si="1"/>
        <v>101524.3</v>
      </c>
      <c r="AT14" s="212">
        <f t="shared" si="1"/>
        <v>0</v>
      </c>
      <c r="AU14" s="212" vm="2529">
        <f t="shared" si="1"/>
        <v>3547.85</v>
      </c>
      <c r="AV14" s="212">
        <f t="shared" si="1"/>
        <v>0</v>
      </c>
      <c r="AW14" s="212" vm="2530">
        <f t="shared" si="1"/>
        <v>15855.009999999998</v>
      </c>
      <c r="AX14" s="212" vm="2087">
        <f t="shared" ref="AX14:AX18" si="2">IF(CUBEVALUE("cabcrmsqlrs1 CABReportingCubes Local Financial Snapshot",$AH$6,$AH$7,$AH$8,$AH$9,$AG$11,$AG14,AX$12)="",0,CUBEVALUE("cabcrmsqlrs1 CABReportingCubes Local Financial Snapshot",$AH$6,$AH$7,$AH$8,$AH$9,$AG$11,$AG14,AX$12))</f>
        <v>1762066.7500000005</v>
      </c>
    </row>
    <row r="15" spans="2:86" hidden="1">
      <c r="AA15" s="23" t="s">
        <v>123</v>
      </c>
      <c r="AB15" s="23" t="str" vm="942">
        <f>C18</f>
        <v>All</v>
      </c>
      <c r="AG15" s="153" t="str" vm="860">
        <f>CUBEMEMBER("cabcrmsqlrs1 CABReportingCubes Local Financial Snapshot","[AIC Outcome].[Financial Outcome Category].&amp;[Not recorded/not applicable]")</f>
        <v>Not recorded/not applicable</v>
      </c>
      <c r="AH15" s="212" vm="2034">
        <f t="shared" si="1"/>
        <v>98737.349999999991</v>
      </c>
      <c r="AI15" s="212" vm="2538">
        <f t="shared" si="1"/>
        <v>0</v>
      </c>
      <c r="AJ15" s="212" vm="1957">
        <f t="shared" si="1"/>
        <v>25000.14</v>
      </c>
      <c r="AK15" s="212" vm="2533">
        <f t="shared" si="1"/>
        <v>600</v>
      </c>
      <c r="AL15" s="212" vm="2535">
        <f t="shared" si="1"/>
        <v>0</v>
      </c>
      <c r="AM15" s="212" vm="2536">
        <f t="shared" si="1"/>
        <v>1460</v>
      </c>
      <c r="AN15" s="212" vm="2036">
        <f t="shared" si="1"/>
        <v>0</v>
      </c>
      <c r="AO15" s="212" vm="1983">
        <f t="shared" si="1"/>
        <v>0</v>
      </c>
      <c r="AP15" s="212">
        <f t="shared" si="1"/>
        <v>0</v>
      </c>
      <c r="AQ15" s="212" vm="2334">
        <f t="shared" si="1"/>
        <v>0</v>
      </c>
      <c r="AR15" s="212">
        <f t="shared" si="1"/>
        <v>0</v>
      </c>
      <c r="AS15" s="212" vm="2144">
        <f t="shared" si="1"/>
        <v>339</v>
      </c>
      <c r="AT15" s="212" vm="2534">
        <f t="shared" si="1"/>
        <v>6240</v>
      </c>
      <c r="AU15" s="212" vm="2539">
        <f t="shared" si="1"/>
        <v>0</v>
      </c>
      <c r="AV15" s="212" vm="2537">
        <f t="shared" si="1"/>
        <v>0</v>
      </c>
      <c r="AW15" s="212" vm="2540">
        <f t="shared" si="1"/>
        <v>5603.67</v>
      </c>
      <c r="AX15" s="212" vm="2366">
        <f t="shared" si="2"/>
        <v>137980.15999999997</v>
      </c>
      <c r="CG15" s="225" t="s">
        <v>143</v>
      </c>
      <c r="CH15" s="226" t="s" vm="877">
        <v>1</v>
      </c>
    </row>
    <row r="16" spans="2:86">
      <c r="AA16" s="23" t="s">
        <v>21</v>
      </c>
      <c r="AB16" s="23" t="str" vm="941">
        <f>'Enter Parameters'!D19</f>
        <v>All</v>
      </c>
      <c r="AG16" s="153" t="str" vm="854">
        <f>CUBEMEMBER("cabcrmsqlrs1 CABReportingCubes Local Financial Snapshot","[AIC Outcome].[Financial Outcome Category].&amp;[Re-imbursements, services, loans]")</f>
        <v>Re-imbursements, services, loans</v>
      </c>
      <c r="AH16" s="212">
        <f t="shared" si="1"/>
        <v>0</v>
      </c>
      <c r="AI16" s="212" vm="2245">
        <f t="shared" si="1"/>
        <v>4150</v>
      </c>
      <c r="AJ16" s="212">
        <f t="shared" si="1"/>
        <v>0</v>
      </c>
      <c r="AK16" s="212">
        <f t="shared" si="1"/>
        <v>0</v>
      </c>
      <c r="AL16" s="212">
        <f t="shared" si="1"/>
        <v>0</v>
      </c>
      <c r="AM16" s="212" vm="1574">
        <f t="shared" si="1"/>
        <v>0</v>
      </c>
      <c r="AN16" s="212" vm="1572">
        <f t="shared" si="1"/>
        <v>391</v>
      </c>
      <c r="AO16" s="212" vm="2342">
        <f t="shared" si="1"/>
        <v>2656</v>
      </c>
      <c r="AP16" s="212">
        <f t="shared" si="1"/>
        <v>0</v>
      </c>
      <c r="AQ16" s="212">
        <f t="shared" si="1"/>
        <v>0</v>
      </c>
      <c r="AR16" s="212">
        <f t="shared" si="1"/>
        <v>0</v>
      </c>
      <c r="AS16" s="212" vm="2410">
        <f t="shared" si="1"/>
        <v>2335</v>
      </c>
      <c r="AT16" s="212">
        <f t="shared" si="1"/>
        <v>0</v>
      </c>
      <c r="AU16" s="212" vm="2409">
        <f t="shared" si="1"/>
        <v>136.35</v>
      </c>
      <c r="AV16" s="212" vm="2037">
        <f t="shared" si="1"/>
        <v>2003.85</v>
      </c>
      <c r="AW16" s="212">
        <f t="shared" si="1"/>
        <v>0</v>
      </c>
      <c r="AX16" s="212" vm="2021">
        <f t="shared" si="2"/>
        <v>11672.2</v>
      </c>
    </row>
    <row r="17" spans="2:50" ht="15.6">
      <c r="B17" s="236" t="s">
        <v>124</v>
      </c>
      <c r="C17" s="236" t="s" vm="950">
        <v>405</v>
      </c>
      <c r="AG17" s="153" t="str" vm="870">
        <f>CUBEMEMBER("cabcrmsqlrs1 CABReportingCubes Local Financial Snapshot","[AIC Outcome].[Financial Outcome Category].&amp;[Repayments rescheduled]")</f>
        <v>Repayments rescheduled</v>
      </c>
      <c r="AH17" s="212">
        <f t="shared" si="1"/>
        <v>0</v>
      </c>
      <c r="AI17" s="212">
        <f t="shared" si="1"/>
        <v>0</v>
      </c>
      <c r="AJ17" s="212" vm="1610">
        <f t="shared" si="1"/>
        <v>3468</v>
      </c>
      <c r="AK17" s="212">
        <f t="shared" si="1"/>
        <v>0</v>
      </c>
      <c r="AL17" s="212">
        <f t="shared" si="1"/>
        <v>0</v>
      </c>
      <c r="AM17" s="212">
        <f t="shared" si="1"/>
        <v>0</v>
      </c>
      <c r="AN17" s="212">
        <f t="shared" si="1"/>
        <v>0</v>
      </c>
      <c r="AO17" s="212">
        <f t="shared" si="1"/>
        <v>0</v>
      </c>
      <c r="AP17" s="212">
        <f t="shared" si="1"/>
        <v>0</v>
      </c>
      <c r="AQ17" s="212">
        <f t="shared" si="1"/>
        <v>0</v>
      </c>
      <c r="AR17" s="212">
        <f t="shared" si="1"/>
        <v>0</v>
      </c>
      <c r="AS17" s="212">
        <f t="shared" si="1"/>
        <v>0</v>
      </c>
      <c r="AT17" s="212">
        <f t="shared" si="1"/>
        <v>0</v>
      </c>
      <c r="AU17" s="212">
        <f t="shared" si="1"/>
        <v>0</v>
      </c>
      <c r="AV17" s="212">
        <f t="shared" si="1"/>
        <v>0</v>
      </c>
      <c r="AW17" s="212">
        <f t="shared" si="1"/>
        <v>0</v>
      </c>
      <c r="AX17" s="212" vm="2069">
        <f t="shared" si="2"/>
        <v>3468</v>
      </c>
    </row>
    <row r="18" spans="2:50" ht="15.6">
      <c r="B18" s="236" t="s">
        <v>125</v>
      </c>
      <c r="C18" s="236" t="s" vm="942">
        <v>1</v>
      </c>
      <c r="AA18" s="23" t="s">
        <v>46</v>
      </c>
      <c r="AB18" s="23" t="str" vm="527">
        <f>CUBEMEMBER("cabcrmsqlrs1 CABReportingCubes Local Financial Snapshot","[Measures].[Annualised Value]")</f>
        <v>Annualised Value</v>
      </c>
      <c r="AC18" s="23" t="str" vm="525">
        <f>CUBEMEMBER("cabcrmsqlrs1 CABReportingCubes Local Financial Snapshot","[Measures].[Number of Outcomes]")</f>
        <v>Number of Outcomes</v>
      </c>
      <c r="AD18" s="23" t="str" vm="522">
        <f>CUBEMEMBER("cabcrmsqlrs1 CABReportingCubes Local Financial Snapshot","[Measures].[Unique Client Count]")</f>
        <v>Unique Client Count</v>
      </c>
      <c r="AG18" s="153" t="str" vm="876">
        <f>CUBESET("cabcrmsqlrs1 CABReportingCubes Local Financial Snapshot",($AG$17,$AG$16,$AG$15,$AG$14,$AG$13),"Grand Total")</f>
        <v>Grand Total</v>
      </c>
      <c r="AH18" s="212" vm="2349">
        <f t="shared" si="1"/>
        <v>1630277.9300000004</v>
      </c>
      <c r="AI18" s="212" vm="2617">
        <f t="shared" si="1"/>
        <v>4150</v>
      </c>
      <c r="AJ18" s="212" vm="2336">
        <f t="shared" si="1"/>
        <v>1277825.1900000002</v>
      </c>
      <c r="AK18" s="212" vm="2622">
        <f t="shared" si="1"/>
        <v>600</v>
      </c>
      <c r="AL18" s="212" vm="2241">
        <f t="shared" si="1"/>
        <v>14595.65</v>
      </c>
      <c r="AM18" s="212" vm="2620">
        <f t="shared" si="1"/>
        <v>15891.359999999997</v>
      </c>
      <c r="AN18" s="212" vm="2618">
        <f t="shared" si="1"/>
        <v>391</v>
      </c>
      <c r="AO18" s="212" vm="2615">
        <f t="shared" si="1"/>
        <v>2656</v>
      </c>
      <c r="AP18" s="212">
        <f t="shared" si="1"/>
        <v>0</v>
      </c>
      <c r="AQ18" s="212" vm="2203">
        <f t="shared" si="1"/>
        <v>15000</v>
      </c>
      <c r="AR18" s="212">
        <f t="shared" si="1"/>
        <v>0</v>
      </c>
      <c r="AS18" s="212" vm="2621">
        <f t="shared" si="1"/>
        <v>104198.3</v>
      </c>
      <c r="AT18" s="212" vm="2269">
        <f t="shared" si="1"/>
        <v>6240</v>
      </c>
      <c r="AU18" s="212" vm="2616">
        <f t="shared" si="1"/>
        <v>3684.2</v>
      </c>
      <c r="AV18" s="212" vm="2614">
        <f t="shared" si="1"/>
        <v>2003.85</v>
      </c>
      <c r="AW18" s="212" vm="2202">
        <f t="shared" si="1"/>
        <v>21458.68</v>
      </c>
      <c r="AX18" s="212" vm="2619">
        <f t="shared" si="2"/>
        <v>3163972.1600000006</v>
      </c>
    </row>
    <row r="19" spans="2:50" ht="13.5" customHeight="1">
      <c r="AA19" s="29" t="str" vm="859">
        <f>CUBEMEMBER("cabcrmsqlrs1 CABReportingCubes Local Financial Snapshot","[AIC Outcome].[Advice Area].&amp;[Benefits &amp; tax credits]")</f>
        <v>Benefits &amp; tax credits</v>
      </c>
      <c r="AB19" s="213" vm="1699">
        <f>IF(CUBEVALUE("cabcrmsqlrs1 CABReportingCubes Local Financial Snapshot",$AB$13,$AB$14,$AB$15,$AB$16,$AA19,AB$18)="",0,CUBEVALUE("cabcrmsqlrs1 CABReportingCubes Local Financial Snapshot",$AB$13,$AB$14,$AB$15,$AB$16,$AA19,AB$18))</f>
        <v>1630277.9300000004</v>
      </c>
      <c r="AC19" s="214" vm="2207">
        <f>IF(CUBEVALUE("cabcrmsqlrs1 CABReportingCubes Local Financial Snapshot",$AB$13,$AB$14,$AB$15,$AB$16,$AA19,AC$18)="",0,CUBEVALUE("cabcrmsqlrs1 CABReportingCubes Local Financial Snapshot",$AB$13,$AB$14,$AB$15,$AB$16,$AA19,AC$18))</f>
        <v>449</v>
      </c>
      <c r="AD19" s="214" vm="2696">
        <f>IF(CUBEVALUE("cabcrmsqlrs1 CABReportingCubes Local Financial Snapshot",$AB$13,$AB$14,$AB$15,$AB$16,$AA19,AD$18)="",0,CUBEVALUE("cabcrmsqlrs1 CABReportingCubes Local Financial Snapshot",$AB$13,$AB$14,$AB$15,$AB$16,$AA19,AD$18))</f>
        <v>244</v>
      </c>
    </row>
    <row r="20" spans="2:50" hidden="1">
      <c r="AA20" s="29" t="str" vm="526">
        <f>CUBEMEMBER("cabcrmsqlrs1 CABReportingCubes Local Financial Snapshot","[AIC Outcome].[AIC Part1].&amp;[Consumer goods &amp; services]")</f>
        <v>Consumer goods &amp; services</v>
      </c>
      <c r="AB20" s="213" vm="1979">
        <f t="shared" ref="AB20" si="3">IF(CUBEVALUE("cabcrmsqlrs1 CABReportingCubes Local Financial Snapshot",$AB$13,$AB$14,$AB$15,$AB$16,$AA20,AB$18)="",0,CUBEVALUE("cabcrmsqlrs1 CABReportingCubes Local Financial Snapshot",$AB$13,$AB$14,$AB$15,$AB$16,$AA20,AB$18))</f>
        <v>4150</v>
      </c>
      <c r="AC20" s="214" vm="2271">
        <f>IF(CUBEVALUE("cabcrmsqlrs1 CABReportingCubes Local Financial Snapshot",$AB$13,$AB$14,$AB$15,$AB$16,$AA20,AC$18)="",0,CUBEVALUE("cabcrmsqlrs1 CABReportingCubes Local Financial Snapshot",$AB$13,$AB$14,$AB$15,$AB$16,$AA20,AC$18))</f>
        <v>9</v>
      </c>
      <c r="AD20" s="214" vm="2598">
        <f t="shared" ref="AD20:AD21" si="4">IF(CUBEVALUE("cabcrmsqlrs1 CABReportingCubes Local Financial Snapshot",$AB$13,$AB$14,$AB$15,$AB$16,$AA20,AD$18)="",0,CUBEVALUE("cabcrmsqlrs1 CABReportingCubes Local Financial Snapshot",$AB$13,$AB$14,$AB$15,$AB$16,$AA20,AD$18))</f>
        <v>5</v>
      </c>
    </row>
    <row r="21" spans="2:50" hidden="1">
      <c r="AA21" s="29" t="str" vm="523">
        <f>CUBEMEMBER("cabcrmsqlrs1 CABReportingCubes Local Financial Snapshot","[AIC Outcome].[AIC Part1].&amp;[Debt]")</f>
        <v>Debt</v>
      </c>
      <c r="AB21" s="213" vm="2296">
        <f>IF(CUBEVALUE("cabcrmsqlrs1 CABReportingCubes Local Financial Snapshot",$AB$13,$AB$14,$AB$15,$AB$16,$AA21,AB$18)="",0,CUBEVALUE("cabcrmsqlrs1 CABReportingCubes Local Financial Snapshot",$AB$13,$AB$14,$AB$15,$AB$16,$AA21,AB$18))</f>
        <v>1277825.19</v>
      </c>
      <c r="AC21" s="214" vm="2181">
        <f>IF(CUBEVALUE("cabcrmsqlrs1 CABReportingCubes Local Financial Snapshot",$AB$13,$AB$14,$AB$15,$AB$16,$AA21,AC$18)="",0,CUBEVALUE("cabcrmsqlrs1 CABReportingCubes Local Financial Snapshot",$AB$13,$AB$14,$AB$15,$AB$16,$AA21,AC$18))</f>
        <v>434</v>
      </c>
      <c r="AD21" s="214" vm="2601">
        <f t="shared" si="4"/>
        <v>335</v>
      </c>
    </row>
    <row r="22" spans="2:50" ht="12.75" customHeight="1">
      <c r="AA22" s="29"/>
      <c r="AB22" s="213"/>
      <c r="AC22" s="214"/>
      <c r="AD22" s="214"/>
    </row>
    <row r="23" spans="2:50" ht="21">
      <c r="B23" s="126" t="s">
        <v>156</v>
      </c>
      <c r="AA23" s="29"/>
      <c r="AB23" s="213"/>
      <c r="AC23" s="214"/>
      <c r="AD23" s="214"/>
    </row>
    <row r="24" spans="2:50">
      <c r="AA24" s="29"/>
      <c r="AB24" s="213"/>
      <c r="AC24" s="214"/>
      <c r="AD24" s="214"/>
    </row>
    <row r="25" spans="2:50" ht="15.6">
      <c r="B25" s="161" t="s">
        <v>152</v>
      </c>
      <c r="C25" s="160" t="s" vm="859">
        <v>7</v>
      </c>
      <c r="D25" s="160" t="s" vm="869">
        <v>9</v>
      </c>
      <c r="E25" s="160" t="s" vm="858">
        <v>10</v>
      </c>
      <c r="F25" s="161" t="s" vm="863">
        <v>11</v>
      </c>
      <c r="G25" s="160" t="s">
        <v>13</v>
      </c>
      <c r="H25" s="160" t="s">
        <v>30</v>
      </c>
      <c r="AA25" s="29"/>
      <c r="AB25" s="213"/>
      <c r="AC25" s="214"/>
      <c r="AD25" s="214"/>
    </row>
    <row r="26" spans="2:50">
      <c r="B26" s="152" t="s" vm="865">
        <v>148</v>
      </c>
      <c r="C26" s="215" vm="2086">
        <f t="shared" ref="C26:G26" si="5">AH53</f>
        <v>1531540.5800000003</v>
      </c>
      <c r="D26" s="215" vm="1996">
        <f t="shared" si="5"/>
        <v>572</v>
      </c>
      <c r="E26" s="215" vm="2532">
        <f t="shared" si="5"/>
        <v>14595.65</v>
      </c>
      <c r="F26" s="215">
        <f t="shared" si="5"/>
        <v>0</v>
      </c>
      <c r="G26" s="215">
        <f t="shared" si="5"/>
        <v>215358.52000000025</v>
      </c>
      <c r="H26" s="215">
        <f t="shared" ref="H26:H29" si="6">SUM(C26:G26)</f>
        <v>1762066.7500000005</v>
      </c>
      <c r="AA26" s="29"/>
      <c r="AB26" s="213"/>
      <c r="AC26" s="214"/>
      <c r="AD26" s="214"/>
    </row>
    <row r="27" spans="2:50">
      <c r="B27" s="152" t="s" vm="854">
        <v>149</v>
      </c>
      <c r="C27" s="215">
        <f t="shared" ref="C27:G27" si="7">AH54</f>
        <v>0</v>
      </c>
      <c r="D27" s="215">
        <f t="shared" si="7"/>
        <v>0</v>
      </c>
      <c r="E27" s="215">
        <f t="shared" si="7"/>
        <v>0</v>
      </c>
      <c r="F27" s="215" vm="2342">
        <f t="shared" si="7"/>
        <v>2656</v>
      </c>
      <c r="G27" s="215">
        <f t="shared" si="7"/>
        <v>9016.2000000000007</v>
      </c>
      <c r="H27" s="215">
        <f t="shared" si="6"/>
        <v>11672.2</v>
      </c>
      <c r="AA27" s="29"/>
      <c r="AB27" s="213"/>
      <c r="AC27" s="214"/>
      <c r="AD27" s="214"/>
    </row>
    <row r="28" spans="2:50">
      <c r="B28" s="152" t="s">
        <v>147</v>
      </c>
      <c r="C28" s="215">
        <f>AH52</f>
        <v>0</v>
      </c>
      <c r="D28" s="215" vm="2013">
        <f>AI52</f>
        <v>1248785.0500000003</v>
      </c>
      <c r="E28" s="215">
        <f>AJ52</f>
        <v>0</v>
      </c>
      <c r="F28" s="215">
        <f>AK52</f>
        <v>0</v>
      </c>
      <c r="G28" s="215">
        <f>AL52</f>
        <v>0</v>
      </c>
      <c r="H28" s="215">
        <f>SUM(C28:G28)</f>
        <v>1248785.0500000003</v>
      </c>
      <c r="AA28" s="29"/>
      <c r="AB28" s="213"/>
      <c r="AC28" s="214"/>
      <c r="AD28" s="214"/>
    </row>
    <row r="29" spans="2:50">
      <c r="B29" s="152" t="s">
        <v>150</v>
      </c>
      <c r="C29" s="215">
        <f t="shared" ref="C29:G29" si="8">AH55</f>
        <v>0</v>
      </c>
      <c r="D29" s="215" vm="1610">
        <f t="shared" si="8"/>
        <v>3468</v>
      </c>
      <c r="E29" s="215">
        <f t="shared" si="8"/>
        <v>0</v>
      </c>
      <c r="F29" s="215">
        <f t="shared" si="8"/>
        <v>0</v>
      </c>
      <c r="G29" s="215">
        <f t="shared" si="8"/>
        <v>0</v>
      </c>
      <c r="H29" s="215">
        <f t="shared" si="6"/>
        <v>3468</v>
      </c>
      <c r="AA29" s="29"/>
      <c r="AB29" s="213"/>
      <c r="AC29" s="214"/>
      <c r="AD29" s="214"/>
    </row>
    <row r="30" spans="2:50" ht="15.6" hidden="1">
      <c r="B30" s="179"/>
      <c r="C30" s="216"/>
      <c r="D30" s="216"/>
      <c r="E30" s="216"/>
      <c r="F30" s="216"/>
      <c r="G30" s="216"/>
      <c r="H30" s="216"/>
      <c r="AA30" s="29"/>
      <c r="AB30" s="213"/>
      <c r="AC30" s="214"/>
      <c r="AD30" s="214"/>
    </row>
    <row r="31" spans="2:50">
      <c r="AA31" s="29"/>
      <c r="AB31" s="213"/>
      <c r="AC31" s="214"/>
      <c r="AD31" s="214"/>
    </row>
    <row r="32" spans="2:50" hidden="1">
      <c r="AA32" s="29"/>
      <c r="AB32" s="213"/>
      <c r="AC32" s="214"/>
      <c r="AD32" s="214"/>
    </row>
    <row r="33" spans="2:30" ht="21">
      <c r="B33" s="126" t="s">
        <v>232</v>
      </c>
      <c r="AA33" s="29"/>
      <c r="AB33" s="213"/>
      <c r="AC33" s="214"/>
      <c r="AD33" s="214"/>
    </row>
    <row r="34" spans="2:30" ht="6" customHeight="1">
      <c r="AA34" s="29"/>
      <c r="AB34" s="213"/>
      <c r="AC34" s="214"/>
      <c r="AD34" s="214"/>
    </row>
    <row r="35" spans="2:30" ht="15.6">
      <c r="B35" s="161"/>
      <c r="C35" s="160"/>
      <c r="AA35" s="29"/>
      <c r="AB35" s="213"/>
      <c r="AC35" s="214"/>
      <c r="AD35" s="214"/>
    </row>
    <row r="36" spans="2:30">
      <c r="B36" s="152" t="s">
        <v>157</v>
      </c>
      <c r="C36" s="217" vm="2547">
        <f>C68</f>
        <v>1292</v>
      </c>
      <c r="AA36" s="29"/>
      <c r="AB36" s="213"/>
      <c r="AC36" s="214"/>
      <c r="AD36" s="214"/>
    </row>
    <row r="37" spans="2:30">
      <c r="B37" s="152" t="s">
        <v>233</v>
      </c>
      <c r="C37" s="217" vm="1343">
        <f>CH81</f>
        <v>10804</v>
      </c>
      <c r="AA37" s="29"/>
      <c r="AB37" s="213"/>
      <c r="AC37" s="214"/>
      <c r="AD37" s="214"/>
    </row>
    <row r="38" spans="2:30" ht="15.6">
      <c r="B38" s="179" t="s">
        <v>158</v>
      </c>
      <c r="C38" s="218">
        <f>IF(ISERROR(C36/C37),0,C36/C37)</f>
        <v>0.11958533876342095</v>
      </c>
      <c r="AA38" s="29"/>
      <c r="AB38" s="213"/>
      <c r="AC38" s="214"/>
      <c r="AD38" s="214"/>
    </row>
    <row r="39" spans="2:30" hidden="1">
      <c r="AA39" s="29"/>
      <c r="AB39" s="213"/>
      <c r="AC39" s="214"/>
      <c r="AD39" s="214"/>
    </row>
    <row r="40" spans="2:30" hidden="1">
      <c r="AA40" s="29"/>
      <c r="AB40" s="213"/>
      <c r="AC40" s="214"/>
      <c r="AD40" s="214"/>
    </row>
    <row r="41" spans="2:30" hidden="1">
      <c r="AA41" s="29"/>
      <c r="AB41" s="213"/>
      <c r="AC41" s="214"/>
      <c r="AD41" s="214"/>
    </row>
    <row r="42" spans="2:30" hidden="1">
      <c r="AA42" s="29"/>
      <c r="AB42" s="213"/>
      <c r="AC42" s="214"/>
      <c r="AD42" s="214"/>
    </row>
    <row r="43" spans="2:30" hidden="1">
      <c r="AA43" s="29"/>
      <c r="AB43" s="213"/>
      <c r="AC43" s="214"/>
      <c r="AD43" s="214"/>
    </row>
    <row r="44" spans="2:30" hidden="1">
      <c r="AA44" s="29"/>
      <c r="AB44" s="213"/>
      <c r="AC44" s="214"/>
      <c r="AD44" s="214"/>
    </row>
    <row r="45" spans="2:30" hidden="1">
      <c r="AA45" s="29"/>
      <c r="AB45" s="213"/>
      <c r="AC45" s="214"/>
      <c r="AD45" s="214"/>
    </row>
    <row r="46" spans="2:30">
      <c r="AA46" s="29"/>
      <c r="AB46" s="213"/>
      <c r="AC46" s="214"/>
      <c r="AD46" s="214"/>
    </row>
    <row r="47" spans="2:30" hidden="1">
      <c r="AA47" s="29"/>
      <c r="AB47" s="213"/>
      <c r="AC47" s="214"/>
      <c r="AD47" s="214"/>
    </row>
    <row r="48" spans="2:30" ht="21">
      <c r="B48" s="126" t="s">
        <v>159</v>
      </c>
      <c r="AA48" s="29"/>
      <c r="AB48" s="213"/>
      <c r="AC48" s="214"/>
      <c r="AD48" s="214"/>
    </row>
    <row r="49" spans="2:38" hidden="1">
      <c r="AA49" s="29"/>
      <c r="AB49" s="213"/>
      <c r="AC49" s="214"/>
      <c r="AD49" s="214"/>
    </row>
    <row r="50" spans="2:38">
      <c r="AA50" s="29" t="str" vm="864">
        <f>CUBEMEMBER("cabcrmsqlrs1 CABReportingCubes Local Financial Snapshot","[AIC Outcome].[Advice Area].&amp;[Education]")</f>
        <v>Education</v>
      </c>
      <c r="AB50" s="213" vm="1873">
        <f t="shared" ref="AB50:AD63" si="9">IF(CUBEVALUE("cabcrmsqlrs1 CABReportingCubes Local Financial Snapshot",$AB$13,$AB$14,$AB$15,$AB$16,$AA50,AB$18)="",0,CUBEVALUE("cabcrmsqlrs1 CABReportingCubes Local Financial Snapshot",$AB$13,$AB$14,$AB$15,$AB$16,$AA50,AB$18))</f>
        <v>600</v>
      </c>
      <c r="AC50" s="214" vm="2003">
        <f t="shared" si="9"/>
        <v>3</v>
      </c>
      <c r="AD50" s="214" vm="2602">
        <f t="shared" si="9"/>
        <v>2</v>
      </c>
    </row>
    <row r="51" spans="2:38" s="157" customFormat="1" ht="15.6">
      <c r="B51" s="161" t="s">
        <v>126</v>
      </c>
      <c r="C51" s="160" t="s" vm="525">
        <v>121</v>
      </c>
      <c r="D51" s="160" t="s" vm="522">
        <v>6</v>
      </c>
      <c r="E51" s="160" t="s">
        <v>155</v>
      </c>
      <c r="AA51" s="186" t="str" vm="858">
        <f>CUBEMEMBER("cabcrmsqlrs1 CABReportingCubes Local Financial Snapshot","[AIC Outcome].[Advice Area].&amp;[Employment]")</f>
        <v>Employment</v>
      </c>
      <c r="AB51" s="213" vm="1703">
        <f t="shared" si="9"/>
        <v>14595.65</v>
      </c>
      <c r="AC51" s="214" vm="2094">
        <f t="shared" si="9"/>
        <v>17</v>
      </c>
      <c r="AD51" s="214" vm="2610">
        <f t="shared" si="9"/>
        <v>10</v>
      </c>
      <c r="AG51" s="152" t="s">
        <v>152</v>
      </c>
      <c r="AH51" s="152" t="s" vm="859">
        <v>7</v>
      </c>
      <c r="AI51" s="152" t="s" vm="869">
        <v>9</v>
      </c>
      <c r="AJ51" s="219" t="s" vm="858">
        <v>10</v>
      </c>
      <c r="AK51" s="219" t="s" vm="863">
        <v>11</v>
      </c>
      <c r="AL51" s="220" t="s">
        <v>13</v>
      </c>
    </row>
    <row r="52" spans="2:38">
      <c r="B52" s="146" t="str" vm="859">
        <f>CUBEMEMBER("cabcrmsqlrs1 CABReportingCubes Local Financial Snapshot","[AIC Outcome].[Advice Area].&amp;[Benefits &amp; tax credits]")</f>
        <v>Benefits &amp; tax credits</v>
      </c>
      <c r="C52" s="147" vm="2207">
        <f t="shared" ref="C52:D54" si="10">AC19</f>
        <v>449</v>
      </c>
      <c r="D52" s="147" vm="2696">
        <f t="shared" si="10"/>
        <v>244</v>
      </c>
      <c r="E52" s="159">
        <f>IF(ISERROR(C52/D52),0,C52/D52)</f>
        <v>1.8401639344262295</v>
      </c>
      <c r="AA52" s="29" t="str" vm="874">
        <f>CUBEMEMBER("cabcrmsqlrs1 CABReportingCubes Local Financial Snapshot","[AIC Outcome].[Advice Area].&amp;[Financial services &amp; capability]")</f>
        <v>Financial services &amp; capability</v>
      </c>
      <c r="AB52" s="213" vm="1830">
        <f t="shared" si="9"/>
        <v>15891.359999999997</v>
      </c>
      <c r="AC52" s="214" vm="2059">
        <f t="shared" si="9"/>
        <v>78</v>
      </c>
      <c r="AD52" s="214" vm="2609">
        <f t="shared" si="9"/>
        <v>74</v>
      </c>
      <c r="AG52" s="152" t="s" vm="871">
        <v>147</v>
      </c>
      <c r="AH52" s="221">
        <f>IF(AH13="",0,AH13)</f>
        <v>0</v>
      </c>
      <c r="AI52" s="221" vm="2013">
        <f>IF(AJ13="",0,AJ13)</f>
        <v>1248785.0500000003</v>
      </c>
      <c r="AJ52" s="221">
        <f>IF(AL13="",0,AL13)</f>
        <v>0</v>
      </c>
      <c r="AK52" s="221">
        <f>IF(AO13="",0,AO13)</f>
        <v>0</v>
      </c>
      <c r="AL52" s="221">
        <f>IF(ISERROR(AX13-SUM(AH52:AK52)),0,AX13-SUM(AH52:AK52))</f>
        <v>0</v>
      </c>
    </row>
    <row r="53" spans="2:38">
      <c r="B53" s="146" t="str" vm="875">
        <f>CUBEMEMBER("cabcrmsqlrs1 CABReportingCubes Local Financial Snapshot","[AIC Outcome].[Advice Area].&amp;[Consumer goods &amp; services]")</f>
        <v>Consumer goods &amp; services</v>
      </c>
      <c r="C53" s="147" vm="2271">
        <f t="shared" si="10"/>
        <v>9</v>
      </c>
      <c r="D53" s="147" vm="2598">
        <f t="shared" si="10"/>
        <v>5</v>
      </c>
      <c r="E53" s="159">
        <f t="shared" ref="E53:E67" si="11">IF(ISERROR(C53/D53),0,C53/D53)</f>
        <v>1.8</v>
      </c>
      <c r="AA53" s="29" t="str" vm="868">
        <f>CUBEMEMBER("cabcrmsqlrs1 CABReportingCubes Local Financial Snapshot","[AIC Outcome].[Advice Area].&amp;[Health &amp; community care]")</f>
        <v>Health &amp; community care</v>
      </c>
      <c r="AB53" s="213" vm="1939">
        <f t="shared" si="9"/>
        <v>391</v>
      </c>
      <c r="AC53" s="214" vm="2058">
        <f t="shared" si="9"/>
        <v>34</v>
      </c>
      <c r="AD53" s="214" vm="2167">
        <f t="shared" si="9"/>
        <v>22</v>
      </c>
      <c r="AG53" s="152" t="s" vm="865">
        <v>148</v>
      </c>
      <c r="AH53" s="221" vm="2086">
        <f>IF(AH14="",0,AH14)</f>
        <v>1531540.5800000003</v>
      </c>
      <c r="AI53" s="221" vm="1996">
        <f>IF(AJ14="",0,AJ14)</f>
        <v>572</v>
      </c>
      <c r="AJ53" s="221" vm="2532">
        <f>IF(AL14="",0,AL14)</f>
        <v>14595.65</v>
      </c>
      <c r="AK53" s="221">
        <f>IF(AO14="",0,AO14)</f>
        <v>0</v>
      </c>
      <c r="AL53" s="221">
        <f>IF(ISERROR(AX14-SUM(AH53:AK53)),0,AX14-SUM(AH53:AK53))</f>
        <v>215358.52000000025</v>
      </c>
    </row>
    <row r="54" spans="2:38">
      <c r="B54" s="146" t="str" vm="869">
        <f>CUBEMEMBER("cabcrmsqlrs1 CABReportingCubes Local Financial Snapshot","[AIC Outcome].[Advice Area].&amp;[Debt]")</f>
        <v>Debt</v>
      </c>
      <c r="C54" s="147" vm="2181">
        <f t="shared" si="10"/>
        <v>434</v>
      </c>
      <c r="D54" s="147" vm="2601">
        <f t="shared" si="10"/>
        <v>335</v>
      </c>
      <c r="E54" s="159">
        <f t="shared" si="11"/>
        <v>1.2955223880597015</v>
      </c>
      <c r="AA54" s="29" t="str" vm="863">
        <f>CUBEMEMBER("cabcrmsqlrs1 CABReportingCubes Local Financial Snapshot","[AIC Outcome].[Advice Area].&amp;[Housing]")</f>
        <v>Housing</v>
      </c>
      <c r="AB54" s="213" vm="1692">
        <f t="shared" si="9"/>
        <v>2656</v>
      </c>
      <c r="AC54" s="214" vm="2002">
        <f t="shared" si="9"/>
        <v>37</v>
      </c>
      <c r="AD54" s="214" vm="2603">
        <f t="shared" si="9"/>
        <v>30</v>
      </c>
      <c r="AG54" s="152" t="s" vm="854">
        <v>149</v>
      </c>
      <c r="AH54" s="221">
        <f>IF(AH16="",0,AH16)</f>
        <v>0</v>
      </c>
      <c r="AI54" s="221">
        <f>IF(AJ16="",0,AJ16)</f>
        <v>0</v>
      </c>
      <c r="AJ54" s="221">
        <f>IF(AL16="",0,AL16)</f>
        <v>0</v>
      </c>
      <c r="AK54" s="221" vm="2342">
        <f>IF(AO16="",0,AO16)</f>
        <v>2656</v>
      </c>
      <c r="AL54" s="221">
        <f>IF(ISERROR(AX16-SUM(AH54:AK54)),0,AX16-SUM(AH54:AK54))</f>
        <v>9016.2000000000007</v>
      </c>
    </row>
    <row r="55" spans="2:38">
      <c r="B55" s="146" t="str" vm="864">
        <f>CUBEMEMBER("cabcrmsqlrs1 CABReportingCubes Local Financial Snapshot","[AIC Outcome].[Advice Area].&amp;[Education]")</f>
        <v>Education</v>
      </c>
      <c r="C55" s="147" vm="2003">
        <f t="shared" ref="C55:C66" si="12">AC50</f>
        <v>3</v>
      </c>
      <c r="D55" s="147" vm="2602">
        <f t="shared" ref="D55:D66" si="13">AD50</f>
        <v>2</v>
      </c>
      <c r="E55" s="159">
        <f t="shared" si="11"/>
        <v>1.5</v>
      </c>
      <c r="AA55" s="29" t="str" vm="857">
        <f>CUBEMEMBER("cabcrmsqlrs1 CABReportingCubes Local Financial Snapshot","[AIC Outcome].[Advice Area].&amp;[Immigration &amp; asylum]")</f>
        <v>Immigration &amp; asylum</v>
      </c>
      <c r="AB55" s="213">
        <f t="shared" si="9"/>
        <v>0</v>
      </c>
      <c r="AC55" s="214">
        <f t="shared" si="9"/>
        <v>0</v>
      </c>
      <c r="AD55" s="214">
        <f t="shared" si="9"/>
        <v>0</v>
      </c>
      <c r="AG55" s="152" t="s" vm="870">
        <v>150</v>
      </c>
      <c r="AH55" s="221">
        <f>IF(AH17="",0,AH17)</f>
        <v>0</v>
      </c>
      <c r="AI55" s="221" vm="1610">
        <f>IF(AJ17="",0,AJ17)</f>
        <v>3468</v>
      </c>
      <c r="AJ55" s="221">
        <f>IF(AL17="",0,AL17)</f>
        <v>0</v>
      </c>
      <c r="AK55" s="221">
        <f>IF(AO17="",0,AO17)</f>
        <v>0</v>
      </c>
      <c r="AL55" s="221">
        <f>IF(ISERROR(AX17-SUM(AH55:AK55)),0,AX17-SUM(AH55:AK55))</f>
        <v>0</v>
      </c>
    </row>
    <row r="56" spans="2:38">
      <c r="B56" s="146" t="str" vm="858">
        <f>CUBEMEMBER("cabcrmsqlrs1 CABReportingCubes Local Financial Snapshot","[AIC Outcome].[Advice Area].&amp;[Employment]")</f>
        <v>Employment</v>
      </c>
      <c r="C56" s="147" vm="2094">
        <f t="shared" si="12"/>
        <v>17</v>
      </c>
      <c r="D56" s="147" vm="2610">
        <f t="shared" si="13"/>
        <v>10</v>
      </c>
      <c r="E56" s="159">
        <f t="shared" si="11"/>
        <v>1.7</v>
      </c>
      <c r="AA56" s="29" t="str" vm="873">
        <f>CUBEMEMBER("cabcrmsqlrs1 CABReportingCubes Local Financial Snapshot","[AIC Outcome].[Advice Area].&amp;[Legal]")</f>
        <v>Legal</v>
      </c>
      <c r="AB56" s="213" vm="1795">
        <f t="shared" si="9"/>
        <v>15000</v>
      </c>
      <c r="AC56" s="214" vm="2004">
        <f t="shared" si="9"/>
        <v>13</v>
      </c>
      <c r="AD56" s="214" vm="2599">
        <f t="shared" si="9"/>
        <v>9</v>
      </c>
    </row>
    <row r="57" spans="2:38">
      <c r="B57" s="146" t="str" vm="874">
        <f>CUBEMEMBER("cabcrmsqlrs1 CABReportingCubes Local Financial Snapshot","[AIC Outcome].[Advice Area].&amp;[Financial services &amp; capability]")</f>
        <v>Financial services &amp; capability</v>
      </c>
      <c r="C57" s="147" vm="2059">
        <f t="shared" si="12"/>
        <v>78</v>
      </c>
      <c r="D57" s="147" vm="2609">
        <f t="shared" si="13"/>
        <v>74</v>
      </c>
      <c r="E57" s="159">
        <f t="shared" si="11"/>
        <v>1.0540540540540539</v>
      </c>
      <c r="AA57" s="29" t="str" vm="862">
        <f>CUBEMEMBER("cabcrmsqlrs1 CABReportingCubes Local Financial Snapshot","[AIC Outcome].[Advice Area].&amp;[Other]")</f>
        <v>Other</v>
      </c>
      <c r="AB57" s="213" vm="1580">
        <f t="shared" si="9"/>
        <v>104198.3</v>
      </c>
      <c r="AC57" s="214" vm="2206">
        <f t="shared" si="9"/>
        <v>127</v>
      </c>
      <c r="AD57" s="214" vm="2608">
        <f t="shared" si="9"/>
        <v>105</v>
      </c>
      <c r="AG57" s="152" t="s">
        <v>152</v>
      </c>
      <c r="AH57" s="152" t="s" vm="859">
        <v>7</v>
      </c>
      <c r="AI57" s="152" t="s" vm="869">
        <v>9</v>
      </c>
      <c r="AJ57" s="222" t="s">
        <v>13</v>
      </c>
    </row>
    <row r="58" spans="2:38">
      <c r="B58" s="146" t="str" vm="868">
        <f>CUBEMEMBER("cabcrmsqlrs1 CABReportingCubes Local Financial Snapshot","[AIC Outcome].[Advice Area].&amp;[Health &amp; community care]")</f>
        <v>Health &amp; community care</v>
      </c>
      <c r="C58" s="147" vm="2058">
        <f t="shared" si="12"/>
        <v>34</v>
      </c>
      <c r="D58" s="147" vm="2167">
        <f t="shared" si="13"/>
        <v>22</v>
      </c>
      <c r="E58" s="159">
        <f t="shared" si="11"/>
        <v>1.5454545454545454</v>
      </c>
      <c r="AA58" s="29" t="str" vm="856">
        <f>CUBEMEMBER("cabcrmsqlrs1 CABReportingCubes Local Financial Snapshot","[AIC Outcome].[Advice Area].&amp;[Relationships &amp; family]")</f>
        <v>Relationships &amp; family</v>
      </c>
      <c r="AB58" s="213" vm="2145">
        <f t="shared" si="9"/>
        <v>6240</v>
      </c>
      <c r="AC58" s="214" vm="2095">
        <f t="shared" si="9"/>
        <v>8</v>
      </c>
      <c r="AD58" s="214" vm="2159">
        <f t="shared" si="9"/>
        <v>7</v>
      </c>
      <c r="AG58" s="152" t="s" vm="871">
        <v>147</v>
      </c>
      <c r="AH58" s="221">
        <f>AH52</f>
        <v>0</v>
      </c>
      <c r="AI58" s="221" vm="2013">
        <f>AI52</f>
        <v>1248785.0500000003</v>
      </c>
      <c r="AJ58" s="212">
        <f>SUM(AJ52:AL52)</f>
        <v>0</v>
      </c>
    </row>
    <row r="59" spans="2:38">
      <c r="B59" s="146" t="str" vm="863">
        <f>CUBEMEMBER("cabcrmsqlrs1 CABReportingCubes Local Financial Snapshot","[AIC Outcome].[Advice Area].&amp;[Housing]")</f>
        <v>Housing</v>
      </c>
      <c r="C59" s="147" vm="2002">
        <f t="shared" si="12"/>
        <v>37</v>
      </c>
      <c r="D59" s="147" vm="2603">
        <f t="shared" si="13"/>
        <v>30</v>
      </c>
      <c r="E59" s="159">
        <f t="shared" si="11"/>
        <v>1.2333333333333334</v>
      </c>
      <c r="AA59" s="29" t="str" vm="528">
        <f>CUBEMEMBER("cabcrmsqlrs1 CABReportingCubes Local Financial Snapshot","[AIC Outcome].[AIC Part1].&amp;[Tax]")</f>
        <v>Tax</v>
      </c>
      <c r="AB59" s="213" vm="2240">
        <f t="shared" si="9"/>
        <v>3684.2</v>
      </c>
      <c r="AC59" s="214" vm="2548">
        <f t="shared" si="9"/>
        <v>16</v>
      </c>
      <c r="AD59" s="214" vm="2600">
        <f t="shared" si="9"/>
        <v>15</v>
      </c>
      <c r="AG59" s="152" t="s" vm="865">
        <v>148</v>
      </c>
      <c r="AH59" s="221" vm="2086">
        <f t="shared" ref="AH59:AI61" si="14">AH53</f>
        <v>1531540.5800000003</v>
      </c>
      <c r="AI59" s="221" vm="1996">
        <f t="shared" si="14"/>
        <v>572</v>
      </c>
      <c r="AJ59" s="212">
        <f t="shared" ref="AJ59:AJ61" si="15">SUM(AJ53:AL53)</f>
        <v>229954.17000000025</v>
      </c>
    </row>
    <row r="60" spans="2:38">
      <c r="B60" s="146" t="str" vm="857">
        <f>CUBEMEMBER("cabcrmsqlrs1 CABReportingCubes Local Financial Snapshot","[AIC Outcome].[Advice Area].&amp;[Immigration &amp; asylum]")</f>
        <v>Immigration &amp; asylum</v>
      </c>
      <c r="C60" s="147">
        <f t="shared" si="12"/>
        <v>0</v>
      </c>
      <c r="D60" s="147">
        <f t="shared" si="13"/>
        <v>0</v>
      </c>
      <c r="E60" s="159">
        <f t="shared" si="11"/>
        <v>0</v>
      </c>
      <c r="AA60" s="29" t="str" vm="866">
        <f>CUBEMEMBER("cabcrmsqlrs1 CABReportingCubes Local Financial Snapshot","[AIC Outcome].[Advice Area].&amp;[Travel &amp; transport]")</f>
        <v>Travel &amp; transport</v>
      </c>
      <c r="AB60" s="213" vm="1677">
        <f t="shared" si="9"/>
        <v>2003.85</v>
      </c>
      <c r="AC60" s="214" vm="2208">
        <f t="shared" si="9"/>
        <v>11</v>
      </c>
      <c r="AD60" s="214" vm="2604">
        <f t="shared" si="9"/>
        <v>8</v>
      </c>
      <c r="AG60" s="152" t="s" vm="854">
        <v>149</v>
      </c>
      <c r="AH60" s="221">
        <f t="shared" si="14"/>
        <v>0</v>
      </c>
      <c r="AI60" s="221">
        <f t="shared" si="14"/>
        <v>0</v>
      </c>
      <c r="AJ60" s="212">
        <f t="shared" si="15"/>
        <v>11672.2</v>
      </c>
    </row>
    <row r="61" spans="2:38">
      <c r="B61" s="146" t="str" vm="873">
        <f>CUBEMEMBER("cabcrmsqlrs1 CABReportingCubes Local Financial Snapshot","[AIC Outcome].[Advice Area].&amp;[Legal]")</f>
        <v>Legal</v>
      </c>
      <c r="C61" s="147" vm="2004">
        <f t="shared" si="12"/>
        <v>13</v>
      </c>
      <c r="D61" s="147" vm="2599">
        <f t="shared" si="13"/>
        <v>9</v>
      </c>
      <c r="E61" s="159">
        <f t="shared" si="11"/>
        <v>1.4444444444444444</v>
      </c>
      <c r="AA61" s="29" t="str" vm="861">
        <f>CUBEMEMBER("cabcrmsqlrs1 CABReportingCubes Local Financial Snapshot","[AIC Outcome].[Advice Area].&amp;[Utilities &amp; communications]")</f>
        <v>Utilities &amp; communications</v>
      </c>
      <c r="AB61" s="213" vm="2183">
        <f t="shared" si="9"/>
        <v>21458.68</v>
      </c>
      <c r="AC61" s="214" vm="2546">
        <f t="shared" si="9"/>
        <v>55</v>
      </c>
      <c r="AD61" s="214" vm="2605">
        <f t="shared" si="9"/>
        <v>47</v>
      </c>
      <c r="AG61" s="152" t="s" vm="870">
        <v>150</v>
      </c>
      <c r="AH61" s="221">
        <f t="shared" si="14"/>
        <v>0</v>
      </c>
      <c r="AI61" s="221" vm="1610">
        <f t="shared" si="14"/>
        <v>3468</v>
      </c>
      <c r="AJ61" s="212">
        <f t="shared" si="15"/>
        <v>0</v>
      </c>
    </row>
    <row r="62" spans="2:38">
      <c r="B62" s="146" t="str" vm="862">
        <f>CUBEMEMBER("cabcrmsqlrs1 CABReportingCubes Local Financial Snapshot","[AIC Outcome].[Advice Area].&amp;[Other]")</f>
        <v>Other</v>
      </c>
      <c r="C62" s="147" vm="2206">
        <f t="shared" si="12"/>
        <v>127</v>
      </c>
      <c r="D62" s="147" vm="2608">
        <f t="shared" si="13"/>
        <v>105</v>
      </c>
      <c r="E62" s="159">
        <f t="shared" si="11"/>
        <v>1.2095238095238094</v>
      </c>
      <c r="AA62" s="29" t="str" vm="855">
        <f>CUBEMEMBER("cabcrmsqlrs1 CABReportingCubes Local Financial Snapshot","[AIC Outcome].[Advice Area].[All]","Grand Total")</f>
        <v>Grand Total</v>
      </c>
      <c r="AB62" s="213" vm="2139">
        <f t="shared" si="9"/>
        <v>3163972.16</v>
      </c>
      <c r="AC62" s="214" vm="2547">
        <f t="shared" si="9"/>
        <v>1292</v>
      </c>
      <c r="AD62" s="214" vm="2607">
        <f t="shared" si="9"/>
        <v>706</v>
      </c>
    </row>
    <row r="63" spans="2:38">
      <c r="B63" s="146" t="str" vm="856">
        <f>CUBEMEMBER("cabcrmsqlrs1 CABReportingCubes Local Financial Snapshot","[AIC Outcome].[Advice Area].&amp;[Relationships &amp; family]")</f>
        <v>Relationships &amp; family</v>
      </c>
      <c r="C63" s="147" vm="2095">
        <f t="shared" si="12"/>
        <v>8</v>
      </c>
      <c r="D63" s="147" vm="2159">
        <f t="shared" si="13"/>
        <v>7</v>
      </c>
      <c r="E63" s="159">
        <f t="shared" si="11"/>
        <v>1.1428571428571428</v>
      </c>
      <c r="AA63" s="29" t="str" vm="946">
        <f>CUBEMEMBER("cabcrmsqlrs1 CABReportingCubes Local Financial Snapshot","[AIC Outcome].[Advice Area].&amp;[Discrimination]")</f>
        <v>Discrimination</v>
      </c>
      <c r="AB63" s="213" vm="2166">
        <f t="shared" si="9"/>
        <v>65000</v>
      </c>
      <c r="AC63" s="214" vm="2545">
        <f t="shared" si="9"/>
        <v>1</v>
      </c>
      <c r="AD63" s="214" vm="2606">
        <f t="shared" si="9"/>
        <v>1</v>
      </c>
    </row>
    <row r="64" spans="2:38">
      <c r="B64" s="146" t="str" vm="872">
        <f>CUBEMEMBER("cabcrmsqlrs1 CABReportingCubes Local Financial Snapshot","[AIC Outcome].[Advice Area].&amp;[Tax]")</f>
        <v>Tax</v>
      </c>
      <c r="C64" s="147" vm="2548">
        <f t="shared" si="12"/>
        <v>16</v>
      </c>
      <c r="D64" s="147" vm="2600">
        <f t="shared" si="13"/>
        <v>15</v>
      </c>
      <c r="E64" s="159">
        <f t="shared" si="11"/>
        <v>1.0666666666666667</v>
      </c>
    </row>
    <row r="65" spans="2:87">
      <c r="B65" s="146" t="str" vm="866">
        <f>CUBEMEMBER("cabcrmsqlrs1 CABReportingCubes Local Financial Snapshot","[AIC Outcome].[Advice Area].&amp;[Travel &amp; transport]")</f>
        <v>Travel &amp; transport</v>
      </c>
      <c r="C65" s="147" vm="2208">
        <f t="shared" si="12"/>
        <v>11</v>
      </c>
      <c r="D65" s="147" vm="2604">
        <f t="shared" si="13"/>
        <v>8</v>
      </c>
      <c r="E65" s="159">
        <f t="shared" si="11"/>
        <v>1.375</v>
      </c>
    </row>
    <row r="66" spans="2:87">
      <c r="B66" s="146" t="str" vm="861">
        <f>CUBEMEMBER("cabcrmsqlrs1 CABReportingCubes Local Financial Snapshot","[AIC Outcome].[Advice Area].&amp;[Utilities &amp; communications]")</f>
        <v>Utilities &amp; communications</v>
      </c>
      <c r="C66" s="147" vm="2546">
        <f t="shared" si="12"/>
        <v>55</v>
      </c>
      <c r="D66" s="147" vm="2605">
        <f t="shared" si="13"/>
        <v>47</v>
      </c>
      <c r="E66" s="159">
        <f t="shared" si="11"/>
        <v>1.1702127659574468</v>
      </c>
    </row>
    <row r="67" spans="2:87">
      <c r="B67" s="146" t="str" vm="946">
        <f>CUBEMEMBER("cabcrmsqlrs1 CABReportingCubes Local Financial Snapshot","[AIC Outcome].[Advice Area].&amp;[Discrimination]")</f>
        <v>Discrimination</v>
      </c>
      <c r="C67" s="147" vm="2545">
        <f>AC63</f>
        <v>1</v>
      </c>
      <c r="D67" s="147" vm="2606">
        <f>AD63</f>
        <v>1</v>
      </c>
      <c r="E67" s="159">
        <f t="shared" si="11"/>
        <v>1</v>
      </c>
    </row>
    <row r="68" spans="2:87" ht="15.6">
      <c r="B68" s="162" t="s">
        <v>34</v>
      </c>
      <c r="C68" s="163" vm="2547">
        <f>AC62</f>
        <v>1292</v>
      </c>
      <c r="D68" s="163" vm="2607">
        <f>AD62</f>
        <v>706</v>
      </c>
      <c r="E68" s="165">
        <f>IF(ISERROR(C68/D68),0,C68/D68)</f>
        <v>1.8300283286118981</v>
      </c>
    </row>
    <row r="69" spans="2:87">
      <c r="C69" s="223"/>
    </row>
    <row r="70" spans="2:87">
      <c r="C70" s="223"/>
    </row>
    <row r="71" spans="2:87" ht="21">
      <c r="B71" s="126" t="s">
        <v>160</v>
      </c>
    </row>
    <row r="72" spans="2:87" hidden="1"/>
    <row r="73" spans="2:87" hidden="1"/>
    <row r="74" spans="2:87" hidden="1"/>
    <row r="75" spans="2:87" hidden="1">
      <c r="CH75" s="23" t="s">
        <v>0</v>
      </c>
      <c r="CI75" s="23" t="str" vm="878">
        <f>CUBEMEMBER("cabcrmsqlrs1 CABReportingCubes Local Advice Event","[Advice Event Type].[Advice Event Type].&amp;[Enquiry AIC/Outcome Creation]")</f>
        <v>Enquiry AIC/Outcome Creation</v>
      </c>
    </row>
    <row r="76" spans="2:87" hidden="1">
      <c r="CH76" s="23" t="s">
        <v>143</v>
      </c>
      <c r="CI76" s="23" t="str" vm="959">
        <f>'Enter Parameters'!D17</f>
        <v>York (member)</v>
      </c>
    </row>
    <row r="77" spans="2:87" hidden="1">
      <c r="B77" s="23" t="s">
        <v>143</v>
      </c>
      <c r="C77" s="23" t="str" vm="959">
        <f>'Enter Parameters'!D17</f>
        <v>York (member)</v>
      </c>
      <c r="CH77" s="23" t="s">
        <v>3</v>
      </c>
      <c r="CI77" s="23" t="str" vm="949">
        <f>'Enter Parameters'!D18</f>
        <v>2016-17</v>
      </c>
    </row>
    <row r="78" spans="2:87" hidden="1">
      <c r="B78" s="23" t="s">
        <v>122</v>
      </c>
      <c r="C78" s="23" t="str" vm="950">
        <f>'Enter Parameters'!D24</f>
        <v>2016-17</v>
      </c>
      <c r="CH78" s="23" t="s">
        <v>21</v>
      </c>
      <c r="CI78" s="23" t="str" vm="941">
        <f>'Enter Parameters'!D19</f>
        <v>All</v>
      </c>
    </row>
    <row r="79" spans="2:87" hidden="1">
      <c r="B79" s="23" t="s">
        <v>123</v>
      </c>
      <c r="C79" s="23" t="str" vm="942">
        <f>'Enter Parameters'!D25</f>
        <v>All</v>
      </c>
    </row>
    <row r="80" spans="2:87" hidden="1">
      <c r="B80" s="23" t="s">
        <v>21</v>
      </c>
      <c r="C80" s="23" t="str" vm="941">
        <f>'Enter Parameters'!D19</f>
        <v>All</v>
      </c>
      <c r="CH80" s="23" t="str" vm="15">
        <f>CUBEMEMBER("cabcrmsqlrs1 CABReportingCubes Local Advice Event","[Measures].[Number of Advice Events]")</f>
        <v>Number of Advice Events</v>
      </c>
    </row>
    <row r="81" spans="2:86">
      <c r="CH81" s="23" vm="1343">
        <f>IF(CUBEVALUE("cabcrmsqlrs1 CABReportingCubes Local Advice Event",$CI$75,$CI$76,$CI$77,$CI$78,$CH$80)="",0,CUBEVALUE("cabcrmsqlrs1 CABReportingCubes Local Advice Event",$CI$75,$CI$76,$CI$77,$CI$78,$CH$80))</f>
        <v>10804</v>
      </c>
    </row>
    <row r="82" spans="2:86" ht="31.2">
      <c r="B82" s="224" t="s">
        <v>127</v>
      </c>
      <c r="C82" s="224" t="s">
        <v>128</v>
      </c>
      <c r="D82" s="224" t="str" vm="525">
        <f>CUBEMEMBER("cabcrmsqlrs1 CABReportingCubes Local Financial Snapshot","[Measures].[Number of Outcomes]")</f>
        <v>Number of Outcomes</v>
      </c>
      <c r="E82" s="224" t="str" vm="522">
        <f>CUBEMEMBER("cabcrmsqlrs1 CABReportingCubes Local Financial Snapshot","[Measures].[Unique Client Count]")</f>
        <v>Unique Client Count</v>
      </c>
      <c r="F82" s="224" t="str" vm="527">
        <f>CUBEMEMBER("cabcrmsqlrs1 CABReportingCubes Local Financial Snapshot","[Measures].[Annualised Value]")</f>
        <v>Annualised Value</v>
      </c>
    </row>
    <row r="83" spans="2:86">
      <c r="B83" s="152" t="str" vm="536">
        <f t="shared" ref="B83:B146" si="16">CUBEMEMBER("cabcrmsqlrs1 CABReportingCubes Local Financial Snapshot","[AIC Outcome].[Type Of Outcome].&amp;[Core]")</f>
        <v>Core</v>
      </c>
      <c r="C83" s="152" t="str" vm="770">
        <f>CUBEMEMBER("cabcrmsqlrs1 CABReportingCubes Local Financial Snapshot",{"[AIC Outcome].[Type Of Outcome].&amp;[Core]","[AIC Outcome].[Outcome].&amp;[Able to access / engage in community activities]"})</f>
        <v>Able to access / engage in community activities</v>
      </c>
      <c r="D83" s="152" vm="2147">
        <f t="shared" ref="D83:F102" si="17">CUBEVALUE("cabcrmsqlrs1 CABReportingCubes Local Financial Snapshot",$C$77,$C$78,$C$79,$C$80,$C83,D$82)</f>
        <v>12</v>
      </c>
      <c r="E83" s="152" vm="2718">
        <f t="shared" si="17"/>
        <v>10</v>
      </c>
      <c r="F83" s="212" vm="1648">
        <f t="shared" si="17"/>
        <v>0</v>
      </c>
    </row>
    <row r="84" spans="2:86">
      <c r="B84" s="152" t="str" vm="536">
        <f t="shared" si="16"/>
        <v>Core</v>
      </c>
      <c r="C84" s="152" t="str" vm="851">
        <f>CUBEMEMBER("cabcrmsqlrs1 CABReportingCubes Local Financial Snapshot",{"[AIC Outcome].[Type Of Outcome].&amp;[Core]","[AIC Outcome].[Outcome].&amp;[Able to participate in chosen training and/or education]"})</f>
        <v>Able to participate in chosen training and/or education</v>
      </c>
      <c r="D84" s="152" t="str" vm="2637">
        <f t="shared" si="17"/>
        <v/>
      </c>
      <c r="E84" s="152" t="str" vm="2636">
        <f t="shared" si="17"/>
        <v/>
      </c>
      <c r="F84" s="212" t="str" vm="2635">
        <f t="shared" si="17"/>
        <v/>
      </c>
    </row>
    <row r="85" spans="2:86">
      <c r="B85" s="152" t="str" vm="536">
        <f t="shared" si="16"/>
        <v>Core</v>
      </c>
      <c r="C85" s="152" t="str" vm="713">
        <f>CUBEMEMBER("cabcrmsqlrs1 CABReportingCubes Local Financial Snapshot",{"[AIC Outcome].[Type Of Outcome].&amp;[Core]","[AIC Outcome].[Outcome].&amp;[Action taken to redress under-occupation]"})</f>
        <v>Action taken to redress under-occupation</v>
      </c>
      <c r="D85" s="152" t="str" vm="2447">
        <f t="shared" si="17"/>
        <v/>
      </c>
      <c r="E85" s="152" t="str" vm="1554">
        <f t="shared" si="17"/>
        <v/>
      </c>
      <c r="F85" s="212" t="str" vm="1770">
        <f t="shared" si="17"/>
        <v/>
      </c>
    </row>
    <row r="86" spans="2:86">
      <c r="B86" s="152" t="str" vm="536">
        <f t="shared" si="16"/>
        <v>Core</v>
      </c>
      <c r="C86" s="152" t="str" vm="794">
        <f>CUBEMEMBER("cabcrmsqlrs1 CABReportingCubes Local Financial Snapshot",{"[AIC Outcome].[Type Of Outcome].&amp;[Core]","[AIC Outcome].[Outcome].&amp;[Administration / Composition order]"})</f>
        <v>Administration / Composition order</v>
      </c>
      <c r="D86" s="152" t="str" vm="1876">
        <f t="shared" si="17"/>
        <v/>
      </c>
      <c r="E86" s="152" t="str" vm="1759">
        <f t="shared" si="17"/>
        <v/>
      </c>
      <c r="F86" s="212" t="str" vm="1769">
        <f t="shared" si="17"/>
        <v/>
      </c>
    </row>
    <row r="87" spans="2:86">
      <c r="B87" s="152" t="str" vm="536">
        <f t="shared" si="16"/>
        <v>Core</v>
      </c>
      <c r="C87" s="152" t="str" vm="915">
        <f>CUBEMEMBER("cabcrmsqlrs1 CABReportingCubes Local Financial Snapshot",{"[AIC Outcome].[Type Of Outcome].&amp;[Core]","[AIC Outcome].[Outcome].&amp;[Administration order only]"})</f>
        <v>Administration order only</v>
      </c>
      <c r="D87" s="152" vm="1973">
        <f t="shared" si="17"/>
        <v>1</v>
      </c>
      <c r="E87" s="152" vm="1527">
        <f t="shared" si="17"/>
        <v>1</v>
      </c>
      <c r="F87" s="212" vm="1654">
        <f t="shared" si="17"/>
        <v>0</v>
      </c>
      <c r="AA87" s="23" t="s">
        <v>4</v>
      </c>
      <c r="AB87" s="23" t="str" vm="959">
        <f>'Enter Parameters'!D17</f>
        <v>York (member)</v>
      </c>
    </row>
    <row r="88" spans="2:86">
      <c r="B88" s="152" t="str" vm="536">
        <f t="shared" si="16"/>
        <v>Core</v>
      </c>
      <c r="C88" s="152" t="str" vm="940">
        <f>CUBEMEMBER("cabcrmsqlrs1 CABReportingCubes Local Financial Snapshot",{"[AIC Outcome].[Type Of Outcome].&amp;[Core]","[AIC Outcome].[Outcome].&amp;[Administration order with composition order]"})</f>
        <v>Administration order with composition order</v>
      </c>
      <c r="D88" s="152" t="str" vm="1902">
        <f t="shared" si="17"/>
        <v/>
      </c>
      <c r="E88" s="152" t="str" vm="2092">
        <f t="shared" si="17"/>
        <v/>
      </c>
      <c r="F88" s="212" t="str" vm="2270">
        <f t="shared" si="17"/>
        <v/>
      </c>
      <c r="AA88" s="23" t="s">
        <v>122</v>
      </c>
      <c r="AB88" s="23" t="str" vm="853">
        <f>CUBEMEMBER("cabcrmsqlrs1 CABReportingCubes Local Financial Snapshot","[Monthly Calendar Outcome Date].[Financial].[Year].&amp;[2013-14]")</f>
        <v>2013-14</v>
      </c>
    </row>
    <row r="89" spans="2:86">
      <c r="B89" s="152" t="str" vm="536">
        <f t="shared" si="16"/>
        <v>Core</v>
      </c>
      <c r="C89" s="152" t="str" vm="769">
        <f>CUBEMEMBER("cabcrmsqlrs1 CABReportingCubes Local Financial Snapshot",{"[AIC Outcome].[Type Of Outcome].&amp;[Core]","[AIC Outcome].[Outcome].&amp;[Admission appeal - successful]"})</f>
        <v>Admission appeal - successful</v>
      </c>
      <c r="D89" s="152" t="str" vm="2511">
        <f t="shared" si="17"/>
        <v/>
      </c>
      <c r="E89" s="152" t="str" vm="2510">
        <f t="shared" si="17"/>
        <v/>
      </c>
      <c r="F89" s="212" t="str" vm="2187">
        <f t="shared" si="17"/>
        <v/>
      </c>
      <c r="AA89" s="23" t="s">
        <v>123</v>
      </c>
      <c r="AB89" s="23" t="str" vm="524">
        <f>CUBEMEMBER("cabcrmsqlrs1 CABReportingCubes Local Financial Snapshot","[Monthly Calendar Enquiry Created].[Financial].[All]")</f>
        <v>All</v>
      </c>
    </row>
    <row r="90" spans="2:86">
      <c r="B90" s="152" t="str" vm="536">
        <f t="shared" si="16"/>
        <v>Core</v>
      </c>
      <c r="C90" s="152" t="str" vm="850">
        <f>CUBEMEMBER("cabcrmsqlrs1 CABReportingCubes Local Financial Snapshot",{"[AIC Outcome].[Type Of Outcome].&amp;[Core]","[AIC Outcome].[Outcome].&amp;[Admission appeal - unsuccessful]"})</f>
        <v>Admission appeal - unsuccessful</v>
      </c>
      <c r="D90" s="152" t="str" vm="1845">
        <f t="shared" si="17"/>
        <v/>
      </c>
      <c r="E90" s="152" t="str" vm="2053">
        <f t="shared" si="17"/>
        <v/>
      </c>
      <c r="F90" s="212" t="str" vm="2720">
        <f t="shared" si="17"/>
        <v/>
      </c>
      <c r="AA90" s="23" t="s">
        <v>21</v>
      </c>
      <c r="AB90" s="23" t="str" vm="941">
        <f>'Enter Parameters'!D19</f>
        <v>All</v>
      </c>
    </row>
    <row r="91" spans="2:86">
      <c r="B91" s="152" t="str" vm="536">
        <f t="shared" si="16"/>
        <v>Core</v>
      </c>
      <c r="C91" s="152" t="str" vm="768">
        <f>CUBEMEMBER("cabcrmsqlrs1 CABReportingCubes Local Financial Snapshot",{"[AIC Outcome].[Type Of Outcome].&amp;[Core]","[AIC Outcome].[Outcome].&amp;[ADR - not upheld / unavailable]"})</f>
        <v>ADR - not upheld / unavailable</v>
      </c>
      <c r="D91" s="152" t="str" vm="2473">
        <f t="shared" si="17"/>
        <v/>
      </c>
      <c r="E91" s="152" t="str" vm="1917">
        <f t="shared" si="17"/>
        <v/>
      </c>
      <c r="F91" s="212" t="str" vm="1893">
        <f t="shared" si="17"/>
        <v/>
      </c>
    </row>
    <row r="92" spans="2:86">
      <c r="B92" s="152" t="str" vm="536">
        <f t="shared" si="16"/>
        <v>Core</v>
      </c>
      <c r="C92" s="152" t="str" vm="849">
        <f>CUBEMEMBER("cabcrmsqlrs1 CABReportingCubes Local Financial Snapshot",{"[AIC Outcome].[Type Of Outcome].&amp;[Core]","[AIC Outcome].[Outcome].&amp;[ADR - used successfully]"})</f>
        <v>ADR - used successfully</v>
      </c>
      <c r="D92" s="152" t="str" vm="2413">
        <f t="shared" si="17"/>
        <v/>
      </c>
      <c r="E92" s="152" t="str" vm="2725">
        <f t="shared" si="17"/>
        <v/>
      </c>
      <c r="F92" s="212" t="str" vm="2414">
        <f t="shared" si="17"/>
        <v/>
      </c>
      <c r="AA92" s="23" t="s">
        <v>46</v>
      </c>
      <c r="AB92" s="23" t="str" vm="525">
        <f>CUBEMEMBER("cabcrmsqlrs1 CABReportingCubes Local Financial Snapshot","[Measures].[Number of Outcomes]")</f>
        <v>Number of Outcomes</v>
      </c>
    </row>
    <row r="93" spans="2:86">
      <c r="B93" s="152" t="str" vm="536">
        <f t="shared" si="16"/>
        <v>Core</v>
      </c>
      <c r="C93" s="152" t="str" vm="767">
        <f>CUBEMEMBER("cabcrmsqlrs1 CABReportingCubes Local Financial Snapshot",{"[AIC Outcome].[Type Of Outcome].&amp;[Core]","[AIC Outcome].[Outcome].&amp;[Ancillary relief - successful]"})</f>
        <v>Ancillary relief - successful</v>
      </c>
      <c r="D93" s="152" t="str" vm="2427">
        <f t="shared" si="17"/>
        <v/>
      </c>
      <c r="E93" s="152" t="str" vm="2426">
        <f t="shared" si="17"/>
        <v/>
      </c>
      <c r="F93" s="212" t="str" vm="2425">
        <f t="shared" si="17"/>
        <v/>
      </c>
      <c r="AA93" s="29" t="str" vm="536">
        <f>CUBEMEMBER("cabcrmsqlrs1 CABReportingCubes Local Financial Snapshot","[AIC Outcome].[Type Of Outcome].&amp;[Core]")</f>
        <v>Core</v>
      </c>
      <c r="AB93" s="141" vm="1376">
        <f>CUBEVALUE("cabcrmsqlrs1 CABReportingCubes Local Financial Snapshot",$AB$87,$AB$88,$AB$89,$AB$90,$AA93,AB$92)</f>
        <v>229</v>
      </c>
    </row>
    <row r="94" spans="2:86">
      <c r="B94" s="152" t="str" vm="536">
        <f t="shared" si="16"/>
        <v>Core</v>
      </c>
      <c r="C94" s="152" t="str" vm="848">
        <f>CUBEMEMBER("cabcrmsqlrs1 CABReportingCubes Local Financial Snapshot",{"[AIC Outcome].[Type Of Outcome].&amp;[Core]","[AIC Outcome].[Outcome].&amp;[Ancillary relief - unsuccessful]"})</f>
        <v>Ancillary relief - unsuccessful</v>
      </c>
      <c r="D94" s="152" t="str" vm="2417">
        <f t="shared" si="17"/>
        <v/>
      </c>
      <c r="E94" s="152" t="str" vm="2418">
        <f t="shared" si="17"/>
        <v/>
      </c>
      <c r="F94" s="212" t="str" vm="2419">
        <f t="shared" si="17"/>
        <v/>
      </c>
      <c r="AA94" s="29" t="str" vm="535">
        <f>CUBEMEMBER("cabcrmsqlrs1 CABReportingCubes Local Financial Snapshot","[AIC Outcome].[Type Of Outcome].&amp;[Local]")</f>
        <v>Local</v>
      </c>
      <c r="AB94" s="141" t="str" vm="1400">
        <f>CUBEVALUE("cabcrmsqlrs1 CABReportingCubes Local Financial Snapshot",$AB$87,$AB$88,$AB$89,$AB$90,$AA94,AB$92)</f>
        <v/>
      </c>
    </row>
    <row r="95" spans="2:86">
      <c r="B95" s="152" t="str" vm="536">
        <f t="shared" si="16"/>
        <v>Core</v>
      </c>
      <c r="C95" s="152" t="str" vm="766">
        <f>CUBEMEMBER("cabcrmsqlrs1 CABReportingCubes Local Financial Snapshot",{"[AIC Outcome].[Type Of Outcome].&amp;[Core]","[AIC Outcome].[Outcome].&amp;[Apology given]"})</f>
        <v>Apology given</v>
      </c>
      <c r="D95" s="152" t="str" vm="1765">
        <f t="shared" si="17"/>
        <v/>
      </c>
      <c r="E95" s="152" t="str" vm="1789">
        <f t="shared" si="17"/>
        <v/>
      </c>
      <c r="F95" s="212" t="str" vm="2078">
        <f t="shared" si="17"/>
        <v/>
      </c>
      <c r="AA95" s="29" t="str" vm="534">
        <f>CUBEMEMBER("cabcrmsqlrs1 CABReportingCubes Local Financial Snapshot","[AIC Outcome].[Type Of Outcome].&amp;[Not recorded/not applicable]")</f>
        <v>Not recorded/not applicable</v>
      </c>
      <c r="AB95" s="141" vm="1441">
        <f>CUBEVALUE("cabcrmsqlrs1 CABReportingCubes Local Financial Snapshot",$AB$87,$AB$88,$AB$89,$AB$90,$AA95,AB$92)</f>
        <v>22</v>
      </c>
    </row>
    <row r="96" spans="2:86">
      <c r="B96" s="152" t="str" vm="536">
        <f t="shared" si="16"/>
        <v>Core</v>
      </c>
      <c r="C96" s="152" t="str" vm="847">
        <f>CUBEMEMBER("cabcrmsqlrs1 CABReportingCubes Local Financial Snapshot",{"[AIC Outcome].[Type Of Outcome].&amp;[Core]","[AIC Outcome].[Outcome].&amp;[Apology refused]"})</f>
        <v>Apology refused</v>
      </c>
      <c r="D96" s="152" t="str" vm="2303">
        <f t="shared" si="17"/>
        <v/>
      </c>
      <c r="E96" s="152" t="str" vm="1523">
        <f t="shared" si="17"/>
        <v/>
      </c>
      <c r="F96" s="212" t="str" vm="2406">
        <f t="shared" si="17"/>
        <v/>
      </c>
      <c r="AA96" s="29" t="str" vm="530">
        <f>CUBEMEMBER("cabcrmsqlrs1 CABReportingCubes Local Financial Snapshot","[AIC Outcome].[Type Of Outcome].&amp;[Project]")</f>
        <v>Project</v>
      </c>
      <c r="AB96" s="141" vm="1389">
        <f>CUBEVALUE("cabcrmsqlrs1 CABReportingCubes Local Financial Snapshot",$AB$87,$AB$88,$AB$89,$AB$90,$AA96,AB$92)</f>
        <v>11</v>
      </c>
    </row>
    <row r="97" spans="2:28">
      <c r="B97" s="152" t="str" vm="536">
        <f t="shared" si="16"/>
        <v>Core</v>
      </c>
      <c r="C97" s="152" t="str" vm="765">
        <f>CUBEMEMBER("cabcrmsqlrs1 CABReportingCubes Local Financial Snapshot",{"[AIC Outcome].[Type Of Outcome].&amp;[Core]","[AIC Outcome].[Outcome].&amp;[Appeal made]"})</f>
        <v>Appeal made</v>
      </c>
      <c r="D97" s="152" t="str" vm="2476">
        <f t="shared" si="17"/>
        <v/>
      </c>
      <c r="E97" s="152" t="str" vm="1515">
        <f t="shared" si="17"/>
        <v/>
      </c>
      <c r="F97" s="212" t="str" vm="1679">
        <f t="shared" si="17"/>
        <v/>
      </c>
      <c r="AA97" s="29" t="str" vm="852">
        <f>CUBEMEMBER("cabcrmsqlrs1 CABReportingCubes Local Financial Snapshot","[AIC Outcome].[Type Of Outcome].[All]","Grand Total")</f>
        <v>Grand Total</v>
      </c>
      <c r="AB97" s="23" vm="1396">
        <f>CUBEVALUE("cabcrmsqlrs1 CABReportingCubes Local Financial Snapshot",$AB$87,$AB$88,$AB$89,$AB$90,$AA97,AB$92)</f>
        <v>262</v>
      </c>
    </row>
    <row r="98" spans="2:28">
      <c r="B98" s="152" t="str" vm="536">
        <f t="shared" si="16"/>
        <v>Core</v>
      </c>
      <c r="C98" s="152" t="str" vm="846">
        <f>CUBEMEMBER("cabcrmsqlrs1 CABReportingCubes Local Financial Snapshot",{"[AIC Outcome].[Type Of Outcome].&amp;[Core]","[AIC Outcome].[Outcome].&amp;[Application made to energy trust fund]"})</f>
        <v>Application made to energy trust fund</v>
      </c>
      <c r="D98" s="152" vm="1777">
        <f t="shared" si="17"/>
        <v>2</v>
      </c>
      <c r="E98" s="152" vm="1661">
        <f t="shared" si="17"/>
        <v>2</v>
      </c>
      <c r="F98" s="212" vm="1664">
        <f t="shared" si="17"/>
        <v>930</v>
      </c>
    </row>
    <row r="99" spans="2:28">
      <c r="B99" s="152" t="str" vm="536">
        <f t="shared" si="16"/>
        <v>Core</v>
      </c>
      <c r="C99" s="152" t="str" vm="764">
        <f>CUBEMEMBER("cabcrmsqlrs1 CABReportingCubes Local Financial Snapshot",{"[AIC Outcome].[Type Of Outcome].&amp;[Core]","[AIC Outcome].[Outcome].&amp;[Application made to Fuel Direct scheme]"})</f>
        <v>Application made to Fuel Direct scheme</v>
      </c>
      <c r="D99" s="152" t="str" vm="1783">
        <f t="shared" si="17"/>
        <v/>
      </c>
      <c r="E99" s="152" t="str" vm="1987">
        <f t="shared" si="17"/>
        <v/>
      </c>
      <c r="F99" s="212" t="str" vm="1643">
        <f t="shared" si="17"/>
        <v/>
      </c>
    </row>
    <row r="100" spans="2:28">
      <c r="B100" s="152" t="str" vm="536">
        <f t="shared" si="16"/>
        <v>Core</v>
      </c>
      <c r="C100" s="152" t="str" vm="845">
        <f>CUBEMEMBER("cabcrmsqlrs1 CABReportingCubes Local Financial Snapshot",{"[AIC Outcome].[Type Of Outcome].&amp;[Core]","[AIC Outcome].[Outcome].&amp;[Application made to govt scheme for financial help/energy efficiency measures]"})</f>
        <v>Application made to govt scheme for financial help/energy efficiency measures</v>
      </c>
      <c r="D100" s="152" vm="2134">
        <f t="shared" si="17"/>
        <v>6</v>
      </c>
      <c r="E100" s="152" vm="1583">
        <f t="shared" si="17"/>
        <v>5</v>
      </c>
      <c r="F100" s="212" vm="2232">
        <f t="shared" si="17"/>
        <v>850</v>
      </c>
    </row>
    <row r="101" spans="2:28">
      <c r="B101" s="152" t="str" vm="536">
        <f t="shared" si="16"/>
        <v>Core</v>
      </c>
      <c r="C101" s="152" t="str" vm="763">
        <f>CUBEMEMBER("cabcrmsqlrs1 CABReportingCubes Local Financial Snapshot",{"[AIC Outcome].[Type Of Outcome].&amp;[Core]","[AIC Outcome].[Outcome].&amp;[Application under incapacity legislation]"})</f>
        <v>Application under incapacity legislation</v>
      </c>
      <c r="D101" s="152" t="str" vm="1772">
        <f t="shared" si="17"/>
        <v/>
      </c>
      <c r="E101" s="152" t="str" vm="1852">
        <f t="shared" si="17"/>
        <v/>
      </c>
      <c r="F101" s="212" t="str" vm="1713">
        <f t="shared" si="17"/>
        <v/>
      </c>
    </row>
    <row r="102" spans="2:28">
      <c r="B102" s="152" t="str" vm="536">
        <f t="shared" si="16"/>
        <v>Core</v>
      </c>
      <c r="C102" s="152" t="str" vm="844">
        <f>CUBEMEMBER("cabcrmsqlrs1 CABReportingCubes Local Financial Snapshot",{"[AIC Outcome].[Type Of Outcome].&amp;[Core]","[AIC Outcome].[Outcome].&amp;[Appropriate service/ support obtained for client - successful]"})</f>
        <v>Appropriate service/ support obtained for client - successful</v>
      </c>
      <c r="D102" s="152" vm="2521">
        <f t="shared" si="17"/>
        <v>5</v>
      </c>
      <c r="E102" s="152" vm="2522">
        <f t="shared" si="17"/>
        <v>3</v>
      </c>
      <c r="F102" s="212" vm="2176">
        <f t="shared" si="17"/>
        <v>0</v>
      </c>
    </row>
    <row r="103" spans="2:28">
      <c r="B103" s="152" t="str" vm="536">
        <f t="shared" si="16"/>
        <v>Core</v>
      </c>
      <c r="C103" s="152" t="str" vm="762">
        <f>CUBEMEMBER("cabcrmsqlrs1 CABReportingCubes Local Financial Snapshot",{"[AIC Outcome].[Type Of Outcome].&amp;[Core]","[AIC Outcome].[Outcome].&amp;[Appropriate service/ support obtained for client - unsuccessful]"})</f>
        <v>Appropriate service/ support obtained for client - unsuccessful</v>
      </c>
      <c r="D103" s="152" t="str" vm="1778">
        <f t="shared" ref="D103:F122" si="18">CUBEVALUE("cabcrmsqlrs1 CABReportingCubes Local Financial Snapshot",$C$77,$C$78,$C$79,$C$80,$C103,D$82)</f>
        <v/>
      </c>
      <c r="E103" s="152" t="str" vm="1838">
        <f t="shared" si="18"/>
        <v/>
      </c>
      <c r="F103" s="212" t="str" vm="1725">
        <f t="shared" si="18"/>
        <v/>
      </c>
    </row>
    <row r="104" spans="2:28">
      <c r="B104" s="152" t="str" vm="536">
        <f t="shared" si="16"/>
        <v>Core</v>
      </c>
      <c r="C104" s="152" t="str" vm="843">
        <f>CUBEMEMBER("cabcrmsqlrs1 CABReportingCubes Local Financial Snapshot",{"[AIC Outcome].[Type Of Outcome].&amp;[Core]","[AIC Outcome].[Outcome].&amp;[Bailiff's action stopped/suspended/prevented]"})</f>
        <v>Bailiff's action stopped/suspended/prevented</v>
      </c>
      <c r="D104" s="152" vm="1982">
        <f t="shared" si="18"/>
        <v>2</v>
      </c>
      <c r="E104" s="152" vm="2215">
        <f t="shared" si="18"/>
        <v>2</v>
      </c>
      <c r="F104" s="212" vm="2374">
        <f t="shared" si="18"/>
        <v>0</v>
      </c>
    </row>
    <row r="105" spans="2:28">
      <c r="B105" s="152" t="str" vm="536">
        <f t="shared" si="16"/>
        <v>Core</v>
      </c>
      <c r="C105" s="152" t="str" vm="761">
        <f>CUBEMEMBER("cabcrmsqlrs1 CABReportingCubes Local Financial Snapshot",{"[AIC Outcome].[Type Of Outcome].&amp;[Core]","[AIC Outcome].[Outcome].&amp;[Bankruptcy]"})</f>
        <v>Bankruptcy</v>
      </c>
      <c r="D105" s="152" vm="1758">
        <f t="shared" si="18"/>
        <v>6</v>
      </c>
      <c r="E105" s="152" vm="2741">
        <f t="shared" si="18"/>
        <v>6</v>
      </c>
      <c r="F105" s="212" vm="1631">
        <f t="shared" si="18"/>
        <v>179301.52000000002</v>
      </c>
    </row>
    <row r="106" spans="2:28">
      <c r="B106" s="152" t="str" vm="536">
        <f t="shared" si="16"/>
        <v>Core</v>
      </c>
      <c r="C106" s="152" t="str" vm="907">
        <f>CUBEMEMBER("cabcrmsqlrs1 CABReportingCubes Local Financial Snapshot",{"[AIC Outcome].[Type Of Outcome].&amp;[Core]","[AIC Outcome].[Outcome].&amp;[Barriers to employment removed]"})</f>
        <v>Barriers to employment removed</v>
      </c>
      <c r="D106" s="152" t="str" vm="1804">
        <f t="shared" si="18"/>
        <v/>
      </c>
      <c r="E106" s="152" t="str" vm="1750">
        <f t="shared" si="18"/>
        <v/>
      </c>
      <c r="F106" s="212" t="str" vm="1857">
        <f t="shared" si="18"/>
        <v/>
      </c>
    </row>
    <row r="107" spans="2:28">
      <c r="B107" s="152" t="str" vm="536">
        <f t="shared" si="16"/>
        <v>Core</v>
      </c>
      <c r="C107" s="152" t="str" vm="842">
        <f>CUBEMEMBER("cabcrmsqlrs1 CABReportingCubes Local Financial Snapshot",{"[AIC Outcome].[Type Of Outcome].&amp;[Core]","[AIC Outcome].[Outcome].&amp;[Benefit / tax credit gain - a new award or increase]"})</f>
        <v>Benefit / tax credit gain - a new award or increase</v>
      </c>
      <c r="D107" s="152" vm="2364">
        <f t="shared" si="18"/>
        <v>257</v>
      </c>
      <c r="E107" s="152" vm="1567">
        <f t="shared" si="18"/>
        <v>165</v>
      </c>
      <c r="F107" s="212" vm="1605">
        <f t="shared" si="18"/>
        <v>1183039.4100000001</v>
      </c>
    </row>
    <row r="108" spans="2:28">
      <c r="B108" s="152" t="str" vm="536">
        <f t="shared" si="16"/>
        <v>Core</v>
      </c>
      <c r="C108" s="152" t="str" vm="760">
        <f>CUBEMEMBER("cabcrmsqlrs1 CABReportingCubes Local Financial Snapshot",{"[AIC Outcome].[Type Of Outcome].&amp;[Core]","[AIC Outcome].[Outcome].&amp;[Benefit / tax credit gain - award or increase following revision or appeal]"})</f>
        <v>Benefit / tax credit gain - award or increase following revision or appeal</v>
      </c>
      <c r="D108" s="152" vm="2235">
        <f t="shared" si="18"/>
        <v>94</v>
      </c>
      <c r="E108" s="152" vm="1645">
        <f t="shared" si="18"/>
        <v>47</v>
      </c>
      <c r="F108" s="212" vm="2339">
        <f t="shared" si="18"/>
        <v>302028.84999999998</v>
      </c>
    </row>
    <row r="109" spans="2:28">
      <c r="B109" s="152" t="str" vm="536">
        <f t="shared" si="16"/>
        <v>Core</v>
      </c>
      <c r="C109" s="152" t="str" vm="841">
        <f>CUBEMEMBER("cabcrmsqlrs1 CABReportingCubes Local Financial Snapshot",{"[AIC Outcome].[Type Of Outcome].&amp;[Core]","[AIC Outcome].[Outcome].&amp;[Benefit / tax credit gain - Compensation / ""ex-gratia"" payment]"})</f>
        <v>Benefit / tax credit gain - Compensation / "ex-gratia" payment</v>
      </c>
      <c r="D109" s="152" t="str" vm="2328">
        <f t="shared" si="18"/>
        <v/>
      </c>
      <c r="E109" s="152" t="str" vm="1701">
        <f t="shared" si="18"/>
        <v/>
      </c>
      <c r="F109" s="212" t="str" vm="1630">
        <f t="shared" si="18"/>
        <v/>
      </c>
    </row>
    <row r="110" spans="2:28">
      <c r="B110" s="152" t="str" vm="536">
        <f t="shared" si="16"/>
        <v>Core</v>
      </c>
      <c r="C110" s="152" t="str" vm="759">
        <f>CUBEMEMBER("cabcrmsqlrs1 CABReportingCubes Local Financial Snapshot",{"[AIC Outcome].[Type Of Outcome].&amp;[Core]","[AIC Outcome].[Outcome].&amp;[Benefit / tax credit gain - Money put back into payment]"})</f>
        <v>Benefit / tax credit gain - Money put back into payment</v>
      </c>
      <c r="D110" s="152" vm="2457">
        <f t="shared" si="18"/>
        <v>18</v>
      </c>
      <c r="E110" s="152" vm="1521">
        <f t="shared" si="18"/>
        <v>17</v>
      </c>
      <c r="F110" s="212" vm="2386">
        <f t="shared" si="18"/>
        <v>41898.76</v>
      </c>
    </row>
    <row r="111" spans="2:28">
      <c r="B111" s="152" t="str" vm="536">
        <f t="shared" si="16"/>
        <v>Core</v>
      </c>
      <c r="C111" s="152" t="str" vm="914">
        <f>CUBEMEMBER("cabcrmsqlrs1 CABReportingCubes Local Financial Snapshot",{"[AIC Outcome].[Type Of Outcome].&amp;[Core]","[AIC Outcome].[Outcome].&amp;[Benefit / tax credit gain - overpayment reduced or not recovered]"})</f>
        <v>Benefit / tax credit gain - overpayment reduced or not recovered</v>
      </c>
      <c r="D111" s="152" vm="2188">
        <f t="shared" si="18"/>
        <v>1</v>
      </c>
      <c r="E111" s="152" vm="2015">
        <f t="shared" si="18"/>
        <v>1</v>
      </c>
      <c r="F111" s="212" vm="2118">
        <f t="shared" si="18"/>
        <v>1561</v>
      </c>
    </row>
    <row r="112" spans="2:28">
      <c r="B112" s="152" t="str" vm="536">
        <f t="shared" si="16"/>
        <v>Core</v>
      </c>
      <c r="C112" s="152" t="str" vm="840">
        <f>CUBEMEMBER("cabcrmsqlrs1 CABReportingCubes Local Financial Snapshot",{"[AIC Outcome].[Type Of Outcome].&amp;[Core]","[AIC Outcome].[Outcome].&amp;[Benefit / tax credit gain - social fund awarded]"})</f>
        <v>Benefit / tax credit gain - social fund awarded</v>
      </c>
      <c r="D112" s="152" t="str" vm="2234">
        <f t="shared" si="18"/>
        <v/>
      </c>
      <c r="E112" s="152" t="str" vm="1816">
        <f t="shared" si="18"/>
        <v/>
      </c>
      <c r="F112" s="212" t="str" vm="1644">
        <f t="shared" si="18"/>
        <v/>
      </c>
    </row>
    <row r="113" spans="2:6">
      <c r="B113" s="152" t="str" vm="536">
        <f t="shared" si="16"/>
        <v>Core</v>
      </c>
      <c r="C113" s="152" t="str" vm="931">
        <f>CUBEMEMBER("cabcrmsqlrs1 CABReportingCubes Local Financial Snapshot",{"[AIC Outcome].[Type Of Outcome].&amp;[Core]","[AIC Outcome].[Outcome].&amp;[Benefit / tax credit loan agreed]"})</f>
        <v>Benefit / tax credit loan agreed</v>
      </c>
      <c r="D113" s="152" t="str" vm="2441">
        <f t="shared" si="18"/>
        <v/>
      </c>
      <c r="E113" s="152" t="str" vm="2294">
        <f t="shared" si="18"/>
        <v/>
      </c>
      <c r="F113" s="212" t="str" vm="2727">
        <f t="shared" si="18"/>
        <v/>
      </c>
    </row>
    <row r="114" spans="2:6">
      <c r="B114" s="152" t="str" vm="536">
        <f t="shared" si="16"/>
        <v>Core</v>
      </c>
      <c r="C114" s="152" t="str" vm="758">
        <f>CUBEMEMBER("cabcrmsqlrs1 CABReportingCubes Local Financial Snapshot",{"[AIC Outcome].[Type Of Outcome].&amp;[Core]","[AIC Outcome].[Outcome].&amp;[Benefit / tax credit loss]"})</f>
        <v>Benefit / tax credit loss</v>
      </c>
      <c r="D114" s="152" vm="2237">
        <f t="shared" si="18"/>
        <v>1</v>
      </c>
      <c r="E114" s="152" vm="1625">
        <f t="shared" si="18"/>
        <v>1</v>
      </c>
      <c r="F114" s="212" vm="2321">
        <f t="shared" si="18"/>
        <v>0</v>
      </c>
    </row>
    <row r="115" spans="2:6">
      <c r="B115" s="152" t="str" vm="536">
        <f t="shared" si="16"/>
        <v>Core</v>
      </c>
      <c r="C115" s="152" t="str" vm="839">
        <f>CUBEMEMBER("cabcrmsqlrs1 CABReportingCubes Local Financial Snapshot",{"[AIC Outcome].[Type Of Outcome].&amp;[Core]","[AIC Outcome].[Outcome].&amp;[Benefit / tax credit maintained]"})</f>
        <v>Benefit / tax credit maintained</v>
      </c>
      <c r="D115" s="152" vm="2230">
        <f t="shared" si="18"/>
        <v>21</v>
      </c>
      <c r="E115" s="152" vm="1672">
        <f t="shared" si="18"/>
        <v>14</v>
      </c>
      <c r="F115" s="212" vm="2692">
        <f t="shared" si="18"/>
        <v>63439.5</v>
      </c>
    </row>
    <row r="116" spans="2:6">
      <c r="B116" s="152" t="str" vm="536">
        <f t="shared" si="16"/>
        <v>Core</v>
      </c>
      <c r="C116" s="152" t="str" vm="757">
        <f>CUBEMEMBER("cabcrmsqlrs1 CABReportingCubes Local Financial Snapshot",{"[AIC Outcome].[Type Of Outcome].&amp;[Core]","[AIC Outcome].[Outcome].&amp;[Benefit cap exemption obtained]"})</f>
        <v>Benefit cap exemption obtained</v>
      </c>
      <c r="D116" s="152" t="str" vm="2560">
        <f t="shared" si="18"/>
        <v/>
      </c>
      <c r="E116" s="152" t="str" vm="2562">
        <f t="shared" si="18"/>
        <v/>
      </c>
      <c r="F116" s="212" t="str" vm="2561">
        <f t="shared" si="18"/>
        <v/>
      </c>
    </row>
    <row r="117" spans="2:6">
      <c r="B117" s="152" t="str" vm="536">
        <f t="shared" si="16"/>
        <v>Core</v>
      </c>
      <c r="C117" s="152" t="str" vm="930">
        <f>CUBEMEMBER("cabcrmsqlrs1 CABReportingCubes Local Financial Snapshot",{"[AIC Outcome].[Type Of Outcome].&amp;[Core]","[AIC Outcome].[Outcome].&amp;[Benefit cap or under-occupation - action taken to mitigate]"})</f>
        <v>Benefit cap or under-occupation - action taken to mitigate</v>
      </c>
      <c r="D117" s="152" t="str" vm="2424">
        <f t="shared" si="18"/>
        <v/>
      </c>
      <c r="E117" s="152" t="str" vm="2707">
        <f t="shared" si="18"/>
        <v/>
      </c>
      <c r="F117" s="212" t="str" vm="1815">
        <f t="shared" si="18"/>
        <v/>
      </c>
    </row>
    <row r="118" spans="2:6">
      <c r="B118" s="152" t="str" vm="536">
        <f t="shared" si="16"/>
        <v>Core</v>
      </c>
      <c r="C118" s="152" t="str" vm="838">
        <f>CUBEMEMBER("cabcrmsqlrs1 CABReportingCubes Local Financial Snapshot",{"[AIC Outcome].[Type Of Outcome].&amp;[Core]","[AIC Outcome].[Outcome].&amp;[Bereavement Planning]"})</f>
        <v>Bereavement Planning</v>
      </c>
      <c r="D118" s="152" t="str" vm="2472">
        <f t="shared" si="18"/>
        <v/>
      </c>
      <c r="E118" s="152" t="str" vm="2128">
        <f t="shared" si="18"/>
        <v/>
      </c>
      <c r="F118" s="212" t="str" vm="1843">
        <f t="shared" si="18"/>
        <v/>
      </c>
    </row>
    <row r="119" spans="2:6">
      <c r="B119" s="152" t="str" vm="536">
        <f t="shared" si="16"/>
        <v>Core</v>
      </c>
      <c r="C119" s="152" t="str" vm="913">
        <f>CUBEMEMBER("cabcrmsqlrs1 CABReportingCubes Local Financial Snapshot",{"[AIC Outcome].[Type Of Outcome].&amp;[Core]","[AIC Outcome].[Outcome].&amp;[Better deal through switching supplier]"})</f>
        <v>Better deal through switching supplier</v>
      </c>
      <c r="D119" s="152" vm="1819">
        <f t="shared" si="18"/>
        <v>70</v>
      </c>
      <c r="E119" s="152" vm="1548">
        <f t="shared" si="18"/>
        <v>66</v>
      </c>
      <c r="F119" s="212" vm="2405">
        <f t="shared" si="18"/>
        <v>16920.5</v>
      </c>
    </row>
    <row r="120" spans="2:6">
      <c r="B120" s="152" t="str" vm="536">
        <f t="shared" si="16"/>
        <v>Core</v>
      </c>
      <c r="C120" s="152" t="str" vm="837">
        <f>CUBEMEMBER("cabcrmsqlrs1 CABReportingCubes Local Financial Snapshot",{"[AIC Outcome].[Type Of Outcome].&amp;[Core]","[AIC Outcome].[Outcome].&amp;[Better deal with same supplier]"})</f>
        <v>Better deal with same supplier</v>
      </c>
      <c r="D120" s="152" vm="2436">
        <f t="shared" si="18"/>
        <v>20</v>
      </c>
      <c r="E120" s="152" vm="1807">
        <f t="shared" si="18"/>
        <v>18</v>
      </c>
      <c r="F120" s="212" vm="2251">
        <f t="shared" si="18"/>
        <v>4388.45</v>
      </c>
    </row>
    <row r="121" spans="2:6">
      <c r="B121" s="152" t="str" vm="536">
        <f t="shared" si="16"/>
        <v>Core</v>
      </c>
      <c r="C121" s="152" t="str" vm="756">
        <f>CUBEMEMBER("cabcrmsqlrs1 CABReportingCubes Local Financial Snapshot",{"[AIC Outcome].[Type Of Outcome].&amp;[Core]","[AIC Outcome].[Outcome].&amp;[Blue badge - denied]"})</f>
        <v>Blue badge - denied</v>
      </c>
      <c r="D121" s="152" t="str" vm="2143">
        <f t="shared" si="18"/>
        <v/>
      </c>
      <c r="E121" s="152" t="str" vm="1581">
        <f t="shared" si="18"/>
        <v/>
      </c>
      <c r="F121" s="212" t="str" vm="2195">
        <f t="shared" si="18"/>
        <v/>
      </c>
    </row>
    <row r="122" spans="2:6">
      <c r="B122" s="152" t="str" vm="536">
        <f t="shared" si="16"/>
        <v>Core</v>
      </c>
      <c r="C122" s="152" t="str" vm="836">
        <f>CUBEMEMBER("cabcrmsqlrs1 CABReportingCubes Local Financial Snapshot",{"[AIC Outcome].[Type Of Outcome].&amp;[Core]","[AIC Outcome].[Outcome].&amp;[Blue badge - obtained]"})</f>
        <v>Blue badge - obtained</v>
      </c>
      <c r="D122" s="152" vm="2295">
        <f t="shared" si="18"/>
        <v>1</v>
      </c>
      <c r="E122" s="152" vm="2131">
        <f t="shared" si="18"/>
        <v>1</v>
      </c>
      <c r="F122" s="212" vm="1709">
        <f t="shared" si="18"/>
        <v>300</v>
      </c>
    </row>
    <row r="123" spans="2:6">
      <c r="B123" s="152" t="str" vm="536">
        <f t="shared" si="16"/>
        <v>Core</v>
      </c>
      <c r="C123" s="152" t="str" vm="755">
        <f>CUBEMEMBER("cabcrmsqlrs1 CABReportingCubes Local Financial Snapshot",{"[AIC Outcome].[Type Of Outcome].&amp;[Core]","[AIC Outcome].[Outcome].&amp;[Budgeting change]"})</f>
        <v>Budgeting change</v>
      </c>
      <c r="D123" s="152" t="str" vm="2656">
        <f t="shared" ref="D123:F142" si="19">CUBEVALUE("cabcrmsqlrs1 CABReportingCubes Local Financial Snapshot",$C$77,$C$78,$C$79,$C$80,$C123,D$82)</f>
        <v/>
      </c>
      <c r="E123" s="152" t="str" vm="2748">
        <f t="shared" si="19"/>
        <v/>
      </c>
      <c r="F123" s="212" t="str" vm="2657">
        <f t="shared" si="19"/>
        <v/>
      </c>
    </row>
    <row r="124" spans="2:6">
      <c r="B124" s="152" t="str" vm="536">
        <f t="shared" si="16"/>
        <v>Core</v>
      </c>
      <c r="C124" s="152" t="str" vm="835">
        <f>CUBEMEMBER("cabcrmsqlrs1 CABReportingCubes Local Financial Snapshot",{"[AIC Outcome].[Type Of Outcome].&amp;[Core]","[AIC Outcome].[Outcome].&amp;[Bus pass obtained]"})</f>
        <v>Bus pass obtained</v>
      </c>
      <c r="D124" s="152" vm="2453">
        <f t="shared" si="19"/>
        <v>2</v>
      </c>
      <c r="E124" s="152" vm="1549">
        <f t="shared" si="19"/>
        <v>2</v>
      </c>
      <c r="F124" s="212" vm="2281">
        <f t="shared" si="19"/>
        <v>1146</v>
      </c>
    </row>
    <row r="125" spans="2:6">
      <c r="B125" s="152" t="str" vm="536">
        <f t="shared" si="16"/>
        <v>Core</v>
      </c>
      <c r="C125" s="152" t="str" vm="754">
        <f>CUBEMEMBER("cabcrmsqlrs1 CABReportingCubes Local Financial Snapshot",{"[AIC Outcome].[Type Of Outcome].&amp;[Core]","[AIC Outcome].[Outcome].&amp;[Business not found or ceased trading]"})</f>
        <v>Business not found or ceased trading</v>
      </c>
      <c r="D125" s="152" t="str" vm="2142">
        <f t="shared" si="19"/>
        <v/>
      </c>
      <c r="E125" s="152" t="str" vm="1837">
        <f t="shared" si="19"/>
        <v/>
      </c>
      <c r="F125" s="212" t="str" vm="1737">
        <f t="shared" si="19"/>
        <v/>
      </c>
    </row>
    <row r="126" spans="2:6">
      <c r="B126" s="152" t="str" vm="536">
        <f t="shared" si="16"/>
        <v>Core</v>
      </c>
      <c r="C126" s="152" t="str" vm="834">
        <f>CUBEMEMBER("cabcrmsqlrs1 CABReportingCubes Local Financial Snapshot",{"[AIC Outcome].[Type Of Outcome].&amp;[Core]","[AIC Outcome].[Outcome].&amp;[Cancellation - successful]"})</f>
        <v>Cancellation - successful</v>
      </c>
      <c r="D126" s="152" vm="2178">
        <f t="shared" si="19"/>
        <v>1</v>
      </c>
      <c r="E126" s="152" vm="1716">
        <f t="shared" si="19"/>
        <v>1</v>
      </c>
      <c r="F126" s="212" vm="2730">
        <f t="shared" si="19"/>
        <v>4000</v>
      </c>
    </row>
    <row r="127" spans="2:6">
      <c r="B127" s="152" t="str" vm="536">
        <f t="shared" si="16"/>
        <v>Core</v>
      </c>
      <c r="C127" s="152" t="str" vm="753">
        <f>CUBEMEMBER("cabcrmsqlrs1 CABReportingCubes Local Financial Snapshot",{"[AIC Outcome].[Type Of Outcome].&amp;[Core]","[AIC Outcome].[Outcome].&amp;[Cancellation - unsuccessful]"})</f>
        <v>Cancellation - unsuccessful</v>
      </c>
      <c r="D127" s="152" t="str" vm="1848">
        <f t="shared" si="19"/>
        <v/>
      </c>
      <c r="E127" s="152" t="str" vm="1907">
        <f t="shared" si="19"/>
        <v/>
      </c>
      <c r="F127" s="212" t="str" vm="2289">
        <f t="shared" si="19"/>
        <v/>
      </c>
    </row>
    <row r="128" spans="2:6">
      <c r="B128" s="152" t="str" vm="536">
        <f t="shared" si="16"/>
        <v>Core</v>
      </c>
      <c r="C128" s="152" t="str" vm="833">
        <f>CUBEMEMBER("cabcrmsqlrs1 CABReportingCubes Local Financial Snapshot",{"[AIC Outcome].[Type Of Outcome].&amp;[Core]","[AIC Outcome].[Outcome].&amp;[CASHflow]"})</f>
        <v>CASHflow</v>
      </c>
      <c r="D128" s="152" t="str" vm="2200">
        <f t="shared" si="19"/>
        <v/>
      </c>
      <c r="E128" s="152" t="str" vm="2740">
        <f t="shared" si="19"/>
        <v/>
      </c>
      <c r="F128" s="212" t="str" vm="1782">
        <f t="shared" si="19"/>
        <v/>
      </c>
    </row>
    <row r="129" spans="2:6">
      <c r="B129" s="152" t="str" vm="536">
        <f t="shared" si="16"/>
        <v>Core</v>
      </c>
      <c r="C129" s="152" t="str" vm="752">
        <f>CUBEMEMBER("cabcrmsqlrs1 CABReportingCubes Local Financial Snapshot",{"[AIC Outcome].[Type Of Outcome].&amp;[Core]","[AIC Outcome].[Outcome].&amp;[Challenge to disciplinary - unsuccessful]"})</f>
        <v>Challenge to disciplinary - unsuccessful</v>
      </c>
      <c r="D129" s="152" t="str" vm="2499">
        <f t="shared" si="19"/>
        <v/>
      </c>
      <c r="E129" s="152" t="str" vm="1561">
        <f t="shared" si="19"/>
        <v/>
      </c>
      <c r="F129" s="212" t="str" vm="1622">
        <f t="shared" si="19"/>
        <v/>
      </c>
    </row>
    <row r="130" spans="2:6">
      <c r="B130" s="152" t="str" vm="536">
        <f t="shared" si="16"/>
        <v>Core</v>
      </c>
      <c r="C130" s="152" t="str" vm="832">
        <f>CUBEMEMBER("cabcrmsqlrs1 CABReportingCubes Local Financial Snapshot",{"[AIC Outcome].[Type Of Outcome].&amp;[Core]","[AIC Outcome].[Outcome].&amp;[Challenge to disciplinary action - successful]"})</f>
        <v>Challenge to disciplinary action - successful</v>
      </c>
      <c r="D130" s="152" t="str" vm="1943">
        <f t="shared" si="19"/>
        <v/>
      </c>
      <c r="E130" s="152" t="str" vm="1619">
        <f t="shared" si="19"/>
        <v/>
      </c>
      <c r="F130" s="212" t="str" vm="1591">
        <f t="shared" si="19"/>
        <v/>
      </c>
    </row>
    <row r="131" spans="2:6">
      <c r="B131" s="152" t="str" vm="536">
        <f t="shared" si="16"/>
        <v>Core</v>
      </c>
      <c r="C131" s="152" t="str" vm="912">
        <f>CUBEMEMBER("cabcrmsqlrs1 CABReportingCubes Local Financial Snapshot",{"[AIC Outcome].[Type Of Outcome].&amp;[Core]","[AIC Outcome].[Outcome].&amp;[Challenge to discriminatory practice / policy / decision rejected]"})</f>
        <v>Challenge to discriminatory practice / policy / decision rejected</v>
      </c>
      <c r="D131" s="152" t="str" vm="2345">
        <f t="shared" si="19"/>
        <v/>
      </c>
      <c r="E131" s="152" t="str" vm="1553">
        <f t="shared" si="19"/>
        <v/>
      </c>
      <c r="F131" s="212" t="str" vm="1732">
        <f t="shared" si="19"/>
        <v/>
      </c>
    </row>
    <row r="132" spans="2:6">
      <c r="B132" s="152" t="str" vm="536">
        <f t="shared" si="16"/>
        <v>Core</v>
      </c>
      <c r="C132" s="152" t="str" vm="751">
        <f>CUBEMEMBER("cabcrmsqlrs1 CABReportingCubes Local Financial Snapshot",{"[AIC Outcome].[Type Of Outcome].&amp;[Core]","[AIC Outcome].[Outcome].&amp;[Change to banking arrangements]"})</f>
        <v>Change to banking arrangements</v>
      </c>
      <c r="D132" s="152" vm="2471">
        <f t="shared" si="19"/>
        <v>1</v>
      </c>
      <c r="E132" s="152" vm="1635">
        <f t="shared" si="19"/>
        <v>1</v>
      </c>
      <c r="F132" s="212" vm="2325">
        <f t="shared" si="19"/>
        <v>960</v>
      </c>
    </row>
    <row r="133" spans="2:6">
      <c r="B133" s="152" t="str" vm="536">
        <f t="shared" si="16"/>
        <v>Core</v>
      </c>
      <c r="C133" s="152" t="str" vm="831">
        <f>CUBEMEMBER("cabcrmsqlrs1 CABReportingCubes Local Financial Snapshot",{"[AIC Outcome].[Type Of Outcome].&amp;[Core]","[AIC Outcome].[Outcome].&amp;[Charitable payment]"})</f>
        <v>Charitable payment</v>
      </c>
      <c r="D133" s="152" vm="2040">
        <f t="shared" si="19"/>
        <v>94</v>
      </c>
      <c r="E133" s="152" vm="2061">
        <f t="shared" si="19"/>
        <v>85</v>
      </c>
      <c r="F133" s="212" vm="2097">
        <f t="shared" si="19"/>
        <v>11450.300000000001</v>
      </c>
    </row>
    <row r="134" spans="2:6">
      <c r="B134" s="152" t="str" vm="536">
        <f t="shared" si="16"/>
        <v>Core</v>
      </c>
      <c r="C134" s="152" t="str" vm="750">
        <f>CUBEMEMBER("cabcrmsqlrs1 CABReportingCubes Local Financial Snapshot",{"[AIC Outcome].[Type Of Outcome].&amp;[Core]","[AIC Outcome].[Outcome].&amp;[Child Maintenance Enforcement action taken]"})</f>
        <v>Child Maintenance Enforcement action taken</v>
      </c>
      <c r="D134" s="152" t="str" vm="2358">
        <f t="shared" si="19"/>
        <v/>
      </c>
      <c r="E134" s="152" t="str" vm="1720">
        <f t="shared" si="19"/>
        <v/>
      </c>
      <c r="F134" s="212" t="str" vm="2121">
        <f t="shared" si="19"/>
        <v/>
      </c>
    </row>
    <row r="135" spans="2:6">
      <c r="B135" s="152" t="str" vm="536">
        <f t="shared" si="16"/>
        <v>Core</v>
      </c>
      <c r="C135" s="152" t="str" vm="830">
        <f>CUBEMEMBER("cabcrmsqlrs1 CABReportingCubes Local Financial Snapshot",{"[AIC Outcome].[Type Of Outcome].&amp;[Core]","[AIC Outcome].[Outcome].&amp;[Child maintenance received]"})</f>
        <v>Child maintenance received</v>
      </c>
      <c r="D135" s="152" t="str" vm="2468">
        <f t="shared" si="19"/>
        <v/>
      </c>
      <c r="E135" s="152" t="str" vm="2320">
        <f t="shared" si="19"/>
        <v/>
      </c>
      <c r="F135" s="212" t="str" vm="1722">
        <f t="shared" si="19"/>
        <v/>
      </c>
    </row>
    <row r="136" spans="2:6">
      <c r="B136" s="152" t="str" vm="536">
        <f t="shared" si="16"/>
        <v>Core</v>
      </c>
      <c r="C136" s="152" t="str" vm="906">
        <f>CUBEMEMBER("cabcrmsqlrs1 CABReportingCubes Local Financial Snapshot",{"[AIC Outcome].[Type Of Outcome].&amp;[Core]","[AIC Outcome].[Outcome].&amp;[Civil penalty challenged and repaid]"})</f>
        <v>Civil penalty challenged and repaid</v>
      </c>
      <c r="D136" s="152" t="str" vm="2225">
        <f t="shared" si="19"/>
        <v/>
      </c>
      <c r="E136" s="152" t="str" vm="2749">
        <f t="shared" si="19"/>
        <v/>
      </c>
      <c r="F136" s="212" t="str" vm="1615">
        <f t="shared" si="19"/>
        <v/>
      </c>
    </row>
    <row r="137" spans="2:6">
      <c r="B137" s="152" t="str" vm="536">
        <f t="shared" si="16"/>
        <v>Core</v>
      </c>
      <c r="C137" s="152" t="str" vm="749">
        <f>CUBEMEMBER("cabcrmsqlrs1 CABReportingCubes Local Financial Snapshot",{"[AIC Outcome].[Type Of Outcome].&amp;[Core]","[AIC Outcome].[Outcome].&amp;[Civil proceedings completed]"})</f>
        <v>Civil proceedings completed</v>
      </c>
      <c r="D137" s="152" t="str" vm="2038">
        <f t="shared" si="19"/>
        <v/>
      </c>
      <c r="E137" s="152" t="str" vm="1520">
        <f t="shared" si="19"/>
        <v/>
      </c>
      <c r="F137" s="212" t="str" vm="2357">
        <f t="shared" si="19"/>
        <v/>
      </c>
    </row>
    <row r="138" spans="2:6">
      <c r="B138" s="152" t="str" vm="536">
        <f t="shared" si="16"/>
        <v>Core</v>
      </c>
      <c r="C138" s="152" t="str" vm="829">
        <f>CUBEMEMBER("cabcrmsqlrs1 CABReportingCubes Local Financial Snapshot",{"[AIC Outcome].[Type Of Outcome].&amp;[Core]","[AIC Outcome].[Outcome].&amp;[Claim or action - not possible]"})</f>
        <v>Claim or action - not possible</v>
      </c>
      <c r="D138" s="152" t="str" vm="1792">
        <f t="shared" si="19"/>
        <v/>
      </c>
      <c r="E138" s="152" t="str" vm="1911">
        <f t="shared" si="19"/>
        <v/>
      </c>
      <c r="F138" s="212" t="str" vm="1994">
        <f t="shared" si="19"/>
        <v/>
      </c>
    </row>
    <row r="139" spans="2:6">
      <c r="B139" s="152" t="str" vm="536">
        <f t="shared" si="16"/>
        <v>Core</v>
      </c>
      <c r="C139" s="152" t="str" vm="748">
        <f>CUBEMEMBER("cabcrmsqlrs1 CABReportingCubes Local Financial Snapshot",{"[AIC Outcome].[Type Of Outcome].&amp;[Core]","[AIC Outcome].[Outcome].&amp;[Claim or action - unsuccessful]"})</f>
        <v>Claim or action - unsuccessful</v>
      </c>
      <c r="D139" s="152" t="str" vm="1829">
        <f t="shared" si="19"/>
        <v/>
      </c>
      <c r="E139" s="152" t="str" vm="1762">
        <f t="shared" si="19"/>
        <v/>
      </c>
      <c r="F139" s="212" t="str" vm="1611">
        <f t="shared" si="19"/>
        <v/>
      </c>
    </row>
    <row r="140" spans="2:6">
      <c r="B140" s="152" t="str" vm="536">
        <f t="shared" si="16"/>
        <v>Core</v>
      </c>
      <c r="C140" s="152" t="str" vm="905">
        <f>CUBEMEMBER("cabcrmsqlrs1 CABReportingCubes Local Financial Snapshot",{"[AIC Outcome].[Type Of Outcome].&amp;[Core]","[AIC Outcome].[Outcome].&amp;[Claim or complaint - not possible]"})</f>
        <v>Claim or complaint - not possible</v>
      </c>
      <c r="D140" s="152" vm="2064">
        <f t="shared" si="19"/>
        <v>1</v>
      </c>
      <c r="E140" s="152" vm="2140">
        <f t="shared" si="19"/>
        <v>1</v>
      </c>
      <c r="F140" s="212" vm="2275">
        <f t="shared" si="19"/>
        <v>0</v>
      </c>
    </row>
    <row r="141" spans="2:6">
      <c r="B141" s="152" t="str" vm="536">
        <f t="shared" si="16"/>
        <v>Core</v>
      </c>
      <c r="C141" s="152" t="str" vm="929">
        <f>CUBEMEMBER("cabcrmsqlrs1 CABReportingCubes Local Financial Snapshot",{"[AIC Outcome].[Type Of Outcome].&amp;[Core]","[AIC Outcome].[Outcome].&amp;[Claim or complaint - unsuccessful]"})</f>
        <v>Claim or complaint - unsuccessful</v>
      </c>
      <c r="D141" s="152" t="str" vm="2033">
        <f t="shared" si="19"/>
        <v/>
      </c>
      <c r="E141" s="152" t="str" vm="1608">
        <f t="shared" si="19"/>
        <v/>
      </c>
      <c r="F141" s="212" t="str" vm="2261">
        <f t="shared" si="19"/>
        <v/>
      </c>
    </row>
    <row r="142" spans="2:6">
      <c r="B142" s="152" t="str" vm="536">
        <f t="shared" si="16"/>
        <v>Core</v>
      </c>
      <c r="C142" s="152" t="str" vm="939">
        <f>CUBEMEMBER("cabcrmsqlrs1 CABReportingCubes Local Financial Snapshot",{"[AIC Outcome].[Type Of Outcome].&amp;[Core]","[AIC Outcome].[Outcome].&amp;[Claimant Commitment amended]"})</f>
        <v>Claimant Commitment amended</v>
      </c>
      <c r="D142" s="152" t="str" vm="2611">
        <f t="shared" si="19"/>
        <v/>
      </c>
      <c r="E142" s="152" t="str" vm="2189">
        <f t="shared" si="19"/>
        <v/>
      </c>
      <c r="F142" s="212" t="str" vm="2686">
        <f t="shared" si="19"/>
        <v/>
      </c>
    </row>
    <row r="143" spans="2:6">
      <c r="B143" s="152" t="str" vm="536">
        <f t="shared" si="16"/>
        <v>Core</v>
      </c>
      <c r="C143" s="152" t="str" vm="828">
        <f>CUBEMEMBER("cabcrmsqlrs1 CABReportingCubes Local Financial Snapshot",{"[AIC Outcome].[Type Of Outcome].&amp;[Core]","[AIC Outcome].[Outcome].&amp;[client obtained appropriate help with court forms]"})</f>
        <v>client obtained appropriate help with court forms</v>
      </c>
      <c r="D143" s="152" vm="2162">
        <f t="shared" ref="D143:F162" si="20">CUBEVALUE("cabcrmsqlrs1 CABReportingCubes Local Financial Snapshot",$C$77,$C$78,$C$79,$C$80,$C143,D$82)</f>
        <v>1</v>
      </c>
      <c r="E143" s="152" vm="1564">
        <f t="shared" si="20"/>
        <v>1</v>
      </c>
      <c r="F143" s="212" vm="1990">
        <f t="shared" si="20"/>
        <v>0</v>
      </c>
    </row>
    <row r="144" spans="2:6">
      <c r="B144" s="152" t="str" vm="536">
        <f t="shared" si="16"/>
        <v>Core</v>
      </c>
      <c r="C144" s="152" t="str" vm="747">
        <f>CUBEMEMBER("cabcrmsqlrs1 CABReportingCubes Local Financial Snapshot",{"[AIC Outcome].[Type Of Outcome].&amp;[Core]","[AIC Outcome].[Outcome].&amp;[Client successfully referred to mediation]"})</f>
        <v>Client successfully referred to mediation</v>
      </c>
      <c r="D144" s="152" t="str" vm="2122">
        <f t="shared" si="20"/>
        <v/>
      </c>
      <c r="E144" s="152" t="str" vm="2363">
        <f t="shared" si="20"/>
        <v/>
      </c>
      <c r="F144" s="212" t="str" vm="2728">
        <f t="shared" si="20"/>
        <v/>
      </c>
    </row>
    <row r="145" spans="2:6">
      <c r="B145" s="152" t="str" vm="536">
        <f t="shared" si="16"/>
        <v>Core</v>
      </c>
      <c r="C145" s="152" t="str" vm="827">
        <f>CUBEMEMBER("cabcrmsqlrs1 CABReportingCubes Local Financial Snapshot",{"[AIC Outcome].[Type Of Outcome].&amp;[Core]","[AIC Outcome].[Outcome].&amp;[collection action stopped/suspended/prevented]"})</f>
        <v>collection action stopped/suspended/prevented</v>
      </c>
      <c r="D145" s="152" t="str" vm="1949">
        <f t="shared" si="20"/>
        <v/>
      </c>
      <c r="E145" s="152" t="str" vm="1636">
        <f t="shared" si="20"/>
        <v/>
      </c>
      <c r="F145" s="212" t="str" vm="2751">
        <f t="shared" si="20"/>
        <v/>
      </c>
    </row>
    <row r="146" spans="2:6">
      <c r="B146" s="152" t="str" vm="536">
        <f t="shared" si="16"/>
        <v>Core</v>
      </c>
      <c r="C146" s="152" t="str" vm="746">
        <f>CUBEMEMBER("cabcrmsqlrs1 CABReportingCubes Local Financial Snapshot",{"[AIC Outcome].[Type Of Outcome].&amp;[Core]","[AIC Outcome].[Outcome].&amp;[Community Care assessment obtained]"})</f>
        <v>Community Care assessment obtained</v>
      </c>
      <c r="D146" s="152" vm="2158">
        <f t="shared" si="20"/>
        <v>2</v>
      </c>
      <c r="E146" s="152" vm="2192">
        <f t="shared" si="20"/>
        <v>2</v>
      </c>
      <c r="F146" s="212" vm="2220">
        <f t="shared" si="20"/>
        <v>0</v>
      </c>
    </row>
    <row r="147" spans="2:6">
      <c r="B147" s="152" t="str" vm="536">
        <f t="shared" ref="B147:B210" si="21">CUBEMEMBER("cabcrmsqlrs1 CABReportingCubes Local Financial Snapshot","[AIC Outcome].[Type Of Outcome].&amp;[Core]")</f>
        <v>Core</v>
      </c>
      <c r="C147" s="152" t="str" vm="826">
        <f>CUBEMEMBER("cabcrmsqlrs1 CABReportingCubes Local Financial Snapshot",{"[AIC Outcome].[Type Of Outcome].&amp;[Core]","[AIC Outcome].[Outcome].&amp;[Compensation - awarded]"})</f>
        <v>Compensation - awarded</v>
      </c>
      <c r="D147" s="152" vm="2434">
        <f t="shared" si="20"/>
        <v>1</v>
      </c>
      <c r="E147" s="152" vm="1626">
        <f t="shared" si="20"/>
        <v>1</v>
      </c>
      <c r="F147" s="212" vm="2102">
        <f t="shared" si="20"/>
        <v>15000</v>
      </c>
    </row>
    <row r="148" spans="2:6">
      <c r="B148" s="152" t="str" vm="536">
        <f t="shared" si="21"/>
        <v>Core</v>
      </c>
      <c r="C148" s="152" t="str" vm="745">
        <f>CUBEMEMBER("cabcrmsqlrs1 CABReportingCubes Local Financial Snapshot",{"[AIC Outcome].[Type Of Outcome].&amp;[Core]","[AIC Outcome].[Outcome].&amp;[Compensation - denied]"})</f>
        <v>Compensation - denied</v>
      </c>
      <c r="D148" s="152" t="str" vm="2750">
        <f t="shared" si="20"/>
        <v/>
      </c>
      <c r="E148" s="152" t="str" vm="2684">
        <f t="shared" si="20"/>
        <v/>
      </c>
      <c r="F148" s="212" t="str" vm="2683">
        <f t="shared" si="20"/>
        <v/>
      </c>
    </row>
    <row r="149" spans="2:6">
      <c r="B149" s="152" t="str" vm="536">
        <f t="shared" si="21"/>
        <v>Core</v>
      </c>
      <c r="C149" s="152" t="str" vm="825">
        <f>CUBEMEMBER("cabcrmsqlrs1 CABReportingCubes Local Financial Snapshot",{"[AIC Outcome].[Type Of Outcome].&amp;[Core]","[AIC Outcome].[Outcome].&amp;[Compensation or remedy agreed by settlement]"})</f>
        <v>Compensation or remedy agreed by settlement</v>
      </c>
      <c r="D149" s="152" vm="2440">
        <f t="shared" si="20"/>
        <v>1</v>
      </c>
      <c r="E149" s="152" vm="1710">
        <f t="shared" si="20"/>
        <v>1</v>
      </c>
      <c r="F149" s="212" vm="2101">
        <f t="shared" si="20"/>
        <v>65000</v>
      </c>
    </row>
    <row r="150" spans="2:6">
      <c r="B150" s="152" t="str" vm="536">
        <f t="shared" si="21"/>
        <v>Core</v>
      </c>
      <c r="C150" s="152" t="str" vm="744">
        <f>CUBEMEMBER("cabcrmsqlrs1 CABReportingCubes Local Financial Snapshot",{"[AIC Outcome].[Type Of Outcome].&amp;[Core]","[AIC Outcome].[Outcome].&amp;[Compensation or remedy awarded by court/tribunal]"})</f>
        <v>Compensation or remedy awarded by court/tribunal</v>
      </c>
      <c r="D150" s="152" t="str" vm="1998">
        <f t="shared" si="20"/>
        <v/>
      </c>
      <c r="E150" s="152" t="str" vm="1985">
        <f t="shared" si="20"/>
        <v/>
      </c>
      <c r="F150" s="212" t="str" vm="2089">
        <f t="shared" si="20"/>
        <v/>
      </c>
    </row>
    <row r="151" spans="2:6">
      <c r="B151" s="152" t="str" vm="536">
        <f t="shared" si="21"/>
        <v>Core</v>
      </c>
      <c r="C151" s="152" t="str" vm="824">
        <f>CUBEMEMBER("cabcrmsqlrs1 CABReportingCubes Local Financial Snapshot",{"[AIC Outcome].[Type Of Outcome].&amp;[Core]","[AIC Outcome].[Outcome].&amp;[Compensation ordered/agreed but unpaid]"})</f>
        <v>Compensation ordered/agreed but unpaid</v>
      </c>
      <c r="D151" s="152" t="str" vm="2272">
        <f t="shared" si="20"/>
        <v/>
      </c>
      <c r="E151" s="152" t="str" vm="2007">
        <f t="shared" si="20"/>
        <v/>
      </c>
      <c r="F151" s="212" t="str" vm="2098">
        <f t="shared" si="20"/>
        <v/>
      </c>
    </row>
    <row r="152" spans="2:6">
      <c r="B152" s="152" t="str" vm="536">
        <f t="shared" si="21"/>
        <v>Core</v>
      </c>
      <c r="C152" s="152" t="str" vm="743">
        <f>CUBEMEMBER("cabcrmsqlrs1 CABReportingCubes Local Financial Snapshot",{"[AIC Outcome].[Type Of Outcome].&amp;[Core]","[AIC Outcome].[Outcome].&amp;[complaint made]"})</f>
        <v>complaint made</v>
      </c>
      <c r="D152" s="152" t="str" vm="2210">
        <f t="shared" si="20"/>
        <v/>
      </c>
      <c r="E152" s="152" t="str" vm="1904">
        <f t="shared" si="20"/>
        <v/>
      </c>
      <c r="F152" s="212" t="str" vm="2190">
        <f t="shared" si="20"/>
        <v/>
      </c>
    </row>
    <row r="153" spans="2:6">
      <c r="B153" s="152" t="str" vm="536">
        <f t="shared" si="21"/>
        <v>Core</v>
      </c>
      <c r="C153" s="152" t="str" vm="823">
        <f>CUBEMEMBER("cabcrmsqlrs1 CABReportingCubes Local Financial Snapshot",{"[AIC Outcome].[Type Of Outcome].&amp;[Core]","[AIC Outcome].[Outcome].&amp;[Complaint made to organisation]"})</f>
        <v>Complaint made to organisation</v>
      </c>
      <c r="D153" s="152" t="str" vm="2333">
        <f t="shared" si="20"/>
        <v/>
      </c>
      <c r="E153" s="152" t="str" vm="1535">
        <f t="shared" si="20"/>
        <v/>
      </c>
      <c r="F153" s="212" t="str" vm="2387">
        <f t="shared" si="20"/>
        <v/>
      </c>
    </row>
    <row r="154" spans="2:6">
      <c r="B154" s="152" t="str" vm="536">
        <f t="shared" si="21"/>
        <v>Core</v>
      </c>
      <c r="C154" s="152" t="str" vm="742">
        <f>CUBEMEMBER("cabcrmsqlrs1 CABReportingCubes Local Financial Snapshot",{"[AIC Outcome].[Type Of Outcome].&amp;[Core]","[AIC Outcome].[Outcome].&amp;[Complaint resolved]"})</f>
        <v>Complaint resolved</v>
      </c>
      <c r="D154" s="152" vm="2254">
        <f t="shared" si="20"/>
        <v>12</v>
      </c>
      <c r="E154" s="152" vm="1764">
        <f t="shared" si="20"/>
        <v>10</v>
      </c>
      <c r="F154" s="212" vm="2049">
        <f t="shared" si="20"/>
        <v>2107.67</v>
      </c>
    </row>
    <row r="155" spans="2:6">
      <c r="B155" s="152" t="str" vm="536">
        <f t="shared" si="21"/>
        <v>Core</v>
      </c>
      <c r="C155" s="152" t="str" vm="928">
        <f>CUBEMEMBER("cabcrmsqlrs1 CABReportingCubes Local Financial Snapshot",{"[AIC Outcome].[Type Of Outcome].&amp;[Core]","[AIC Outcome].[Outcome].&amp;[Complaint successful]"})</f>
        <v>Complaint successful</v>
      </c>
      <c r="D155" s="152" t="str" vm="2578">
        <f t="shared" si="20"/>
        <v/>
      </c>
      <c r="E155" s="152" t="str" vm="2579">
        <f t="shared" si="20"/>
        <v/>
      </c>
      <c r="F155" s="212" t="str" vm="2126">
        <f t="shared" si="20"/>
        <v/>
      </c>
    </row>
    <row r="156" spans="2:6">
      <c r="B156" s="152" t="str" vm="536">
        <f t="shared" si="21"/>
        <v>Core</v>
      </c>
      <c r="C156" s="152" t="str" vm="822">
        <f>CUBEMEMBER("cabcrmsqlrs1 CABReportingCubes Local Financial Snapshot",{"[AIC Outcome].[Type Of Outcome].&amp;[Core]","[AIC Outcome].[Outcome].&amp;[Contact arrangements - agreed]"})</f>
        <v>Contact arrangements - agreed</v>
      </c>
      <c r="D156" s="152" t="str" vm="2582">
        <f t="shared" si="20"/>
        <v/>
      </c>
      <c r="E156" s="152" t="str" vm="2583">
        <f t="shared" si="20"/>
        <v/>
      </c>
      <c r="F156" s="212" t="str" vm="2581">
        <f t="shared" si="20"/>
        <v/>
      </c>
    </row>
    <row r="157" spans="2:6">
      <c r="B157" s="152" t="str" vm="536">
        <f t="shared" si="21"/>
        <v>Core</v>
      </c>
      <c r="C157" s="152" t="str" vm="741">
        <f>CUBEMEMBER("cabcrmsqlrs1 CABReportingCubes Local Financial Snapshot",{"[AIC Outcome].[Type Of Outcome].&amp;[Core]","[AIC Outcome].[Outcome].&amp;[Contact arrangements - disputed]"})</f>
        <v>Contact arrangements - disputed</v>
      </c>
      <c r="D157" s="152" t="str" vm="1820">
        <f t="shared" si="20"/>
        <v/>
      </c>
      <c r="E157" s="152" t="str" vm="1676">
        <f t="shared" si="20"/>
        <v/>
      </c>
      <c r="F157" s="212" t="str" vm="2041">
        <f t="shared" si="20"/>
        <v/>
      </c>
    </row>
    <row r="158" spans="2:6">
      <c r="B158" s="152" t="str" vm="536">
        <f t="shared" si="21"/>
        <v>Core</v>
      </c>
      <c r="C158" s="152" t="str" vm="821">
        <f>CUBEMEMBER("cabcrmsqlrs1 CABReportingCubes Local Financial Snapshot",{"[AIC Outcome].[Type Of Outcome].&amp;[Core]","[AIC Outcome].[Outcome].&amp;[Court fees waived or refunded]"})</f>
        <v>Court fees waived or refunded</v>
      </c>
      <c r="D158" s="152" t="str" vm="2554">
        <f t="shared" si="20"/>
        <v/>
      </c>
      <c r="E158" s="152" t="str" vm="2553">
        <f t="shared" si="20"/>
        <v/>
      </c>
      <c r="F158" s="212" t="str" vm="2555">
        <f t="shared" si="20"/>
        <v/>
      </c>
    </row>
    <row r="159" spans="2:6">
      <c r="B159" s="152" t="str" vm="536">
        <f t="shared" si="21"/>
        <v>Core</v>
      </c>
      <c r="C159" s="152" t="str" vm="740">
        <f>CUBEMEMBER("cabcrmsqlrs1 CABReportingCubes Local Financial Snapshot",{"[AIC Outcome].[Type Of Outcome].&amp;[Core]","[AIC Outcome].[Outcome].&amp;[Court or committal proceedings avoided/suspended]"})</f>
        <v>Court or committal proceedings avoided/suspended</v>
      </c>
      <c r="D159" s="152" t="str" vm="2504">
        <f t="shared" si="20"/>
        <v/>
      </c>
      <c r="E159" s="152" t="str" vm="1530">
        <f t="shared" si="20"/>
        <v/>
      </c>
      <c r="F159" s="212" t="str" vm="1836">
        <f t="shared" si="20"/>
        <v/>
      </c>
    </row>
    <row r="160" spans="2:6">
      <c r="B160" s="152" t="str" vm="536">
        <f t="shared" si="21"/>
        <v>Core</v>
      </c>
      <c r="C160" s="152" t="str" vm="904">
        <f>CUBEMEMBER("cabcrmsqlrs1 CABReportingCubes Local Financial Snapshot",{"[AIC Outcome].[Type Of Outcome].&amp;[Core]","[AIC Outcome].[Outcome].&amp;[Creditor action stopped/suspended/prevented]"})</f>
        <v>Creditor action stopped/suspended/prevented</v>
      </c>
      <c r="D160" s="152" t="str" vm="2253">
        <f t="shared" si="20"/>
        <v/>
      </c>
      <c r="E160" s="152" t="str" vm="1603">
        <f t="shared" si="20"/>
        <v/>
      </c>
      <c r="F160" s="212" t="str" vm="1673">
        <f t="shared" si="20"/>
        <v/>
      </c>
    </row>
    <row r="161" spans="2:6">
      <c r="B161" s="152" t="str" vm="536">
        <f t="shared" si="21"/>
        <v>Core</v>
      </c>
      <c r="C161" s="152" t="str" vm="820">
        <f>CUBEMEMBER("cabcrmsqlrs1 CABReportingCubes Local Financial Snapshot",{"[AIC Outcome].[Type Of Outcome].&amp;[Core]","[AIC Outcome].[Outcome].&amp;[Crime prosecuted]"})</f>
        <v>Crime prosecuted</v>
      </c>
      <c r="D161" s="152" t="str" vm="2074">
        <f t="shared" si="20"/>
        <v/>
      </c>
      <c r="E161" s="152" t="str" vm="2337">
        <f t="shared" si="20"/>
        <v/>
      </c>
      <c r="F161" s="212" t="str" vm="2708">
        <f t="shared" si="20"/>
        <v/>
      </c>
    </row>
    <row r="162" spans="2:6">
      <c r="B162" s="152" t="str" vm="536">
        <f t="shared" si="21"/>
        <v>Core</v>
      </c>
      <c r="C162" s="152" t="str" vm="739">
        <f>CUBEMEMBER("cabcrmsqlrs1 CABReportingCubes Local Financial Snapshot",{"[AIC Outcome].[Type Of Outcome].&amp;[Core]","[AIC Outcome].[Outcome].&amp;[Criminal proceedings completed]"})</f>
        <v>Criminal proceedings completed</v>
      </c>
      <c r="D162" s="152" t="str" vm="2489">
        <f t="shared" si="20"/>
        <v/>
      </c>
      <c r="E162" s="152" t="str" vm="2300">
        <f t="shared" si="20"/>
        <v/>
      </c>
      <c r="F162" s="212" t="str" vm="1763">
        <f t="shared" si="20"/>
        <v/>
      </c>
    </row>
    <row r="163" spans="2:6">
      <c r="B163" s="152" t="str" vm="536">
        <f t="shared" si="21"/>
        <v>Core</v>
      </c>
      <c r="C163" s="152" t="str" vm="819">
        <f>CUBEMEMBER("cabcrmsqlrs1 CABReportingCubes Local Financial Snapshot",{"[AIC Outcome].[Type Of Outcome].&amp;[Core]","[AIC Outcome].[Outcome].&amp;[Debt write off - other]"})</f>
        <v>Debt write off - other</v>
      </c>
      <c r="D163" s="152" vm="2506">
        <f t="shared" ref="D163:F182" si="22">CUBEVALUE("cabcrmsqlrs1 CABReportingCubes Local Financial Snapshot",$C$77,$C$78,$C$79,$C$80,$C163,D$82)</f>
        <v>46</v>
      </c>
      <c r="E163" s="152" vm="1593">
        <f t="shared" si="22"/>
        <v>29</v>
      </c>
      <c r="F163" s="212" vm="1597">
        <f t="shared" si="22"/>
        <v>51729.66</v>
      </c>
    </row>
    <row r="164" spans="2:6">
      <c r="B164" s="152" t="str" vm="536">
        <f t="shared" si="21"/>
        <v>Core</v>
      </c>
      <c r="C164" s="152" t="str" vm="738">
        <f>CUBEMEMBER("cabcrmsqlrs1 CABReportingCubes Local Financial Snapshot",{"[AIC Outcome].[Type Of Outcome].&amp;[Core]","[AIC Outcome].[Outcome].&amp;[Debts repaid]"})</f>
        <v>Debts repaid</v>
      </c>
      <c r="D164" s="152" t="str" vm="1823">
        <f t="shared" si="22"/>
        <v/>
      </c>
      <c r="E164" s="152" t="str" vm="1545">
        <f t="shared" si="22"/>
        <v/>
      </c>
      <c r="F164" s="212" t="str" vm="2116">
        <f t="shared" si="22"/>
        <v/>
      </c>
    </row>
    <row r="165" spans="2:6">
      <c r="B165" s="152" t="str" vm="536">
        <f t="shared" si="21"/>
        <v>Core</v>
      </c>
      <c r="C165" s="152" t="str" vm="818">
        <f>CUBEMEMBER("cabcrmsqlrs1 CABReportingCubes Local Financial Snapshot",{"[AIC Outcome].[Type Of Outcome].&amp;[Core]","[AIC Outcome].[Outcome].&amp;[Deportation prevented/delayed]"})</f>
        <v>Deportation prevented/delayed</v>
      </c>
      <c r="D165" s="152" t="str" vm="2344">
        <f t="shared" si="22"/>
        <v/>
      </c>
      <c r="E165" s="152" t="str" vm="1563">
        <f t="shared" si="22"/>
        <v/>
      </c>
      <c r="F165" s="212" t="str" vm="2394">
        <f t="shared" si="22"/>
        <v/>
      </c>
    </row>
    <row r="166" spans="2:6">
      <c r="B166" s="152" t="str" vm="536">
        <f t="shared" si="21"/>
        <v>Core</v>
      </c>
      <c r="C166" s="152" t="str" vm="938">
        <f>CUBEMEMBER("cabcrmsqlrs1 CABReportingCubes Local Financial Snapshot",{"[AIC Outcome].[Type Of Outcome].&amp;[Core]","[AIC Outcome].[Outcome].&amp;[Detention prevented / Client released]"})</f>
        <v>Detention prevented / Client released</v>
      </c>
      <c r="D166" s="152" t="str" vm="1818">
        <f t="shared" si="22"/>
        <v/>
      </c>
      <c r="E166" s="152" t="str" vm="1776">
        <f t="shared" si="22"/>
        <v/>
      </c>
      <c r="F166" s="212" t="str" vm="1755">
        <f t="shared" si="22"/>
        <v/>
      </c>
    </row>
    <row r="167" spans="2:6">
      <c r="B167" s="152" t="str" vm="536">
        <f t="shared" si="21"/>
        <v>Core</v>
      </c>
      <c r="C167" s="152" t="str" vm="737">
        <f>CUBEMEMBER("cabcrmsqlrs1 CABReportingCubes Local Financial Snapshot",{"[AIC Outcome].[Type Of Outcome].&amp;[Core]","[AIC Outcome].[Outcome].&amp;[Discrimination remedy –  successful]"})</f>
        <v>Discrimination remedy –  successful</v>
      </c>
      <c r="D167" s="152" t="str" vm="2524">
        <f t="shared" si="22"/>
        <v/>
      </c>
      <c r="E167" s="152" t="str" vm="2278">
        <f t="shared" si="22"/>
        <v/>
      </c>
      <c r="F167" s="212" t="str" vm="2523">
        <f t="shared" si="22"/>
        <v/>
      </c>
    </row>
    <row r="168" spans="2:6">
      <c r="B168" s="152" t="str" vm="536">
        <f t="shared" si="21"/>
        <v>Core</v>
      </c>
      <c r="C168" s="152" t="str" vm="817">
        <f>CUBEMEMBER("cabcrmsqlrs1 CABReportingCubes Local Financial Snapshot",{"[AIC Outcome].[Type Of Outcome].&amp;[Core]","[AIC Outcome].[Outcome].&amp;[Discrimination remedy – successful]"})</f>
        <v>Discrimination remedy – successful</v>
      </c>
      <c r="D168" s="152" t="str" vm="2446">
        <f t="shared" si="22"/>
        <v/>
      </c>
      <c r="E168" s="152" t="str" vm="1584">
        <f t="shared" si="22"/>
        <v/>
      </c>
      <c r="F168" s="212" t="str" vm="2266">
        <f t="shared" si="22"/>
        <v/>
      </c>
    </row>
    <row r="169" spans="2:6">
      <c r="B169" s="152" t="str" vm="536">
        <f t="shared" si="21"/>
        <v>Core</v>
      </c>
      <c r="C169" s="152" t="str" vm="793">
        <f>CUBEMEMBER("cabcrmsqlrs1 CABReportingCubes Local Financial Snapshot",{"[AIC Outcome].[Type Of Outcome].&amp;[Core]","[AIC Outcome].[Outcome].&amp;[Discrimination remedy – unsuccessful]"})</f>
        <v>Discrimination remedy – unsuccessful</v>
      </c>
      <c r="D169" s="152" t="str" vm="1842">
        <f t="shared" si="22"/>
        <v/>
      </c>
      <c r="E169" s="152" t="str" vm="2076">
        <f t="shared" si="22"/>
        <v/>
      </c>
      <c r="F169" s="212" t="str" vm="2255">
        <f t="shared" si="22"/>
        <v/>
      </c>
    </row>
    <row r="170" spans="2:6">
      <c r="B170" s="152" t="str" vm="536">
        <f t="shared" si="21"/>
        <v>Core</v>
      </c>
      <c r="C170" s="152" t="str" vm="736">
        <f>CUBEMEMBER("cabcrmsqlrs1 CABReportingCubes Local Financial Snapshot",{"[AIC Outcome].[Type Of Outcome].&amp;[Core]","[AIC Outcome].[Outcome].&amp;[Discriminatory practice/policy/decision changed]"})</f>
        <v>Discriminatory practice/policy/decision changed</v>
      </c>
      <c r="D170" s="152" t="str" vm="2185">
        <f t="shared" si="22"/>
        <v/>
      </c>
      <c r="E170" s="152" t="str" vm="2729">
        <f t="shared" si="22"/>
        <v/>
      </c>
      <c r="F170" s="212" t="str" vm="1696">
        <f t="shared" si="22"/>
        <v/>
      </c>
    </row>
    <row r="171" spans="2:6">
      <c r="B171" s="152" t="str" vm="536">
        <f t="shared" si="21"/>
        <v>Core</v>
      </c>
      <c r="C171" s="152" t="str" vm="712">
        <f>CUBEMEMBER("cabcrmsqlrs1 CABReportingCubes Local Financial Snapshot",{"[AIC Outcome].[Type Of Outcome].&amp;[Core]","[AIC Outcome].[Outcome].&amp;[Discriminatory practice/policy/decision unchanged]"})</f>
        <v>Discriminatory practice/policy/decision unchanged</v>
      </c>
      <c r="D171" s="152" t="str" vm="1753">
        <f t="shared" si="22"/>
        <v/>
      </c>
      <c r="E171" s="152" t="str" vm="1550">
        <f t="shared" si="22"/>
        <v/>
      </c>
      <c r="F171" s="212" t="str" vm="1714">
        <f t="shared" si="22"/>
        <v/>
      </c>
    </row>
    <row r="172" spans="2:6">
      <c r="B172" s="152" t="str" vm="536">
        <f t="shared" si="21"/>
        <v>Core</v>
      </c>
      <c r="C172" s="152" t="str" vm="816">
        <f>CUBEMEMBER("cabcrmsqlrs1 CABReportingCubes Local Financial Snapshot",{"[AIC Outcome].[Type Of Outcome].&amp;[Core]","[AIC Outcome].[Outcome].&amp;[Disputed fine / charge / action - successful]"})</f>
        <v>Disputed fine / charge / action - successful</v>
      </c>
      <c r="D172" s="152" vm="2154">
        <f t="shared" si="22"/>
        <v>3</v>
      </c>
      <c r="E172" s="152" vm="1668">
        <f t="shared" si="22"/>
        <v>2</v>
      </c>
      <c r="F172" s="212" vm="2067">
        <f t="shared" si="22"/>
        <v>557.85</v>
      </c>
    </row>
    <row r="173" spans="2:6">
      <c r="B173" s="152" t="str" vm="536">
        <f t="shared" si="21"/>
        <v>Core</v>
      </c>
      <c r="C173" s="152" t="str" vm="792">
        <f>CUBEMEMBER("cabcrmsqlrs1 CABReportingCubes Local Financial Snapshot",{"[AIC Outcome].[Type Of Outcome].&amp;[Core]","[AIC Outcome].[Outcome].&amp;[Disputed fine / charge / action - unsuccessful]"})</f>
        <v>Disputed fine / charge / action - unsuccessful</v>
      </c>
      <c r="D173" s="152" t="str" vm="2042">
        <f t="shared" si="22"/>
        <v/>
      </c>
      <c r="E173" s="152" t="str" vm="2032">
        <f t="shared" si="22"/>
        <v/>
      </c>
      <c r="F173" s="212" t="str" vm="1854">
        <f t="shared" si="22"/>
        <v/>
      </c>
    </row>
    <row r="174" spans="2:6">
      <c r="B174" s="152" t="str" vm="536">
        <f t="shared" si="21"/>
        <v>Core</v>
      </c>
      <c r="C174" s="152" t="str" vm="735">
        <f>CUBEMEMBER("cabcrmsqlrs1 CABReportingCubes Local Financial Snapshot",{"[AIC Outcome].[Type Of Outcome].&amp;[Core]","[AIC Outcome].[Outcome].&amp;[DMP - debt management plan]"})</f>
        <v>DMP - debt management plan</v>
      </c>
      <c r="D174" s="152" vm="2302">
        <f t="shared" si="22"/>
        <v>1</v>
      </c>
      <c r="E174" s="152" vm="1898">
        <f t="shared" si="22"/>
        <v>1</v>
      </c>
      <c r="F174" s="212" vm="2088">
        <f t="shared" si="22"/>
        <v>520</v>
      </c>
    </row>
    <row r="175" spans="2:6">
      <c r="B175" s="152" t="str" vm="536">
        <f t="shared" si="21"/>
        <v>Core</v>
      </c>
      <c r="C175" s="152" t="str" vm="711">
        <f>CUBEMEMBER("cabcrmsqlrs1 CABReportingCubes Local Financial Snapshot",{"[AIC Outcome].[Type Of Outcome].&amp;[Core]","[AIC Outcome].[Outcome].&amp;[DRO - debt relief order]"})</f>
        <v>DRO - debt relief order</v>
      </c>
      <c r="D175" s="152" vm="2327">
        <f t="shared" si="22"/>
        <v>100</v>
      </c>
      <c r="E175" s="152" vm="2072">
        <f t="shared" si="22"/>
        <v>97</v>
      </c>
      <c r="F175" s="212" vm="2693">
        <f t="shared" si="22"/>
        <v>972372.17</v>
      </c>
    </row>
    <row r="176" spans="2:6">
      <c r="B176" s="152" t="str" vm="536">
        <f t="shared" si="21"/>
        <v>Core</v>
      </c>
      <c r="C176" s="152" t="str" vm="815">
        <f>CUBEMEMBER("cabcrmsqlrs1 CABReportingCubes Local Financial Snapshot",{"[AIC Outcome].[Type Of Outcome].&amp;[Core]","[AIC Outcome].[Outcome].&amp;[Enforcement action avoided/suspended]"})</f>
        <v>Enforcement action avoided/suspended</v>
      </c>
      <c r="D176" s="152" vm="2443">
        <f t="shared" si="22"/>
        <v>3</v>
      </c>
      <c r="E176" s="152" vm="1642">
        <f t="shared" si="22"/>
        <v>3</v>
      </c>
      <c r="F176" s="212" vm="2106">
        <f t="shared" si="22"/>
        <v>0</v>
      </c>
    </row>
    <row r="177" spans="2:6">
      <c r="B177" s="152" t="str" vm="536">
        <f t="shared" si="21"/>
        <v>Core</v>
      </c>
      <c r="C177" s="152" t="str" vm="791">
        <f>CUBEMEMBER("cabcrmsqlrs1 CABReportingCubes Local Financial Snapshot",{"[AIC Outcome].[Type Of Outcome].&amp;[Core]","[AIC Outcome].[Outcome].&amp;[Enforcement action taken]"})</f>
        <v>Enforcement action taken</v>
      </c>
      <c r="D177" s="152" vm="1952">
        <f t="shared" si="22"/>
        <v>1</v>
      </c>
      <c r="E177" s="152" vm="2218">
        <f t="shared" si="22"/>
        <v>1</v>
      </c>
      <c r="F177" s="212" vm="1784">
        <f t="shared" si="22"/>
        <v>0</v>
      </c>
    </row>
    <row r="178" spans="2:6">
      <c r="B178" s="152" t="str" vm="536">
        <f t="shared" si="21"/>
        <v>Core</v>
      </c>
      <c r="C178" s="152" t="str" vm="734">
        <f>CUBEMEMBER("cabcrmsqlrs1 CABReportingCubes Local Financial Snapshot",{"[AIC Outcome].[Type Of Outcome].&amp;[Core]","[AIC Outcome].[Outcome].&amp;[Exclusion overturned]"})</f>
        <v>Exclusion overturned</v>
      </c>
      <c r="D178" s="152" t="str" vm="2651">
        <f t="shared" si="22"/>
        <v/>
      </c>
      <c r="E178" s="152" t="str" vm="2652">
        <f t="shared" si="22"/>
        <v/>
      </c>
      <c r="F178" s="212" t="str" vm="2653">
        <f t="shared" si="22"/>
        <v/>
      </c>
    </row>
    <row r="179" spans="2:6">
      <c r="B179" s="152" t="str" vm="536">
        <f t="shared" si="21"/>
        <v>Core</v>
      </c>
      <c r="C179" s="152" t="str" vm="927">
        <f>CUBEMEMBER("cabcrmsqlrs1 CABReportingCubes Local Financial Snapshot",{"[AIC Outcome].[Type Of Outcome].&amp;[Core]","[AIC Outcome].[Outcome].&amp;[Feedback passed to third party]"})</f>
        <v>Feedback passed to third party</v>
      </c>
      <c r="D179" s="152" t="str" vm="1961">
        <f t="shared" si="22"/>
        <v/>
      </c>
      <c r="E179" s="152" t="str" vm="2354">
        <f t="shared" si="22"/>
        <v/>
      </c>
      <c r="F179" s="212" t="str" vm="2380">
        <f t="shared" si="22"/>
        <v/>
      </c>
    </row>
    <row r="180" spans="2:6">
      <c r="B180" s="152" t="str" vm="536">
        <f t="shared" si="21"/>
        <v>Core</v>
      </c>
      <c r="C180" s="152" t="str" vm="710">
        <f>CUBEMEMBER("cabcrmsqlrs1 CABReportingCubes Local Financial Snapshot",{"[AIC Outcome].[Type Of Outcome].&amp;[Core]","[AIC Outcome].[Outcome].&amp;[Financial assistance - associated costs, FSM, uniform, trips, books, travel]"})</f>
        <v>Financial assistance - associated costs, FSM, uniform, trips, books, travel</v>
      </c>
      <c r="D180" s="152" t="str" vm="2091">
        <f t="shared" si="22"/>
        <v/>
      </c>
      <c r="E180" s="152" t="str" vm="1814">
        <f t="shared" si="22"/>
        <v/>
      </c>
      <c r="F180" s="212" t="str" vm="2719">
        <f t="shared" si="22"/>
        <v/>
      </c>
    </row>
    <row r="181" spans="2:6">
      <c r="B181" s="152" t="str" vm="536">
        <f t="shared" si="21"/>
        <v>Core</v>
      </c>
      <c r="C181" s="152" t="str" vm="814">
        <f>CUBEMEMBER("cabcrmsqlrs1 CABReportingCubes Local Financial Snapshot",{"[AIC Outcome].[Type Of Outcome].&amp;[Core]","[AIC Outcome].[Outcome].&amp;[Financial assistance - fees &amp; maintenance grants/waivers]"})</f>
        <v>Financial assistance - fees &amp; maintenance grants/waivers</v>
      </c>
      <c r="D181" s="152" t="str" vm="2623">
        <f t="shared" si="22"/>
        <v/>
      </c>
      <c r="E181" s="152" t="str" vm="2625">
        <f t="shared" si="22"/>
        <v/>
      </c>
      <c r="F181" s="212" t="str" vm="2624">
        <f t="shared" si="22"/>
        <v/>
      </c>
    </row>
    <row r="182" spans="2:6">
      <c r="B182" s="152" t="str" vm="536">
        <f t="shared" si="21"/>
        <v>Core</v>
      </c>
      <c r="C182" s="152" t="str" vm="790">
        <f>CUBEMEMBER("cabcrmsqlrs1 CABReportingCubes Local Financial Snapshot",{"[AIC Outcome].[Type Of Outcome].&amp;[Core]","[AIC Outcome].[Outcome].&amp;[Financial assistance - loans]"})</f>
        <v>Financial assistance - loans</v>
      </c>
      <c r="D182" s="152" t="str" vm="2177">
        <f t="shared" si="22"/>
        <v/>
      </c>
      <c r="E182" s="152" t="str" vm="2117">
        <f t="shared" si="22"/>
        <v/>
      </c>
      <c r="F182" s="212" t="str" vm="2395">
        <f t="shared" si="22"/>
        <v/>
      </c>
    </row>
    <row r="183" spans="2:6">
      <c r="B183" s="152" t="str" vm="536">
        <f t="shared" si="21"/>
        <v>Core</v>
      </c>
      <c r="C183" s="152" t="str" vm="733">
        <f>CUBEMEMBER("cabcrmsqlrs1 CABReportingCubes Local Financial Snapshot",{"[AIC Outcome].[Type Of Outcome].&amp;[Core]","[AIC Outcome].[Outcome].&amp;[Financial body challenged - successful]"})</f>
        <v>Financial body challenged - successful</v>
      </c>
      <c r="D183" s="152" vm="1867">
        <f t="shared" ref="D183:F202" si="23">CUBEVALUE("cabcrmsqlrs1 CABReportingCubes Local Financial Snapshot",$C$77,$C$78,$C$79,$C$80,$C183,D$82)</f>
        <v>1</v>
      </c>
      <c r="E183" s="152" vm="1735">
        <f t="shared" si="23"/>
        <v>1</v>
      </c>
      <c r="F183" s="212" vm="2081">
        <f t="shared" si="23"/>
        <v>200</v>
      </c>
    </row>
    <row r="184" spans="2:6">
      <c r="B184" s="152" t="str" vm="536">
        <f t="shared" si="21"/>
        <v>Core</v>
      </c>
      <c r="C184" s="152" t="str" vm="709">
        <f>CUBEMEMBER("cabcrmsqlrs1 CABReportingCubes Local Financial Snapshot",{"[AIC Outcome].[Type Of Outcome].&amp;[Core]","[AIC Outcome].[Outcome].&amp;[Financial body challenged - unsuccessful]"})</f>
        <v>Financial body challenged - unsuccessful</v>
      </c>
      <c r="D184" s="152" t="str" vm="2463">
        <f t="shared" si="23"/>
        <v/>
      </c>
      <c r="E184" s="152" t="str" vm="1586">
        <f t="shared" si="23"/>
        <v/>
      </c>
      <c r="F184" s="212" t="str" vm="2384">
        <f t="shared" si="23"/>
        <v/>
      </c>
    </row>
    <row r="185" spans="2:6">
      <c r="B185" s="152" t="str" vm="536">
        <f t="shared" si="21"/>
        <v>Core</v>
      </c>
      <c r="C185" s="152" t="str" vm="813">
        <f>CUBEMEMBER("cabcrmsqlrs1 CABReportingCubes Local Financial Snapshot",{"[AIC Outcome].[Type Of Outcome].&amp;[Core]","[AIC Outcome].[Outcome].&amp;[Financial gain]"})</f>
        <v>Financial gain</v>
      </c>
      <c r="D185" s="152" vm="2355">
        <f t="shared" si="23"/>
        <v>4</v>
      </c>
      <c r="E185" s="152" vm="1740">
        <f t="shared" si="23"/>
        <v>3</v>
      </c>
      <c r="F185" s="212" vm="1855">
        <f t="shared" si="23"/>
        <v>90074</v>
      </c>
    </row>
    <row r="186" spans="2:6">
      <c r="B186" s="152" t="str" vm="536">
        <f t="shared" si="21"/>
        <v>Core</v>
      </c>
      <c r="C186" s="152" t="str" vm="789">
        <f>CUBEMEMBER("cabcrmsqlrs1 CABReportingCubes Local Financial Snapshot",{"[AIC Outcome].[Type Of Outcome].&amp;[Core]","[AIC Outcome].[Outcome].&amp;[Financial gain (please specify)]"})</f>
        <v>Financial gain (please specify)</v>
      </c>
      <c r="D186" s="152" vm="2503">
        <f t="shared" si="23"/>
        <v>4</v>
      </c>
      <c r="E186" s="152" vm="1958">
        <f t="shared" si="23"/>
        <v>4</v>
      </c>
      <c r="F186" s="212" vm="1719">
        <f t="shared" si="23"/>
        <v>572</v>
      </c>
    </row>
    <row r="187" spans="2:6">
      <c r="B187" s="152" t="str" vm="536">
        <f t="shared" si="21"/>
        <v>Core</v>
      </c>
      <c r="C187" s="152" t="str" vm="732">
        <f>CUBEMEMBER("cabcrmsqlrs1 CABReportingCubes Local Financial Snapshot",{"[AIC Outcome].[Type Of Outcome].&amp;[Core]","[AIC Outcome].[Outcome].&amp;[Financial gain/improvement]"})</f>
        <v>Financial gain/improvement</v>
      </c>
      <c r="D187" s="152" vm="2175">
        <f t="shared" si="23"/>
        <v>4</v>
      </c>
      <c r="E187" s="152" vm="2291">
        <f t="shared" si="23"/>
        <v>3</v>
      </c>
      <c r="F187" s="212" vm="2401">
        <f t="shared" si="23"/>
        <v>2656</v>
      </c>
    </row>
    <row r="188" spans="2:6">
      <c r="B188" s="152" t="str" vm="536">
        <f t="shared" si="21"/>
        <v>Core</v>
      </c>
      <c r="C188" s="152" t="str" vm="903">
        <f>CUBEMEMBER("cabcrmsqlrs1 CABReportingCubes Local Financial Snapshot",{"[AIC Outcome].[Type Of Outcome].&amp;[Core]","[AIC Outcome].[Outcome].&amp;[Financial planning for the future]"})</f>
        <v>Financial planning for the future</v>
      </c>
      <c r="D188" s="152" vm="2552">
        <f t="shared" si="23"/>
        <v>2</v>
      </c>
      <c r="E188" s="152" vm="2157">
        <f t="shared" si="23"/>
        <v>2</v>
      </c>
      <c r="F188" s="212" vm="2551">
        <f t="shared" si="23"/>
        <v>0</v>
      </c>
    </row>
    <row r="189" spans="2:6">
      <c r="B189" s="152" t="str" vm="536">
        <f t="shared" si="21"/>
        <v>Core</v>
      </c>
      <c r="C189" s="152" t="str" vm="708">
        <f>CUBEMEMBER("cabcrmsqlrs1 CABReportingCubes Local Financial Snapshot",{"[AIC Outcome].[Type Of Outcome].&amp;[Core]","[AIC Outcome].[Outcome].&amp;[Financial situation stabilised / debts under control]"})</f>
        <v>Financial situation stabilised / debts under control</v>
      </c>
      <c r="D189" s="152" vm="2501">
        <f t="shared" si="23"/>
        <v>11</v>
      </c>
      <c r="E189" s="152" vm="1556">
        <f t="shared" si="23"/>
        <v>8</v>
      </c>
      <c r="F189" s="212" vm="1600">
        <f t="shared" si="23"/>
        <v>0</v>
      </c>
    </row>
    <row r="190" spans="2:6">
      <c r="B190" s="152" t="str" vm="536">
        <f t="shared" si="21"/>
        <v>Core</v>
      </c>
      <c r="C190" s="152" t="str" vm="812">
        <f>CUBEMEMBER("cabcrmsqlrs1 CABReportingCubes Local Financial Snapshot",{"[AIC Outcome].[Type Of Outcome].&amp;[Core]","[AIC Outcome].[Outcome].&amp;[Flexible working hours agreed]"})</f>
        <v>Flexible working hours agreed</v>
      </c>
      <c r="D190" s="152" t="str" vm="1802">
        <f t="shared" si="23"/>
        <v/>
      </c>
      <c r="E190" s="152" t="str" vm="2268">
        <f t="shared" si="23"/>
        <v/>
      </c>
      <c r="F190" s="212" t="str" vm="2198">
        <f t="shared" si="23"/>
        <v/>
      </c>
    </row>
    <row r="191" spans="2:6">
      <c r="B191" s="152" t="str" vm="536">
        <f t="shared" si="21"/>
        <v>Core</v>
      </c>
      <c r="C191" s="152" t="str" vm="788">
        <f>CUBEMEMBER("cabcrmsqlrs1 CABReportingCubes Local Financial Snapshot",{"[AIC Outcome].[Type Of Outcome].&amp;[Core]","[AIC Outcome].[Outcome].&amp;[Food provision / referral]"})</f>
        <v>Food provision / referral</v>
      </c>
      <c r="D191" s="152" vm="1826">
        <f t="shared" si="23"/>
        <v>12</v>
      </c>
      <c r="E191" s="152" vm="1651">
        <f t="shared" si="23"/>
        <v>12</v>
      </c>
      <c r="F191" s="212" vm="2385">
        <f t="shared" si="23"/>
        <v>335</v>
      </c>
    </row>
    <row r="192" spans="2:6">
      <c r="B192" s="152" t="str" vm="536">
        <f t="shared" si="21"/>
        <v>Core</v>
      </c>
      <c r="C192" s="152" t="str" vm="731">
        <f>CUBEMEMBER("cabcrmsqlrs1 CABReportingCubes Local Financial Snapshot",{"[AIC Outcome].[Type Of Outcome].&amp;[Core]","[AIC Outcome].[Outcome].&amp;[Free or reduced charges/costs]"})</f>
        <v>Free or reduced charges/costs</v>
      </c>
      <c r="D192" s="152" t="str" vm="2415">
        <f t="shared" si="23"/>
        <v/>
      </c>
      <c r="E192" s="152" t="str" vm="1988">
        <f t="shared" si="23"/>
        <v/>
      </c>
      <c r="F192" s="212" t="str" vm="2416">
        <f t="shared" si="23"/>
        <v/>
      </c>
    </row>
    <row r="193" spans="2:6">
      <c r="B193" s="152" t="str" vm="536">
        <f t="shared" si="21"/>
        <v>Core</v>
      </c>
      <c r="C193" s="152" t="str" vm="707">
        <f>CUBEMEMBER("cabcrmsqlrs1 CABReportingCubes Local Financial Snapshot",{"[AIC Outcome].[Type Of Outcome].&amp;[Core]","[AIC Outcome].[Outcome].&amp;[Full and final settlement]"})</f>
        <v>Full and final settlement</v>
      </c>
      <c r="D193" s="152" t="str" vm="1964">
        <f t="shared" si="23"/>
        <v/>
      </c>
      <c r="E193" s="152" t="str" vm="1628">
        <f t="shared" si="23"/>
        <v/>
      </c>
      <c r="F193" s="212" t="str" vm="1653">
        <f t="shared" si="23"/>
        <v/>
      </c>
    </row>
    <row r="194" spans="2:6">
      <c r="B194" s="152" t="str" vm="536">
        <f t="shared" si="21"/>
        <v>Core</v>
      </c>
      <c r="C194" s="152" t="str" vm="811">
        <f>CUBEMEMBER("cabcrmsqlrs1 CABReportingCubes Local Financial Snapshot",{"[AIC Outcome].[Type Of Outcome].&amp;[Core]","[AIC Outcome].[Outcome].&amp;[Funeral costs paid / part paid]"})</f>
        <v>Funeral costs paid / part paid</v>
      </c>
      <c r="D194" s="152" t="str" vm="2340">
        <f t="shared" si="23"/>
        <v/>
      </c>
      <c r="E194" s="152" t="str" vm="2711">
        <f t="shared" si="23"/>
        <v/>
      </c>
      <c r="F194" s="212" t="str" vm="1947">
        <f t="shared" si="23"/>
        <v/>
      </c>
    </row>
    <row r="195" spans="2:6">
      <c r="B195" s="152" t="str" vm="536">
        <f t="shared" si="21"/>
        <v>Core</v>
      </c>
      <c r="C195" s="152" t="str" vm="787">
        <f>CUBEMEMBER("cabcrmsqlrs1 CABReportingCubes Local Financial Snapshot",{"[AIC Outcome].[Type Of Outcome].&amp;[Core]","[AIC Outcome].[Outcome].&amp;[Gender based violence - successful]"})</f>
        <v>Gender based violence - successful</v>
      </c>
      <c r="D195" s="152" t="str" vm="1971">
        <f t="shared" si="23"/>
        <v/>
      </c>
      <c r="E195" s="152" t="str" vm="1634">
        <f t="shared" si="23"/>
        <v/>
      </c>
      <c r="F195" s="212" t="str" vm="1665">
        <f t="shared" si="23"/>
        <v/>
      </c>
    </row>
    <row r="196" spans="2:6">
      <c r="B196" s="152" t="str" vm="536">
        <f t="shared" si="21"/>
        <v>Core</v>
      </c>
      <c r="C196" s="152" t="str" vm="902">
        <f>CUBEMEMBER("cabcrmsqlrs1 CABReportingCubes Local Financial Snapshot",{"[AIC Outcome].[Type Of Outcome].&amp;[Core]","[AIC Outcome].[Outcome].&amp;[Gender based violence - unsuccessful]"})</f>
        <v>Gender based violence - unsuccessful</v>
      </c>
      <c r="D196" s="152" t="str" vm="1981">
        <f t="shared" si="23"/>
        <v/>
      </c>
      <c r="E196" s="152" t="str" vm="1640">
        <f t="shared" si="23"/>
        <v/>
      </c>
      <c r="F196" s="212" t="str" vm="1970">
        <f t="shared" si="23"/>
        <v/>
      </c>
    </row>
    <row r="197" spans="2:6">
      <c r="B197" s="152" t="str" vm="536">
        <f t="shared" si="21"/>
        <v>Core</v>
      </c>
      <c r="C197" s="152" t="str" vm="730">
        <f>CUBEMEMBER("cabcrmsqlrs1 CABReportingCubes Local Financial Snapshot",{"[AIC Outcome].[Type Of Outcome].&amp;[Core]","[AIC Outcome].[Outcome].&amp;[Goods or services provided]"})</f>
        <v>Goods or services provided</v>
      </c>
      <c r="D197" s="152" vm="2029">
        <f t="shared" si="23"/>
        <v>8</v>
      </c>
      <c r="E197" s="152" vm="1575">
        <f t="shared" si="23"/>
        <v>8</v>
      </c>
      <c r="F197" s="212" vm="2110">
        <f t="shared" si="23"/>
        <v>2000</v>
      </c>
    </row>
    <row r="198" spans="2:6">
      <c r="B198" s="152" t="str" vm="536">
        <f t="shared" si="21"/>
        <v>Core</v>
      </c>
      <c r="C198" s="152" t="str" vm="706">
        <f>CUBEMEMBER("cabcrmsqlrs1 CABReportingCubes Local Financial Snapshot",{"[AIC Outcome].[Type Of Outcome].&amp;[Core]","[AIC Outcome].[Outcome].&amp;[Greater choice and/or involvement and/or control of services]"})</f>
        <v>Greater choice and/or involvement and/or control of services</v>
      </c>
      <c r="D198" s="152" t="str" vm="1871">
        <f t="shared" si="23"/>
        <v/>
      </c>
      <c r="E198" s="152" t="str" vm="1582">
        <f t="shared" si="23"/>
        <v/>
      </c>
      <c r="F198" s="212" t="str" vm="2052">
        <f t="shared" si="23"/>
        <v/>
      </c>
    </row>
    <row r="199" spans="2:6">
      <c r="B199" s="152" t="str" vm="536">
        <f t="shared" si="21"/>
        <v>Core</v>
      </c>
      <c r="C199" s="152" t="str" vm="926">
        <f>CUBEMEMBER("cabcrmsqlrs1 CABReportingCubes Local Financial Snapshot",{"[AIC Outcome].[Type Of Outcome].&amp;[Core]","[AIC Outcome].[Outcome].&amp;[Grievance or complaint rejected]"})</f>
        <v>Grievance or complaint rejected</v>
      </c>
      <c r="D199" s="152" t="str" vm="2486">
        <f t="shared" si="23"/>
        <v/>
      </c>
      <c r="E199" s="152" t="str" vm="1559">
        <f t="shared" si="23"/>
        <v/>
      </c>
      <c r="F199" s="212" t="str" vm="1614">
        <f t="shared" si="23"/>
        <v/>
      </c>
    </row>
    <row r="200" spans="2:6">
      <c r="B200" s="152" t="str" vm="536">
        <f t="shared" si="21"/>
        <v>Core</v>
      </c>
      <c r="C200" s="152" t="str" vm="810">
        <f>CUBEMEMBER("cabcrmsqlrs1 CABReportingCubes Local Financial Snapshot",{"[AIC Outcome].[Type Of Outcome].&amp;[Core]","[AIC Outcome].[Outcome].&amp;[Grievance rejected by employer]"})</f>
        <v>Grievance rejected by employer</v>
      </c>
      <c r="D200" s="152" t="str" vm="1846">
        <f t="shared" si="23"/>
        <v/>
      </c>
      <c r="E200" s="152" t="str" vm="1695">
        <f t="shared" si="23"/>
        <v/>
      </c>
      <c r="F200" s="212" t="str" vm="2397">
        <f t="shared" si="23"/>
        <v/>
      </c>
    </row>
    <row r="201" spans="2:6">
      <c r="B201" s="152" t="str" vm="536">
        <f t="shared" si="21"/>
        <v>Core</v>
      </c>
      <c r="C201" s="152" t="str" vm="786">
        <f>CUBEMEMBER("cabcrmsqlrs1 CABReportingCubes Local Financial Snapshot",{"[AIC Outcome].[Type Of Outcome].&amp;[Core]","[AIC Outcome].[Outcome].&amp;[Grievance upheld by employer]"})</f>
        <v>Grievance upheld by employer</v>
      </c>
      <c r="D201" s="152" t="str" vm="1821">
        <f t="shared" si="23"/>
        <v/>
      </c>
      <c r="E201" s="152" t="str" vm="1788">
        <f t="shared" si="23"/>
        <v/>
      </c>
      <c r="F201" s="212" t="str" vm="1688">
        <f t="shared" si="23"/>
        <v/>
      </c>
    </row>
    <row r="202" spans="2:6">
      <c r="B202" s="152" t="str" vm="536">
        <f t="shared" si="21"/>
        <v>Core</v>
      </c>
      <c r="C202" s="152" t="str" vm="729">
        <f>CUBEMEMBER("cabcrmsqlrs1 CABReportingCubes Local Financial Snapshot",{"[AIC Outcome].[Type Of Outcome].&amp;[Core]","[AIC Outcome].[Outcome].&amp;[Harassment or bullying continues]"})</f>
        <v>Harassment or bullying continues</v>
      </c>
      <c r="D202" s="152" t="str" vm="1799">
        <f t="shared" si="23"/>
        <v/>
      </c>
      <c r="E202" s="152" t="str" vm="1926">
        <f t="shared" si="23"/>
        <v/>
      </c>
      <c r="F202" s="212" t="str" vm="2138">
        <f t="shared" si="23"/>
        <v/>
      </c>
    </row>
    <row r="203" spans="2:6">
      <c r="B203" s="152" t="str" vm="536">
        <f t="shared" si="21"/>
        <v>Core</v>
      </c>
      <c r="C203" s="152" t="str" vm="705">
        <f>CUBEMEMBER("cabcrmsqlrs1 CABReportingCubes Local Financial Snapshot",{"[AIC Outcome].[Type Of Outcome].&amp;[Core]","[AIC Outcome].[Outcome].&amp;[Harassment or bullying stopped]"})</f>
        <v>Harassment or bullying stopped</v>
      </c>
      <c r="D203" s="152" t="str" vm="2233">
        <f t="shared" ref="D203:F222" si="24">CUBEVALUE("cabcrmsqlrs1 CABReportingCubes Local Financial Snapshot",$C$77,$C$78,$C$79,$C$80,$C203,D$82)</f>
        <v/>
      </c>
      <c r="E203" s="152" t="str" vm="1598">
        <f t="shared" si="24"/>
        <v/>
      </c>
      <c r="F203" s="212" t="str" vm="1895">
        <f t="shared" si="24"/>
        <v/>
      </c>
    </row>
    <row r="204" spans="2:6">
      <c r="B204" s="152" t="str" vm="536">
        <f t="shared" si="21"/>
        <v>Core</v>
      </c>
      <c r="C204" s="152" t="str" vm="809">
        <f>CUBEMEMBER("cabcrmsqlrs1 CABReportingCubes Local Financial Snapshot",{"[AIC Outcome].[Type Of Outcome].&amp;[Core]","[AIC Outcome].[Outcome].&amp;[Harassment or neighbour dispute resolved]"})</f>
        <v>Harassment or neighbour dispute resolved</v>
      </c>
      <c r="D204" s="152" t="str" vm="1936">
        <f t="shared" si="24"/>
        <v/>
      </c>
      <c r="E204" s="152" t="str" vm="2148">
        <f t="shared" si="24"/>
        <v/>
      </c>
      <c r="F204" s="212" t="str" vm="1813">
        <f t="shared" si="24"/>
        <v/>
      </c>
    </row>
    <row r="205" spans="2:6">
      <c r="B205" s="152" t="str" vm="536">
        <f t="shared" si="21"/>
        <v>Core</v>
      </c>
      <c r="C205" s="152" t="str" vm="925">
        <f>CUBEMEMBER("cabcrmsqlrs1 CABReportingCubes Local Financial Snapshot",{"[AIC Outcome].[Type Of Outcome].&amp;[Core]","[AIC Outcome].[Outcome].&amp;[Health charges reduced or eliminated]"})</f>
        <v>Health charges reduced or eliminated</v>
      </c>
      <c r="D205" s="152" vm="1951">
        <f t="shared" si="24"/>
        <v>2</v>
      </c>
      <c r="E205" s="152" vm="2090">
        <f t="shared" si="24"/>
        <v>2</v>
      </c>
      <c r="F205" s="212" vm="2000">
        <f t="shared" si="24"/>
        <v>191</v>
      </c>
    </row>
    <row r="206" spans="2:6">
      <c r="B206" s="152" t="str" vm="536">
        <f t="shared" si="21"/>
        <v>Core</v>
      </c>
      <c r="C206" s="152" t="str" vm="785">
        <f>CUBEMEMBER("cabcrmsqlrs1 CABReportingCubes Local Financial Snapshot",{"[AIC Outcome].[Type Of Outcome].&amp;[Core]","[AIC Outcome].[Outcome].&amp;[Health/social care charges reduced or eliminated]"})</f>
        <v>Health/social care charges reduced or eliminated</v>
      </c>
      <c r="D206" s="152" t="str" vm="2055">
        <f t="shared" si="24"/>
        <v/>
      </c>
      <c r="E206" s="152" t="str" vm="2737">
        <f t="shared" si="24"/>
        <v/>
      </c>
      <c r="F206" s="212" t="str" vm="1708">
        <f t="shared" si="24"/>
        <v/>
      </c>
    </row>
    <row r="207" spans="2:6">
      <c r="B207" s="152" t="str" vm="536">
        <f t="shared" si="21"/>
        <v>Core</v>
      </c>
      <c r="C207" s="152" t="str" vm="728">
        <f>CUBEMEMBER("cabcrmsqlrs1 CABReportingCubes Local Financial Snapshot",{"[AIC Outcome].[Type Of Outcome].&amp;[Core]","[AIC Outcome].[Outcome].&amp;[Home care/aids/adaptations obtained]"})</f>
        <v>Home care/aids/adaptations obtained</v>
      </c>
      <c r="D207" s="152" vm="1844">
        <f t="shared" si="24"/>
        <v>1</v>
      </c>
      <c r="E207" s="152" vm="1627">
        <f t="shared" si="24"/>
        <v>1</v>
      </c>
      <c r="F207" s="212" vm="1595">
        <f t="shared" si="24"/>
        <v>0</v>
      </c>
    </row>
    <row r="208" spans="2:6">
      <c r="B208" s="152" t="str" vm="536">
        <f t="shared" si="21"/>
        <v>Core</v>
      </c>
      <c r="C208" s="152" t="str" vm="704">
        <f>CUBEMEMBER("cabcrmsqlrs1 CABReportingCubes Local Financial Snapshot",{"[AIC Outcome].[Type Of Outcome].&amp;[Core]","[AIC Outcome].[Outcome].&amp;[Homelessness averted (under a homelessness duty)]"})</f>
        <v>Homelessness averted (under a homelessness duty)</v>
      </c>
      <c r="D208" s="152" t="str" vm="1874">
        <f t="shared" si="24"/>
        <v/>
      </c>
      <c r="E208" s="152" t="str" vm="2288">
        <f t="shared" si="24"/>
        <v/>
      </c>
      <c r="F208" s="212" t="str" vm="1940">
        <f t="shared" si="24"/>
        <v/>
      </c>
    </row>
    <row r="209" spans="2:6">
      <c r="B209" s="152" t="str" vm="536">
        <f t="shared" si="21"/>
        <v>Core</v>
      </c>
      <c r="C209" s="152" t="str" vm="808">
        <f>CUBEMEMBER("cabcrmsqlrs1 CABReportingCubes Local Financial Snapshot",{"[AIC Outcome].[Type Of Outcome].&amp;[Core]","[AIC Outcome].[Outcome].&amp;[Homelessness delayed]"})</f>
        <v>Homelessness delayed</v>
      </c>
      <c r="D209" s="152" vm="1872">
        <f t="shared" si="24"/>
        <v>3</v>
      </c>
      <c r="E209" s="152" vm="2695">
        <f t="shared" si="24"/>
        <v>3</v>
      </c>
      <c r="F209" s="212" vm="2024">
        <f t="shared" si="24"/>
        <v>0</v>
      </c>
    </row>
    <row r="210" spans="2:6">
      <c r="B210" s="152" t="str" vm="536">
        <f t="shared" si="21"/>
        <v>Core</v>
      </c>
      <c r="C210" s="152" t="str" vm="784">
        <f>CUBEMEMBER("cabcrmsqlrs1 CABReportingCubes Local Financial Snapshot",{"[AIC Outcome].[Type Of Outcome].&amp;[Core]","[AIC Outcome].[Outcome].&amp;[Homelessness prevented - remained in home]"})</f>
        <v>Homelessness prevented - remained in home</v>
      </c>
      <c r="D210" s="152" vm="2260">
        <f t="shared" si="24"/>
        <v>3</v>
      </c>
      <c r="E210" s="152" vm="2219">
        <f t="shared" si="24"/>
        <v>3</v>
      </c>
      <c r="F210" s="212" vm="1689">
        <f t="shared" si="24"/>
        <v>0</v>
      </c>
    </row>
    <row r="211" spans="2:6">
      <c r="B211" s="152" t="str" vm="536">
        <f t="shared" ref="B211:B274" si="25">CUBEMEMBER("cabcrmsqlrs1 CABReportingCubes Local Financial Snapshot","[AIC Outcome].[Type Of Outcome].&amp;[Core]")</f>
        <v>Core</v>
      </c>
      <c r="C211" s="152" t="str" vm="727">
        <f>CUBEMEMBER("cabcrmsqlrs1 CABReportingCubes Local Financial Snapshot",{"[AIC Outcome].[Type Of Outcome].&amp;[Core]","[AIC Outcome].[Outcome].&amp;[Immigration status improved]"})</f>
        <v>Immigration status improved</v>
      </c>
      <c r="D211" s="152" t="str" vm="1875">
        <f t="shared" si="24"/>
        <v/>
      </c>
      <c r="E211" s="152" t="str" vm="1570">
        <f t="shared" si="24"/>
        <v/>
      </c>
      <c r="F211" s="212" t="str" vm="1761">
        <f t="shared" si="24"/>
        <v/>
      </c>
    </row>
    <row r="212" spans="2:6">
      <c r="B212" s="152" t="str" vm="536">
        <f t="shared" si="25"/>
        <v>Core</v>
      </c>
      <c r="C212" s="152" t="str" vm="703">
        <f>CUBEMEMBER("cabcrmsqlrs1 CABReportingCubes Local Financial Snapshot",{"[AIC Outcome].[Type Of Outcome].&amp;[Core]","[AIC Outcome].[Outcome].&amp;[Improved health / capacity to manage]"})</f>
        <v>Improved health / capacity to manage</v>
      </c>
      <c r="D212" s="152" vm="1847">
        <f t="shared" si="24"/>
        <v>57</v>
      </c>
      <c r="E212" s="152" vm="1620">
        <f t="shared" si="24"/>
        <v>36</v>
      </c>
      <c r="F212" s="212" vm="2265">
        <f t="shared" si="24"/>
        <v>3535.8</v>
      </c>
    </row>
    <row r="213" spans="2:6">
      <c r="B213" s="152" t="str" vm="536">
        <f t="shared" si="25"/>
        <v>Core</v>
      </c>
      <c r="C213" s="152" t="str" vm="807">
        <f>CUBEMEMBER("cabcrmsqlrs1 CABReportingCubes Local Financial Snapshot",{"[AIC Outcome].[Type Of Outcome].&amp;[Core]","[AIC Outcome].[Outcome].&amp;[Improvement in life skills]"})</f>
        <v>Improvement in life skills</v>
      </c>
      <c r="D213" s="152" vm="1760">
        <f t="shared" si="24"/>
        <v>2</v>
      </c>
      <c r="E213" s="152" vm="1786">
        <f t="shared" si="24"/>
        <v>2</v>
      </c>
      <c r="F213" s="212" vm="1918">
        <f t="shared" si="24"/>
        <v>0</v>
      </c>
    </row>
    <row r="214" spans="2:6">
      <c r="B214" s="152" t="str" vm="536">
        <f t="shared" si="25"/>
        <v>Core</v>
      </c>
      <c r="C214" s="152" t="str" vm="783">
        <f>CUBEMEMBER("cabcrmsqlrs1 CABReportingCubes Local Financial Snapshot",{"[AIC Outcome].[Type Of Outcome].&amp;[Core]","[AIC Outcome].[Outcome].&amp;[Indefinite leave]"})</f>
        <v>Indefinite leave</v>
      </c>
      <c r="D214" s="152" t="str" vm="2179">
        <f t="shared" si="24"/>
        <v/>
      </c>
      <c r="E214" s="152" t="str" vm="2544">
        <f t="shared" si="24"/>
        <v/>
      </c>
      <c r="F214" s="212" t="str" vm="2543">
        <f t="shared" si="24"/>
        <v/>
      </c>
    </row>
    <row r="215" spans="2:6">
      <c r="B215" s="152" t="str" vm="536">
        <f t="shared" si="25"/>
        <v>Core</v>
      </c>
      <c r="C215" s="152" t="str" vm="726">
        <f>CUBEMEMBER("cabcrmsqlrs1 CABReportingCubes Local Financial Snapshot",{"[AIC Outcome].[Type Of Outcome].&amp;[Core]","[AIC Outcome].[Outcome].&amp;[Insurance pay-out]"})</f>
        <v>Insurance pay-out</v>
      </c>
      <c r="D215" s="152" t="str" vm="2229">
        <f t="shared" si="24"/>
        <v/>
      </c>
      <c r="E215" s="152" t="str" vm="1539">
        <f t="shared" si="24"/>
        <v/>
      </c>
      <c r="F215" s="212" t="str" vm="1960">
        <f t="shared" si="24"/>
        <v/>
      </c>
    </row>
    <row r="216" spans="2:6">
      <c r="B216" s="152" t="str" vm="536">
        <f t="shared" si="25"/>
        <v>Core</v>
      </c>
      <c r="C216" s="152" t="str" vm="702">
        <f>CUBEMEMBER("cabcrmsqlrs1 CABReportingCubes Local Financial Snapshot",{"[AIC Outcome].[Type Of Outcome].&amp;[Core]","[AIC Outcome].[Outcome].&amp;[Insurance taken out]"})</f>
        <v>Insurance taken out</v>
      </c>
      <c r="D216" s="152" t="str" vm="2330">
        <f t="shared" si="24"/>
        <v/>
      </c>
      <c r="E216" s="152" t="str" vm="1606">
        <f t="shared" si="24"/>
        <v/>
      </c>
      <c r="F216" s="212" t="str" vm="2383">
        <f t="shared" si="24"/>
        <v/>
      </c>
    </row>
    <row r="217" spans="2:6">
      <c r="B217" s="152" t="str" vm="536">
        <f t="shared" si="25"/>
        <v>Core</v>
      </c>
      <c r="C217" s="152" t="str" vm="806">
        <f>CUBEMEMBER("cabcrmsqlrs1 CABReportingCubes Local Financial Snapshot",{"[AIC Outcome].[Type Of Outcome].&amp;[Core]","[AIC Outcome].[Outcome].&amp;[Issue unresolved or appeal unsuccessful]"})</f>
        <v>Issue unresolved or appeal unsuccessful</v>
      </c>
      <c r="D217" s="152" t="str" vm="2163">
        <f t="shared" si="24"/>
        <v/>
      </c>
      <c r="E217" s="152" t="str" vm="1531">
        <f t="shared" si="24"/>
        <v/>
      </c>
      <c r="F217" s="212" t="str" vm="2393">
        <f t="shared" si="24"/>
        <v/>
      </c>
    </row>
    <row r="218" spans="2:6">
      <c r="B218" s="152" t="str" vm="536">
        <f t="shared" si="25"/>
        <v>Core</v>
      </c>
      <c r="C218" s="152" t="str" vm="782">
        <f>CUBEMEMBER("cabcrmsqlrs1 CABReportingCubes Local Financial Snapshot",{"[AIC Outcome].[Type Of Outcome].&amp;[Core]","[AIC Outcome].[Outcome].&amp;[IVA - Individual Voluntary Agreement]"})</f>
        <v>IVA - Individual Voluntary Agreement</v>
      </c>
      <c r="D218" s="152" vm="2133">
        <f t="shared" si="24"/>
        <v>4</v>
      </c>
      <c r="E218" s="152" vm="1589">
        <f t="shared" si="24"/>
        <v>4</v>
      </c>
      <c r="F218" s="212" vm="2077">
        <f t="shared" si="24"/>
        <v>45381.7</v>
      </c>
    </row>
    <row r="219" spans="2:6">
      <c r="B219" s="152" t="str" vm="536">
        <f t="shared" si="25"/>
        <v>Core</v>
      </c>
      <c r="C219" s="152" t="str" vm="725">
        <f>CUBEMEMBER("cabcrmsqlrs1 CABReportingCubes Local Financial Snapshot",{"[AIC Outcome].[Type Of Outcome].&amp;[Core]","[AIC Outcome].[Outcome].&amp;[LA / RSL Mortgage rescue]"})</f>
        <v>LA / RSL Mortgage rescue</v>
      </c>
      <c r="D219" s="152" t="str" vm="2297">
        <f t="shared" si="24"/>
        <v/>
      </c>
      <c r="E219" s="152" t="str" vm="2716">
        <f t="shared" si="24"/>
        <v/>
      </c>
      <c r="F219" s="212" t="str" vm="1657">
        <f t="shared" si="24"/>
        <v/>
      </c>
    </row>
    <row r="220" spans="2:6">
      <c r="B220" s="152" t="str" vm="536">
        <f t="shared" si="25"/>
        <v>Core</v>
      </c>
      <c r="C220" s="152" t="str" vm="701">
        <f>CUBEMEMBER("cabcrmsqlrs1 CABReportingCubes Local Financial Snapshot",{"[AIC Outcome].[Type Of Outcome].&amp;[Core]","[AIC Outcome].[Outcome].&amp;[LA intervened &amp; provided support - success]"})</f>
        <v>LA intervened &amp; provided support - success</v>
      </c>
      <c r="D220" s="152" vm="2642">
        <f t="shared" si="24"/>
        <v>1</v>
      </c>
      <c r="E220" s="152" vm="2643">
        <f t="shared" si="24"/>
        <v>1</v>
      </c>
      <c r="F220" s="212" vm="2641">
        <f t="shared" si="24"/>
        <v>0</v>
      </c>
    </row>
    <row r="221" spans="2:6">
      <c r="B221" s="152" t="str" vm="536">
        <f t="shared" si="25"/>
        <v>Core</v>
      </c>
      <c r="C221" s="152" t="str" vm="805">
        <f>CUBEMEMBER("cabcrmsqlrs1 CABReportingCubes Local Financial Snapshot",{"[AIC Outcome].[Type Of Outcome].&amp;[Core]","[AIC Outcome].[Outcome].&amp;[Legal aid obtained - successful]"})</f>
        <v>Legal aid obtained - successful</v>
      </c>
      <c r="D221" s="152" vm="2461">
        <f t="shared" si="24"/>
        <v>3</v>
      </c>
      <c r="E221" s="152" vm="1860">
        <f t="shared" si="24"/>
        <v>3</v>
      </c>
      <c r="F221" s="212" vm="1684">
        <f t="shared" si="24"/>
        <v>0</v>
      </c>
    </row>
    <row r="222" spans="2:6">
      <c r="B222" s="152" t="str" vm="536">
        <f t="shared" si="25"/>
        <v>Core</v>
      </c>
      <c r="C222" s="152" t="str" vm="781">
        <f>CUBEMEMBER("cabcrmsqlrs1 CABReportingCubes Local Financial Snapshot",{"[AIC Outcome].[Type Of Outcome].&amp;[Core]","[AIC Outcome].[Outcome].&amp;[Legal aid obtained - unsuccessful]"})</f>
        <v>Legal aid obtained - unsuccessful</v>
      </c>
      <c r="D222" s="152" t="str" vm="2594">
        <f t="shared" si="24"/>
        <v/>
      </c>
      <c r="E222" s="152" t="str" vm="2595">
        <f t="shared" si="24"/>
        <v/>
      </c>
      <c r="F222" s="212" t="str" vm="2301">
        <f t="shared" si="24"/>
        <v/>
      </c>
    </row>
    <row r="223" spans="2:6">
      <c r="B223" s="152" t="str" vm="536">
        <f t="shared" si="25"/>
        <v>Core</v>
      </c>
      <c r="C223" s="152" t="str" vm="724">
        <f>CUBEMEMBER("cabcrmsqlrs1 CABReportingCubes Local Financial Snapshot",{"[AIC Outcome].[Type Of Outcome].&amp;[Core]","[AIC Outcome].[Outcome].&amp;[Legal fines /costs imposed]"})</f>
        <v>Legal fines /costs imposed</v>
      </c>
      <c r="D223" s="152" t="str" vm="2451">
        <f t="shared" ref="D223:F242" si="26">CUBEVALUE("cabcrmsqlrs1 CABReportingCubes Local Financial Snapshot",$C$77,$C$78,$C$79,$C$80,$C223,D$82)</f>
        <v/>
      </c>
      <c r="E223" s="152" t="str" vm="1536">
        <f t="shared" si="26"/>
        <v/>
      </c>
      <c r="F223" s="212" t="str" vm="1727">
        <f t="shared" si="26"/>
        <v/>
      </c>
    </row>
    <row r="224" spans="2:6">
      <c r="B224" s="152" t="str" vm="536">
        <f t="shared" si="25"/>
        <v>Core</v>
      </c>
      <c r="C224" s="152" t="str" vm="700">
        <f>CUBEMEMBER("cabcrmsqlrs1 CABReportingCubes Local Financial Snapshot",{"[AIC Outcome].[Type Of Outcome].&amp;[Core]","[AIC Outcome].[Outcome].&amp;[Lost document returned / replaced - successful]"})</f>
        <v>Lost document returned / replaced - successful</v>
      </c>
      <c r="D224" s="152" t="str" vm="1756">
        <f t="shared" si="26"/>
        <v/>
      </c>
      <c r="E224" s="152" t="str" vm="1731">
        <f t="shared" si="26"/>
        <v/>
      </c>
      <c r="F224" s="212" t="str" vm="1929">
        <f t="shared" si="26"/>
        <v/>
      </c>
    </row>
    <row r="225" spans="2:6">
      <c r="B225" s="152" t="str" vm="536">
        <f t="shared" si="25"/>
        <v>Core</v>
      </c>
      <c r="C225" s="152" t="str" vm="804">
        <f>CUBEMEMBER("cabcrmsqlrs1 CABReportingCubes Local Financial Snapshot",{"[AIC Outcome].[Type Of Outcome].&amp;[Core]","[AIC Outcome].[Outcome].&amp;[Mediation or conciliation unsuccessful]"})</f>
        <v>Mediation or conciliation unsuccessful</v>
      </c>
      <c r="D225" s="152" t="str" vm="2239">
        <f t="shared" si="26"/>
        <v/>
      </c>
      <c r="E225" s="152" t="str" vm="2136">
        <f t="shared" si="26"/>
        <v/>
      </c>
      <c r="F225" s="212" t="str" vm="1706">
        <f t="shared" si="26"/>
        <v/>
      </c>
    </row>
    <row r="226" spans="2:6">
      <c r="B226" s="152" t="str" vm="536">
        <f t="shared" si="25"/>
        <v>Core</v>
      </c>
      <c r="C226" s="152" t="str" vm="901">
        <f>CUBEMEMBER("cabcrmsqlrs1 CABReportingCubes Local Financial Snapshot",{"[AIC Outcome].[Type Of Outcome].&amp;[Core]","[AIC Outcome].[Outcome].&amp;[Mediation successful]"})</f>
        <v>Mediation successful</v>
      </c>
      <c r="D226" s="152" t="str" vm="2527">
        <f t="shared" si="26"/>
        <v/>
      </c>
      <c r="E226" s="152" t="str" vm="2528">
        <f t="shared" si="26"/>
        <v/>
      </c>
      <c r="F226" s="212" t="str" vm="2723">
        <f t="shared" si="26"/>
        <v/>
      </c>
    </row>
    <row r="227" spans="2:6">
      <c r="B227" s="152" t="str" vm="536">
        <f t="shared" si="25"/>
        <v>Core</v>
      </c>
      <c r="C227" s="152" t="str" vm="924">
        <f>CUBEMEMBER("cabcrmsqlrs1 CABReportingCubes Local Financial Snapshot",{"[AIC Outcome].[Type Of Outcome].&amp;[Core]","[AIC Outcome].[Outcome].&amp;[Money recovered]"})</f>
        <v>Money recovered</v>
      </c>
      <c r="D227" s="152" vm="1938">
        <f t="shared" si="26"/>
        <v>1</v>
      </c>
      <c r="E227" s="152" vm="1576">
        <f t="shared" si="26"/>
        <v>1</v>
      </c>
      <c r="F227" s="212" vm="2376">
        <f t="shared" si="26"/>
        <v>0</v>
      </c>
    </row>
    <row r="228" spans="2:6">
      <c r="B228" s="152" t="str" vm="536">
        <f t="shared" si="25"/>
        <v>Core</v>
      </c>
      <c r="C228" s="152" t="str" vm="780">
        <f>CUBEMEMBER("cabcrmsqlrs1 CABReportingCubes Local Financial Snapshot",{"[AIC Outcome].[Type Of Outcome].&amp;[Core]","[AIC Outcome].[Outcome].&amp;[NASS support secured]"})</f>
        <v>NASS support secured</v>
      </c>
      <c r="D228" s="152" t="str" vm="1968">
        <f t="shared" si="26"/>
        <v/>
      </c>
      <c r="E228" s="152" t="str" vm="1514">
        <f t="shared" si="26"/>
        <v/>
      </c>
      <c r="F228" s="212" t="str" vm="1833">
        <f t="shared" si="26"/>
        <v/>
      </c>
    </row>
    <row r="229" spans="2:6">
      <c r="B229" s="152" t="str" vm="536">
        <f t="shared" si="25"/>
        <v>Core</v>
      </c>
      <c r="C229" s="152" t="str" vm="723">
        <f>CUBEMEMBER("cabcrmsqlrs1 CABReportingCubes Local Financial Snapshot",{"[AIC Outcome].[Type Of Outcome].&amp;[Core]","[AIC Outcome].[Outcome].&amp;[New tax liability identified]"})</f>
        <v>New tax liability identified</v>
      </c>
      <c r="D229" s="152" vm="2584">
        <f t="shared" si="26"/>
        <v>1</v>
      </c>
      <c r="E229" s="152" vm="2585">
        <f t="shared" si="26"/>
        <v>1</v>
      </c>
      <c r="F229" s="212" vm="2722">
        <f t="shared" si="26"/>
        <v>0</v>
      </c>
    </row>
    <row r="230" spans="2:6">
      <c r="B230" s="152" t="str" vm="536">
        <f t="shared" si="25"/>
        <v>Core</v>
      </c>
      <c r="C230" s="152" t="str" vm="699">
        <f>CUBEMEMBER("cabcrmsqlrs1 CABReportingCubes Local Financial Snapshot",{"[AIC Outcome].[Type Of Outcome].&amp;[Core]","[AIC Outcome].[Outcome].&amp;[Non-financial]"})</f>
        <v>Non-financial</v>
      </c>
      <c r="D230" s="152" vm="2508">
        <f t="shared" si="26"/>
        <v>1</v>
      </c>
      <c r="E230" s="152" vm="2012">
        <f t="shared" si="26"/>
        <v>1</v>
      </c>
      <c r="F230" s="212" vm="2398">
        <f t="shared" si="26"/>
        <v>0</v>
      </c>
    </row>
    <row r="231" spans="2:6">
      <c r="B231" s="152" t="str" vm="536">
        <f t="shared" si="25"/>
        <v>Core</v>
      </c>
      <c r="C231" s="152" t="str" vm="803">
        <f>CUBEMEMBER("cabcrmsqlrs1 CABReportingCubes Local Financial Snapshot",{"[AIC Outcome].[Type Of Outcome].&amp;[Core]","[AIC Outcome].[Outcome].&amp;[Non-financial admin issue resolved]"})</f>
        <v>Non-financial admin issue resolved</v>
      </c>
      <c r="D231" s="152" vm="1839">
        <f t="shared" si="26"/>
        <v>1</v>
      </c>
      <c r="E231" s="152" vm="1552">
        <f t="shared" si="26"/>
        <v>1</v>
      </c>
      <c r="F231" s="212" vm="1639">
        <f t="shared" si="26"/>
        <v>0</v>
      </c>
    </row>
    <row r="232" spans="2:6">
      <c r="B232" s="152" t="str" vm="536">
        <f t="shared" si="25"/>
        <v>Core</v>
      </c>
      <c r="C232" s="152" t="str" vm="779">
        <f>CUBEMEMBER("cabcrmsqlrs1 CABReportingCubes Local Financial Snapshot",{"[AIC Outcome].[Type Of Outcome].&amp;[Core]","[AIC Outcome].[Outcome].&amp;[Not liable for debt]"})</f>
        <v>Not liable for debt</v>
      </c>
      <c r="D232" s="152" vm="1858">
        <f t="shared" si="26"/>
        <v>8</v>
      </c>
      <c r="E232" s="152" vm="1543">
        <f t="shared" si="26"/>
        <v>8</v>
      </c>
      <c r="F232" s="212" vm="2213">
        <f t="shared" si="26"/>
        <v>9772.25</v>
      </c>
    </row>
    <row r="233" spans="2:6">
      <c r="B233" s="152" t="str" vm="536">
        <f t="shared" si="25"/>
        <v>Core</v>
      </c>
      <c r="C233" s="152" t="str" vm="722">
        <f>CUBEMEMBER("cabcrmsqlrs1 CABReportingCubes Local Financial Snapshot",{"[AIC Outcome].[Type Of Outcome].&amp;[Core]","[AIC Outcome].[Outcome].&amp;[Not recorded/not applicable]"})</f>
        <v>Not recorded/not applicable</v>
      </c>
      <c r="D233" s="152" t="str" vm="2313">
        <f t="shared" si="26"/>
        <v/>
      </c>
      <c r="E233" s="152" t="str" vm="1781">
        <f t="shared" si="26"/>
        <v/>
      </c>
      <c r="F233" s="212" t="str" vm="1675">
        <f t="shared" si="26"/>
        <v/>
      </c>
    </row>
    <row r="234" spans="2:6">
      <c r="B234" s="152" t="str" vm="536">
        <f t="shared" si="25"/>
        <v>Core</v>
      </c>
      <c r="C234" s="152" t="str" vm="698">
        <f>CUBEMEMBER("cabcrmsqlrs1 CABReportingCubes Local Financial Snapshot",{"[AIC Outcome].[Type Of Outcome].&amp;[Core]","[AIC Outcome].[Outcome].&amp;[Other]"})</f>
        <v>Other</v>
      </c>
      <c r="D234" s="152" vm="2169">
        <f t="shared" si="26"/>
        <v>5</v>
      </c>
      <c r="E234" s="152" vm="1812">
        <f t="shared" si="26"/>
        <v>5</v>
      </c>
      <c r="F234" s="212" vm="2399">
        <f t="shared" si="26"/>
        <v>6240</v>
      </c>
    </row>
    <row r="235" spans="2:6">
      <c r="B235" s="152" t="str" vm="536">
        <f t="shared" si="25"/>
        <v>Core</v>
      </c>
      <c r="C235" s="152" t="str" vm="802">
        <f>CUBEMEMBER("cabcrmsqlrs1 CABReportingCubes Local Financial Snapshot",{"[AIC Outcome].[Type Of Outcome].&amp;[Core]","[AIC Outcome].[Outcome].&amp;[Other (financial)]"})</f>
        <v>Other (financial)</v>
      </c>
      <c r="D235" s="152" vm="1806">
        <f t="shared" si="26"/>
        <v>11</v>
      </c>
      <c r="E235" s="152" vm="2284">
        <f t="shared" si="26"/>
        <v>8</v>
      </c>
      <c r="F235" s="212" vm="1711">
        <f t="shared" si="26"/>
        <v>17608.21</v>
      </c>
    </row>
    <row r="236" spans="2:6">
      <c r="B236" s="152" t="str" vm="536">
        <f t="shared" si="25"/>
        <v>Core</v>
      </c>
      <c r="C236" s="152" t="str" vm="778">
        <f>CUBEMEMBER("cabcrmsqlrs1 CABReportingCubes Local Financial Snapshot",{"[AIC Outcome].[Type Of Outcome].&amp;[Core]","[AIC Outcome].[Outcome].&amp;[Other (non-financial)]"})</f>
        <v>Other (non-financial)</v>
      </c>
      <c r="D236" s="152" vm="2141">
        <f t="shared" si="26"/>
        <v>10</v>
      </c>
      <c r="E236" s="152" vm="1568">
        <f t="shared" si="26"/>
        <v>10</v>
      </c>
      <c r="F236" s="212" vm="1853">
        <f t="shared" si="26"/>
        <v>3575.25</v>
      </c>
    </row>
    <row r="237" spans="2:6">
      <c r="B237" s="152" t="str" vm="536">
        <f t="shared" si="25"/>
        <v>Core</v>
      </c>
      <c r="C237" s="152" t="str" vm="721">
        <f>CUBEMEMBER("cabcrmsqlrs1 CABReportingCubes Local Financial Snapshot",{"[AIC Outcome].[Type Of Outcome].&amp;[Core]","[AIC Outcome].[Outcome].&amp;[Other Consumer Credit Act remedy]"})</f>
        <v>Other Consumer Credit Act remedy</v>
      </c>
      <c r="D237" s="152" t="str" vm="2633">
        <f t="shared" si="26"/>
        <v/>
      </c>
      <c r="E237" s="152" t="str" vm="2634">
        <f t="shared" si="26"/>
        <v/>
      </c>
      <c r="F237" s="212" t="str" vm="2632">
        <f t="shared" si="26"/>
        <v/>
      </c>
    </row>
    <row r="238" spans="2:6">
      <c r="B238" s="152" t="str" vm="536">
        <f t="shared" si="25"/>
        <v>Core</v>
      </c>
      <c r="C238" s="152" t="str" vm="697">
        <f>CUBEMEMBER("cabcrmsqlrs1 CABReportingCubes Local Financial Snapshot",{"[AIC Outcome].[Type Of Outcome].&amp;[Core]","[AIC Outcome].[Outcome].&amp;[Other savings achieved]"})</f>
        <v>Other savings achieved</v>
      </c>
      <c r="D238" s="152" vm="2228">
        <f t="shared" si="26"/>
        <v>2</v>
      </c>
      <c r="E238" s="152" vm="1906">
        <f t="shared" si="26"/>
        <v>2</v>
      </c>
      <c r="F238" s="212" vm="2319">
        <f t="shared" si="26"/>
        <v>8127.42</v>
      </c>
    </row>
    <row r="239" spans="2:6">
      <c r="B239" s="152" t="str" vm="536">
        <f t="shared" si="25"/>
        <v>Core</v>
      </c>
      <c r="C239" s="152" t="str" vm="801">
        <f>CUBEMEMBER("cabcrmsqlrs1 CABReportingCubes Local Financial Snapshot",{"[AIC Outcome].[Type Of Outcome].&amp;[Core]","[AIC Outcome].[Outcome].&amp;[Overpayment reduced or not recovered]"})</f>
        <v>Overpayment reduced or not recovered</v>
      </c>
      <c r="D239" s="152" t="str" vm="2488">
        <f t="shared" si="26"/>
        <v/>
      </c>
      <c r="E239" s="152" t="str" vm="1558">
        <f t="shared" si="26"/>
        <v/>
      </c>
      <c r="F239" s="212" t="str" vm="2085">
        <f t="shared" si="26"/>
        <v/>
      </c>
    </row>
    <row r="240" spans="2:6">
      <c r="B240" s="152" t="str" vm="536">
        <f t="shared" si="25"/>
        <v>Core</v>
      </c>
      <c r="C240" s="152" t="str" vm="777">
        <f>CUBEMEMBER("cabcrmsqlrs1 CABReportingCubes Local Financial Snapshot",{"[AIC Outcome].[Type Of Outcome].&amp;[Core]","[AIC Outcome].[Outcome].&amp;[Pension plan made]"})</f>
        <v>Pension plan made</v>
      </c>
      <c r="D240" s="152" t="str" vm="2437">
        <f t="shared" si="26"/>
        <v/>
      </c>
      <c r="E240" s="152" t="str" vm="2368">
        <f t="shared" si="26"/>
        <v/>
      </c>
      <c r="F240" s="212" t="str" vm="2369">
        <f t="shared" si="26"/>
        <v/>
      </c>
    </row>
    <row r="241" spans="2:6">
      <c r="B241" s="152" t="str" vm="536">
        <f t="shared" si="25"/>
        <v>Core</v>
      </c>
      <c r="C241" s="152" t="str" vm="720">
        <f>CUBEMEMBER("cabcrmsqlrs1 CABReportingCubes Local Financial Snapshot",{"[AIC Outcome].[Type Of Outcome].&amp;[Core]","[AIC Outcome].[Outcome].&amp;[Property or management improved]"})</f>
        <v>Property or management improved</v>
      </c>
      <c r="D241" s="152" vm="2670">
        <f t="shared" si="26"/>
        <v>10</v>
      </c>
      <c r="E241" s="152" vm="2671">
        <f t="shared" si="26"/>
        <v>9</v>
      </c>
      <c r="F241" s="212" vm="2672">
        <f t="shared" si="26"/>
        <v>0</v>
      </c>
    </row>
    <row r="242" spans="2:6">
      <c r="B242" s="152" t="str" vm="536">
        <f t="shared" si="25"/>
        <v>Core</v>
      </c>
      <c r="C242" s="152" t="str" vm="696">
        <f>CUBEMEMBER("cabcrmsqlrs1 CABReportingCubes Local Financial Snapshot",{"[AIC Outcome].[Type Of Outcome].&amp;[Core]","[AIC Outcome].[Outcome].&amp;[Public transport access - successful]"})</f>
        <v>Public transport access - successful</v>
      </c>
      <c r="D242" s="152" t="str" vm="2564">
        <f t="shared" si="26"/>
        <v/>
      </c>
      <c r="E242" s="152" t="str" vm="2317">
        <f t="shared" si="26"/>
        <v/>
      </c>
      <c r="F242" s="212" t="str" vm="2563">
        <f t="shared" si="26"/>
        <v/>
      </c>
    </row>
    <row r="243" spans="2:6">
      <c r="B243" s="152" t="str" vm="536">
        <f t="shared" si="25"/>
        <v>Core</v>
      </c>
      <c r="C243" s="152" t="str" vm="800">
        <f>CUBEMEMBER("cabcrmsqlrs1 CABReportingCubes Local Financial Snapshot",{"[AIC Outcome].[Type Of Outcome].&amp;[Core]","[AIC Outcome].[Outcome].&amp;[Realising assets (excluding home)]"})</f>
        <v>Realising assets (excluding home)</v>
      </c>
      <c r="D243" s="152" t="str" vm="2565">
        <f t="shared" ref="D243:F262" si="27">CUBEVALUE("cabcrmsqlrs1 CABReportingCubes Local Financial Snapshot",$C$77,$C$78,$C$79,$C$80,$C243,D$82)</f>
        <v/>
      </c>
      <c r="E243" s="152" t="str" vm="2734">
        <f t="shared" si="27"/>
        <v/>
      </c>
      <c r="F243" s="212" t="str" vm="2566">
        <f t="shared" si="27"/>
        <v/>
      </c>
    </row>
    <row r="244" spans="2:6">
      <c r="B244" s="152" t="str" vm="536">
        <f t="shared" si="25"/>
        <v>Core</v>
      </c>
      <c r="C244" s="152" t="str" vm="776">
        <f>CUBEMEMBER("cabcrmsqlrs1 CABReportingCubes Local Financial Snapshot",{"[AIC Outcome].[Type Of Outcome].&amp;[Core]","[AIC Outcome].[Outcome].&amp;[Reasonable adjustment for disability - made]"})</f>
        <v>Reasonable adjustment for disability - made</v>
      </c>
      <c r="D244" s="152" vm="2487">
        <f t="shared" si="27"/>
        <v>1</v>
      </c>
      <c r="E244" s="152" vm="2065">
        <f t="shared" si="27"/>
        <v>1</v>
      </c>
      <c r="F244" s="212" vm="1641">
        <f t="shared" si="27"/>
        <v>0</v>
      </c>
    </row>
    <row r="245" spans="2:6">
      <c r="B245" s="152" t="str" vm="536">
        <f t="shared" si="25"/>
        <v>Core</v>
      </c>
      <c r="C245" s="152" t="str" vm="719">
        <f>CUBEMEMBER("cabcrmsqlrs1 CABReportingCubes Local Financial Snapshot",{"[AIC Outcome].[Type Of Outcome].&amp;[Core]","[AIC Outcome].[Outcome].&amp;[Reasonable adjustment for disability - refused]"})</f>
        <v>Reasonable adjustment for disability - refused</v>
      </c>
      <c r="D245" s="152" t="str" vm="2023">
        <f t="shared" si="27"/>
        <v/>
      </c>
      <c r="E245" s="152" t="str" vm="2694">
        <f t="shared" si="27"/>
        <v/>
      </c>
      <c r="F245" s="212" t="str" vm="2403">
        <f t="shared" si="27"/>
        <v/>
      </c>
    </row>
    <row r="246" spans="2:6">
      <c r="B246" s="152" t="str" vm="536">
        <f t="shared" si="25"/>
        <v>Core</v>
      </c>
      <c r="C246" s="152" t="str" vm="900">
        <f>CUBEMEMBER("cabcrmsqlrs1 CABReportingCubes Local Financial Snapshot",{"[AIC Outcome].[Type Of Outcome].&amp;[Core]","[AIC Outcome].[Outcome].&amp;[Reasonable adjustment made for disabled client]"})</f>
        <v>Reasonable adjustment made for disabled client</v>
      </c>
      <c r="D246" s="152" t="str" vm="2448">
        <f t="shared" si="27"/>
        <v/>
      </c>
      <c r="E246" s="152" t="str" vm="1555">
        <f t="shared" si="27"/>
        <v/>
      </c>
      <c r="F246" s="212" t="str" vm="1810">
        <f t="shared" si="27"/>
        <v/>
      </c>
    </row>
    <row r="247" spans="2:6">
      <c r="B247" s="152" t="str" vm="536">
        <f t="shared" si="25"/>
        <v>Core</v>
      </c>
      <c r="C247" s="152" t="str" vm="695">
        <f>CUBEMEMBER("cabcrmsqlrs1 CABReportingCubes Local Financial Snapshot",{"[AIC Outcome].[Type Of Outcome].&amp;[Core]","[AIC Outcome].[Outcome].&amp;[Reduction/removal charges]"})</f>
        <v>Reduction/removal charges</v>
      </c>
      <c r="D247" s="152" t="str" vm="2557">
        <f t="shared" si="27"/>
        <v/>
      </c>
      <c r="E247" s="152" t="str" vm="2352">
        <f t="shared" si="27"/>
        <v/>
      </c>
      <c r="F247" s="212" t="str" vm="2556">
        <f t="shared" si="27"/>
        <v/>
      </c>
    </row>
    <row r="248" spans="2:6">
      <c r="B248" s="152" t="str" vm="536">
        <f t="shared" si="25"/>
        <v>Core</v>
      </c>
      <c r="C248" s="152" t="str" vm="799">
        <f>CUBEMEMBER("cabcrmsqlrs1 CABReportingCubes Local Financial Snapshot",{"[AIC Outcome].[Type Of Outcome].&amp;[Core]","[AIC Outcome].[Outcome].&amp;[Reference provided]"})</f>
        <v>Reference provided</v>
      </c>
      <c r="D248" s="152" t="str" vm="2331">
        <f t="shared" si="27"/>
        <v/>
      </c>
      <c r="E248" s="152" t="str" vm="2714">
        <f t="shared" si="27"/>
        <v/>
      </c>
      <c r="F248" s="212" t="str" vm="1767">
        <f t="shared" si="27"/>
        <v/>
      </c>
    </row>
    <row r="249" spans="2:6">
      <c r="B249" s="152" t="str" vm="536">
        <f t="shared" si="25"/>
        <v>Core</v>
      </c>
      <c r="C249" s="152" t="str" vm="775">
        <f>CUBEMEMBER("cabcrmsqlrs1 CABReportingCubes Local Financial Snapshot",{"[AIC Outcome].[Type Of Outcome].&amp;[Core]","[AIC Outcome].[Outcome].&amp;[Reference refused]"})</f>
        <v>Reference refused</v>
      </c>
      <c r="D249" s="152" t="str" vm="2439">
        <f t="shared" si="27"/>
        <v/>
      </c>
      <c r="E249" s="152" t="str" vm="1609">
        <f t="shared" si="27"/>
        <v/>
      </c>
      <c r="F249" s="212" t="str" vm="1670">
        <f t="shared" si="27"/>
        <v/>
      </c>
    </row>
    <row r="250" spans="2:6">
      <c r="B250" s="152" t="str" vm="536">
        <f t="shared" si="25"/>
        <v>Core</v>
      </c>
      <c r="C250" s="152" t="str" vm="718">
        <f>CUBEMEMBER("cabcrmsqlrs1 CABReportingCubes Local Financial Snapshot",{"[AIC Outcome].[Type Of Outcome].&amp;[Core]","[AIC Outcome].[Outcome].&amp;[Referred for energy efficiency advice]"})</f>
        <v>Referred for energy efficiency advice</v>
      </c>
      <c r="D250" s="152" vm="2498">
        <f t="shared" si="27"/>
        <v>1</v>
      </c>
      <c r="E250" s="152" vm="1547">
        <f t="shared" si="27"/>
        <v>1</v>
      </c>
      <c r="F250" s="212" vm="1743">
        <f t="shared" si="27"/>
        <v>0</v>
      </c>
    </row>
    <row r="251" spans="2:6">
      <c r="B251" s="152" t="str" vm="536">
        <f t="shared" si="25"/>
        <v>Core</v>
      </c>
      <c r="C251" s="152" t="str" vm="694">
        <f>CUBEMEMBER("cabcrmsqlrs1 CABReportingCubes Local Financial Snapshot",{"[AIC Outcome].[Type Of Outcome].&amp;[Core]","[AIC Outcome].[Outcome].&amp;[Refund / Cancellation - refused]"})</f>
        <v>Refund / Cancellation - refused</v>
      </c>
      <c r="D251" s="152" t="str" vm="2151">
        <f t="shared" si="27"/>
        <v/>
      </c>
      <c r="E251" s="152" t="str" vm="1579">
        <f t="shared" si="27"/>
        <v/>
      </c>
      <c r="F251" s="212" t="str" vm="2276">
        <f t="shared" si="27"/>
        <v/>
      </c>
    </row>
    <row r="252" spans="2:6">
      <c r="B252" s="152" t="str" vm="536">
        <f t="shared" si="25"/>
        <v>Core</v>
      </c>
      <c r="C252" s="152" t="str" vm="798">
        <f>CUBEMEMBER("cabcrmsqlrs1 CABReportingCubes Local Financial Snapshot",{"[AIC Outcome].[Type Of Outcome].&amp;[Core]","[AIC Outcome].[Outcome].&amp;[Refund / Cancellation rights - successfully used]"})</f>
        <v>Refund / Cancellation rights - successfully used</v>
      </c>
      <c r="D252" s="152" t="str" vm="2164">
        <f t="shared" si="27"/>
        <v/>
      </c>
      <c r="E252" s="152" t="str" vm="2108">
        <f t="shared" si="27"/>
        <v/>
      </c>
      <c r="F252" s="212" t="str" vm="2375">
        <f t="shared" si="27"/>
        <v/>
      </c>
    </row>
    <row r="253" spans="2:6">
      <c r="B253" s="152" t="str" vm="536">
        <f t="shared" si="25"/>
        <v>Core</v>
      </c>
      <c r="C253" s="152" t="str" vm="774">
        <f>CUBEMEMBER("cabcrmsqlrs1 CABReportingCubes Local Financial Snapshot",{"[AIC Outcome].[Type Of Outcome].&amp;[Core]","[AIC Outcome].[Outcome].&amp;[Refund / Repair / Replacement agreed/scheduled]"})</f>
        <v>Refund / Repair / Replacement agreed/scheduled</v>
      </c>
      <c r="D253" s="152" vm="2596">
        <f t="shared" si="27"/>
        <v>2</v>
      </c>
      <c r="E253" s="152" vm="2180">
        <f t="shared" si="27"/>
        <v>2</v>
      </c>
      <c r="F253" s="212" vm="2597">
        <f t="shared" si="27"/>
        <v>150</v>
      </c>
    </row>
    <row r="254" spans="2:6">
      <c r="B254" s="152" t="str" vm="536">
        <f t="shared" si="25"/>
        <v>Core</v>
      </c>
      <c r="C254" s="152" t="str" vm="717">
        <f>CUBEMEMBER("cabcrmsqlrs1 CABReportingCubes Local Financial Snapshot",{"[AIC Outcome].[Type Of Outcome].&amp;[Core]","[AIC Outcome].[Outcome].&amp;[Refund / Repair / Replacement refused]"})</f>
        <v>Refund / Repair / Replacement refused</v>
      </c>
      <c r="D254" s="152" t="str" vm="1771">
        <f t="shared" si="27"/>
        <v/>
      </c>
      <c r="E254" s="152" t="str" vm="1637">
        <f t="shared" si="27"/>
        <v/>
      </c>
      <c r="F254" s="212" t="str" vm="1754">
        <f t="shared" si="27"/>
        <v/>
      </c>
    </row>
    <row r="255" spans="2:6">
      <c r="B255" s="152" t="str" vm="536">
        <f t="shared" si="25"/>
        <v>Core</v>
      </c>
      <c r="C255" s="152" t="str" vm="693">
        <f>CUBEMEMBER("cabcrmsqlrs1 CABReportingCubes Local Financial Snapshot",{"[AIC Outcome].[Type Of Outcome].&amp;[Core]","[AIC Outcome].[Outcome].&amp;[Rehoused (not Part 7)]"})</f>
        <v>Rehoused (not Part 7)</v>
      </c>
      <c r="D255" s="152" t="str" vm="1849">
        <f t="shared" si="27"/>
        <v/>
      </c>
      <c r="E255" s="152" t="str" vm="2214">
        <f t="shared" si="27"/>
        <v/>
      </c>
      <c r="F255" s="212" t="str" vm="1841">
        <f t="shared" si="27"/>
        <v/>
      </c>
    </row>
    <row r="256" spans="2:6">
      <c r="B256" s="152" t="str" vm="536">
        <f t="shared" si="25"/>
        <v>Core</v>
      </c>
      <c r="C256" s="152" t="str" vm="797">
        <f>CUBEMEMBER("cabcrmsqlrs1 CABReportingCubes Local Financial Snapshot",{"[AIC Outcome].[Type Of Outcome].&amp;[Core]","[AIC Outcome].[Outcome].&amp;[Reinstatement]"})</f>
        <v>Reinstatement</v>
      </c>
      <c r="D256" s="152" t="str" vm="2654">
        <f t="shared" si="27"/>
        <v/>
      </c>
      <c r="E256" s="152" t="str" vm="2655">
        <f t="shared" si="27"/>
        <v/>
      </c>
      <c r="F256" s="212" t="str" vm="2292">
        <f t="shared" si="27"/>
        <v/>
      </c>
    </row>
    <row r="257" spans="2:6">
      <c r="B257" s="152" t="str" vm="536">
        <f t="shared" si="25"/>
        <v>Core</v>
      </c>
      <c r="C257" s="152" t="str" vm="773">
        <f>CUBEMEMBER("cabcrmsqlrs1 CABReportingCubes Local Financial Snapshot",{"[AIC Outcome].[Type Of Outcome].&amp;[Core]","[AIC Outcome].[Outcome].&amp;[Remortgage / Consolidation loan]"})</f>
        <v>Remortgage / Consolidation loan</v>
      </c>
      <c r="D257" s="152" t="str" vm="1822">
        <f t="shared" si="27"/>
        <v/>
      </c>
      <c r="E257" s="152" t="str" vm="2739">
        <f t="shared" si="27"/>
        <v/>
      </c>
      <c r="F257" s="212" t="str" vm="2009">
        <f t="shared" si="27"/>
        <v/>
      </c>
    </row>
    <row r="258" spans="2:6">
      <c r="B258" s="152" t="str" vm="536">
        <f t="shared" si="25"/>
        <v>Core</v>
      </c>
      <c r="C258" s="152" t="str" vm="716">
        <f>CUBEMEMBER("cabcrmsqlrs1 CABReportingCubes Local Financial Snapshot",{"[AIC Outcome].[Type Of Outcome].&amp;[Core]","[AIC Outcome].[Outcome].&amp;[Repayment negotiated]"})</f>
        <v>Repayment negotiated</v>
      </c>
      <c r="D258" s="152" vm="2346">
        <f t="shared" si="27"/>
        <v>14</v>
      </c>
      <c r="E258" s="152" vm="2020">
        <f t="shared" si="27"/>
        <v>13</v>
      </c>
      <c r="F258" s="212" vm="1691">
        <f t="shared" si="27"/>
        <v>0</v>
      </c>
    </row>
    <row r="259" spans="2:6">
      <c r="B259" s="152" t="str" vm="536">
        <f t="shared" si="25"/>
        <v>Core</v>
      </c>
      <c r="C259" s="152" t="str" vm="692">
        <f>CUBEMEMBER("cabcrmsqlrs1 CABReportingCubes Local Financial Snapshot",{"[AIC Outcome].[Type Of Outcome].&amp;[Core]","[AIC Outcome].[Outcome].&amp;[Request to be added to Priority Services Reg / Special Ass Reg]"})</f>
        <v>Request to be added to Priority Services Reg / Special Ass Reg</v>
      </c>
      <c r="D259" s="152" t="str" vm="2496">
        <f t="shared" si="27"/>
        <v/>
      </c>
      <c r="E259" s="152" t="str" vm="1613">
        <f t="shared" si="27"/>
        <v/>
      </c>
      <c r="F259" s="212" t="str" vm="1976">
        <f t="shared" si="27"/>
        <v/>
      </c>
    </row>
    <row r="260" spans="2:6">
      <c r="B260" s="152" t="str" vm="536">
        <f t="shared" si="25"/>
        <v>Core</v>
      </c>
      <c r="C260" s="152" t="str" vm="796">
        <f>CUBEMEMBER("cabcrmsqlrs1 CABReportingCubes Local Financial Snapshot",{"[AIC Outcome].[Type Of Outcome].&amp;[Core]","[AIC Outcome].[Outcome].&amp;[Right to benefits secured]"})</f>
        <v>Right to benefits secured</v>
      </c>
      <c r="D260" s="152" t="str" vm="2445">
        <f t="shared" si="27"/>
        <v/>
      </c>
      <c r="E260" s="152" t="str" vm="2280">
        <f t="shared" si="27"/>
        <v/>
      </c>
      <c r="F260" s="212" t="str" vm="1649">
        <f t="shared" si="27"/>
        <v/>
      </c>
    </row>
    <row r="261" spans="2:6">
      <c r="B261" s="152" t="str" vm="536">
        <f t="shared" si="25"/>
        <v>Core</v>
      </c>
      <c r="C261" s="152" t="str" vm="772">
        <f>CUBEMEMBER("cabcrmsqlrs1 CABReportingCubes Local Financial Snapshot",{"[AIC Outcome].[Type Of Outcome].&amp;[Core]","[AIC Outcome].[Outcome].&amp;[Right to enter/stay secured]"})</f>
        <v>Right to enter/stay secured</v>
      </c>
      <c r="D261" s="152" t="str" vm="2171">
        <f t="shared" si="27"/>
        <v/>
      </c>
      <c r="E261" s="152" t="str" vm="1601">
        <f t="shared" si="27"/>
        <v/>
      </c>
      <c r="F261" s="212" t="str" vm="1991">
        <f t="shared" si="27"/>
        <v/>
      </c>
    </row>
    <row r="262" spans="2:6">
      <c r="B262" s="152" t="str" vm="536">
        <f t="shared" si="25"/>
        <v>Core</v>
      </c>
      <c r="C262" s="152" t="str" vm="715">
        <f>CUBEMEMBER("cabcrmsqlrs1 CABReportingCubes Local Financial Snapshot",{"[AIC Outcome].[Type Of Outcome].&amp;[Core]","[AIC Outcome].[Outcome].&amp;[Risk assessment conducted]"})</f>
        <v>Risk assessment conducted</v>
      </c>
      <c r="D262" s="152" t="str" vm="2093">
        <f t="shared" si="27"/>
        <v/>
      </c>
      <c r="E262" s="152" t="str" vm="2184">
        <f t="shared" si="27"/>
        <v/>
      </c>
      <c r="F262" s="212" t="str" vm="1903">
        <f t="shared" si="27"/>
        <v/>
      </c>
    </row>
    <row r="263" spans="2:6">
      <c r="B263" s="152" t="str" vm="536">
        <f t="shared" si="25"/>
        <v>Core</v>
      </c>
      <c r="C263" s="152" t="str" vm="691">
        <f>CUBEMEMBER("cabcrmsqlrs1 CABReportingCubes Local Financial Snapshot",{"[AIC Outcome].[Type Of Outcome].&amp;[Core]","[AIC Outcome].[Outcome].&amp;[Road tax exemption]"})</f>
        <v>Road tax exemption</v>
      </c>
      <c r="D263" s="152" t="str" vm="2674">
        <f t="shared" ref="D263:F282" si="28">CUBEVALUE("cabcrmsqlrs1 CABReportingCubes Local Financial Snapshot",$C$77,$C$78,$C$79,$C$80,$C263,D$82)</f>
        <v/>
      </c>
      <c r="E263" s="152" t="str" vm="2673">
        <f t="shared" si="28"/>
        <v/>
      </c>
      <c r="F263" s="212" t="str" vm="2675">
        <f t="shared" si="28"/>
        <v/>
      </c>
    </row>
    <row r="264" spans="2:6">
      <c r="B264" s="152" t="str" vm="536">
        <f t="shared" si="25"/>
        <v>Core</v>
      </c>
      <c r="C264" s="152" t="str" vm="795">
        <f>CUBEMEMBER("cabcrmsqlrs1 CABReportingCubes Local Financial Snapshot",{"[AIC Outcome].[Type Of Outcome].&amp;[Core]","[AIC Outcome].[Outcome].&amp;[Savings plan made]"})</f>
        <v>Savings plan made</v>
      </c>
      <c r="D264" s="152" t="str" vm="2057">
        <f t="shared" si="28"/>
        <v/>
      </c>
      <c r="E264" s="152" t="str" vm="2204">
        <f t="shared" si="28"/>
        <v/>
      </c>
      <c r="F264" s="212" t="str" vm="2186">
        <f t="shared" si="28"/>
        <v/>
      </c>
    </row>
    <row r="265" spans="2:6">
      <c r="B265" s="152" t="str" vm="536">
        <f t="shared" si="25"/>
        <v>Core</v>
      </c>
      <c r="C265" s="152" t="str" vm="923">
        <f>CUBEMEMBER("cabcrmsqlrs1 CABReportingCubes Local Financial Snapshot",{"[AIC Outcome].[Type Of Outcome].&amp;[Core]","[AIC Outcome].[Outcome].&amp;[Section 4 payments]"})</f>
        <v>Section 4 payments</v>
      </c>
      <c r="D265" s="152" t="str" vm="2422">
        <f t="shared" si="28"/>
        <v/>
      </c>
      <c r="E265" s="152" t="str" vm="1950">
        <f t="shared" si="28"/>
        <v/>
      </c>
      <c r="F265" s="212" t="str" vm="2423">
        <f t="shared" si="28"/>
        <v/>
      </c>
    </row>
    <row r="266" spans="2:6">
      <c r="B266" s="152" t="str" vm="536">
        <f t="shared" si="25"/>
        <v>Core</v>
      </c>
      <c r="C266" s="152" t="str" vm="771">
        <f>CUBEMEMBER("cabcrmsqlrs1 CABReportingCubes Local Financial Snapshot",{"[AIC Outcome].[Type Of Outcome].&amp;[Core]","[AIC Outcome].[Outcome].&amp;[Settled accomm secured (not under a homelessness duty)]"})</f>
        <v>Settled accomm secured (not under a homelessness duty)</v>
      </c>
      <c r="D266" s="152" t="str" vm="2030">
        <f t="shared" si="28"/>
        <v/>
      </c>
      <c r="E266" s="152" t="str" vm="1909">
        <f t="shared" si="28"/>
        <v/>
      </c>
      <c r="F266" s="212" t="str" vm="1892">
        <f t="shared" si="28"/>
        <v/>
      </c>
    </row>
    <row r="267" spans="2:6">
      <c r="B267" s="152" t="str" vm="536">
        <f t="shared" si="25"/>
        <v>Core</v>
      </c>
      <c r="C267" s="152" t="str" vm="922">
        <f>CUBEMEMBER("cabcrmsqlrs1 CABReportingCubes Local Financial Snapshot",{"[AIC Outcome].[Type Of Outcome].&amp;[Core]","[AIC Outcome].[Outcome].&amp;[Social care charges reduced or eliminated]"})</f>
        <v>Social care charges reduced or eliminated</v>
      </c>
      <c r="D267" s="152" vm="2495">
        <f t="shared" si="28"/>
        <v>1</v>
      </c>
      <c r="E267" s="152" vm="2129">
        <f t="shared" si="28"/>
        <v>1</v>
      </c>
      <c r="F267" s="212" vm="2025">
        <f t="shared" si="28"/>
        <v>200</v>
      </c>
    </row>
    <row r="268" spans="2:6">
      <c r="B268" s="152" t="str" vm="536">
        <f t="shared" si="25"/>
        <v>Core</v>
      </c>
      <c r="C268" s="152" t="str" vm="714">
        <f>CUBEMEMBER("cabcrmsqlrs1 CABReportingCubes Local Financial Snapshot",{"[AIC Outcome].[Type Of Outcome].&amp;[Core]","[AIC Outcome].[Outcome].&amp;[Tax - other (financial gain)]"})</f>
        <v>Tax - other (financial gain)</v>
      </c>
      <c r="D268" s="152" vm="2028">
        <f t="shared" si="28"/>
        <v>8</v>
      </c>
      <c r="E268" s="152" vm="1748">
        <f t="shared" si="28"/>
        <v>8</v>
      </c>
      <c r="F268" s="212" vm="1612">
        <f t="shared" si="28"/>
        <v>3547.85</v>
      </c>
    </row>
    <row r="269" spans="2:6">
      <c r="B269" s="152" t="str" vm="536">
        <f t="shared" si="25"/>
        <v>Core</v>
      </c>
      <c r="C269" s="152" t="str" vm="690">
        <f>CUBEMEMBER("cabcrmsqlrs1 CABReportingCubes Local Financial Snapshot",{"[AIC Outcome].[Type Of Outcome].&amp;[Core]","[AIC Outcome].[Outcome].&amp;[Tax - other (non-financial)]"})</f>
        <v>Tax - other (non-financial)</v>
      </c>
      <c r="D269" s="152" t="str" vm="1827">
        <f t="shared" si="28"/>
        <v/>
      </c>
      <c r="E269" s="152" t="str" vm="1629">
        <f t="shared" si="28"/>
        <v/>
      </c>
      <c r="F269" s="212" t="str" vm="2379">
        <f t="shared" si="28"/>
        <v/>
      </c>
    </row>
    <row r="270" spans="2:6">
      <c r="B270" s="152" t="str" vm="536">
        <f t="shared" si="25"/>
        <v>Core</v>
      </c>
      <c r="C270" s="152" t="str" vm="613">
        <f>CUBEMEMBER("cabcrmsqlrs1 CABReportingCubes Local Financial Snapshot",{"[AIC Outcome].[Type Of Outcome].&amp;[Core]","[AIC Outcome].[Outcome].&amp;[Tax coding corrected]"})</f>
        <v>Tax coding corrected</v>
      </c>
      <c r="D270" s="152" vm="2478">
        <f t="shared" si="28"/>
        <v>1</v>
      </c>
      <c r="E270" s="152" vm="1986">
        <f t="shared" si="28"/>
        <v>1</v>
      </c>
      <c r="F270" s="212" vm="1666">
        <f t="shared" si="28"/>
        <v>0</v>
      </c>
    </row>
    <row r="271" spans="2:6">
      <c r="B271" s="152" t="str" vm="536">
        <f t="shared" si="25"/>
        <v>Core</v>
      </c>
      <c r="C271" s="152" t="str" vm="689">
        <f>CUBEMEMBER("cabcrmsqlrs1 CABReportingCubes Local Financial Snapshot",{"[AIC Outcome].[Type Of Outcome].&amp;[Core]","[AIC Outcome].[Outcome].&amp;[Tax rebate]"})</f>
        <v>Tax rebate</v>
      </c>
      <c r="D271" s="152" vm="2329">
        <f t="shared" si="28"/>
        <v>1</v>
      </c>
      <c r="E271" s="152" vm="2703">
        <f t="shared" si="28"/>
        <v>1</v>
      </c>
      <c r="F271" s="212" vm="1617">
        <f t="shared" si="28"/>
        <v>136.35</v>
      </c>
    </row>
    <row r="272" spans="2:6">
      <c r="B272" s="152" t="str" vm="536">
        <f t="shared" si="25"/>
        <v>Core</v>
      </c>
      <c r="C272" s="152" t="str" vm="612">
        <f>CUBEMEMBER("cabcrmsqlrs1 CABReportingCubes Local Financial Snapshot",{"[AIC Outcome].[Type Of Outcome].&amp;[Core]","[AIC Outcome].[Outcome].&amp;[Tax return completed]"})</f>
        <v>Tax return completed</v>
      </c>
      <c r="D272" s="152" t="str" vm="2428">
        <f t="shared" si="28"/>
        <v/>
      </c>
      <c r="E272" s="152" t="str" vm="2430">
        <f t="shared" si="28"/>
        <v/>
      </c>
      <c r="F272" s="212" t="str" vm="2429">
        <f t="shared" si="28"/>
        <v/>
      </c>
    </row>
    <row r="273" spans="2:6">
      <c r="B273" s="152" t="str" vm="536">
        <f t="shared" si="25"/>
        <v>Core</v>
      </c>
      <c r="C273" s="152" t="str" vm="688">
        <f>CUBEMEMBER("cabcrmsqlrs1 CABReportingCubes Local Financial Snapshot",{"[AIC Outcome].[Type Of Outcome].&amp;[Core]","[AIC Outcome].[Outcome].&amp;[Temporary accomm secured (not Part 7)]"})</f>
        <v>Temporary accomm secured (not Part 7)</v>
      </c>
      <c r="D273" s="152" t="str" vm="2149">
        <f t="shared" si="28"/>
        <v/>
      </c>
      <c r="E273" s="152" t="str" vm="1912">
        <f t="shared" si="28"/>
        <v/>
      </c>
      <c r="F273" s="212" t="str" vm="1935">
        <f t="shared" si="28"/>
        <v/>
      </c>
    </row>
    <row r="274" spans="2:6">
      <c r="B274" s="152" t="str" vm="536">
        <f t="shared" si="25"/>
        <v>Core</v>
      </c>
      <c r="C274" s="152" t="str" vm="611">
        <f>CUBEMEMBER("cabcrmsqlrs1 CABReportingCubes Local Financial Snapshot",{"[AIC Outcome].[Type Of Outcome].&amp;[Core]","[AIC Outcome].[Outcome].&amp;[Terms or conditions maintained/enforced]"})</f>
        <v>Terms or conditions maintained/enforced</v>
      </c>
      <c r="D274" s="152" t="str" vm="2170">
        <f t="shared" si="28"/>
        <v/>
      </c>
      <c r="E274" s="152" t="str" vm="1656">
        <f t="shared" si="28"/>
        <v/>
      </c>
      <c r="F274" s="212" t="str" vm="1889">
        <f t="shared" si="28"/>
        <v/>
      </c>
    </row>
    <row r="275" spans="2:6">
      <c r="B275" s="152" t="str" vm="536">
        <f t="shared" ref="B275:B285" si="29">CUBEMEMBER("cabcrmsqlrs1 CABReportingCubes Local Financial Snapshot","[AIC Outcome].[Type Of Outcome].&amp;[Core]")</f>
        <v>Core</v>
      </c>
      <c r="C275" s="152" t="str" vm="687">
        <f>CUBEMEMBER("cabcrmsqlrs1 CABReportingCubes Local Financial Snapshot",{"[AIC Outcome].[Type Of Outcome].&amp;[Core]","[AIC Outcome].[Outcome].&amp;[Token payments]"})</f>
        <v>Token payments</v>
      </c>
      <c r="D275" s="152" vm="1856">
        <f t="shared" si="28"/>
        <v>6</v>
      </c>
      <c r="E275" s="152" vm="2699">
        <f t="shared" si="28"/>
        <v>6</v>
      </c>
      <c r="F275" s="212" vm="2258">
        <f t="shared" si="28"/>
        <v>2948</v>
      </c>
    </row>
    <row r="276" spans="2:6">
      <c r="B276" s="152" t="str" vm="536">
        <f t="shared" si="29"/>
        <v>Core</v>
      </c>
      <c r="C276" s="152" t="str" vm="610">
        <f>CUBEMEMBER("cabcrmsqlrs1 CABReportingCubes Local Financial Snapshot",{"[AIC Outcome].[Type Of Outcome].&amp;[Core]","[AIC Outcome].[Outcome].&amp;[UC: Alternative Payment Arrangement agreed]"})</f>
        <v>UC: Alternative Payment Arrangement agreed</v>
      </c>
      <c r="D276" s="152" t="str" vm="2490">
        <f t="shared" si="28"/>
        <v/>
      </c>
      <c r="E276" s="152" t="str" vm="1798">
        <f t="shared" si="28"/>
        <v/>
      </c>
      <c r="F276" s="212" t="str" vm="2274">
        <f t="shared" si="28"/>
        <v/>
      </c>
    </row>
    <row r="277" spans="2:6">
      <c r="B277" s="152" t="str" vm="536">
        <f t="shared" si="29"/>
        <v>Core</v>
      </c>
      <c r="C277" s="152" t="str" vm="609">
        <f>CUBEMEMBER("cabcrmsqlrs1 CABReportingCubes Local Financial Snapshot",{"[AIC Outcome].[Type Of Outcome].&amp;[Core]","[AIC Outcome].[Outcome].&amp;[UC: Personal Budgeting Support received]"})</f>
        <v>UC: Personal Budgeting Support received</v>
      </c>
      <c r="D277" s="152" t="str" vm="2365">
        <f t="shared" si="28"/>
        <v/>
      </c>
      <c r="E277" s="152" t="str" vm="1638">
        <f t="shared" si="28"/>
        <v/>
      </c>
      <c r="F277" s="212" t="str" vm="1633">
        <f t="shared" si="28"/>
        <v/>
      </c>
    </row>
    <row r="278" spans="2:6">
      <c r="B278" s="152" t="str" vm="536">
        <f t="shared" si="29"/>
        <v>Core</v>
      </c>
      <c r="C278" s="152" t="str" vm="686">
        <f>CUBEMEMBER("cabcrmsqlrs1 CABReportingCubes Local Financial Snapshot",{"[AIC Outcome].[Type Of Outcome].&amp;[Core]","[AIC Outcome].[Outcome].&amp;[Unfair Insurance challenged - successful]"})</f>
        <v>Unfair Insurance challenged - successful</v>
      </c>
      <c r="D278" s="152" vm="1793">
        <f t="shared" si="28"/>
        <v>1</v>
      </c>
      <c r="E278" s="152" vm="1516">
        <f t="shared" si="28"/>
        <v>1</v>
      </c>
      <c r="F278" s="212" vm="2216">
        <f t="shared" si="28"/>
        <v>0</v>
      </c>
    </row>
    <row r="279" spans="2:6">
      <c r="B279" s="152" t="str" vm="536">
        <f t="shared" si="29"/>
        <v>Core</v>
      </c>
      <c r="C279" s="152" t="str" vm="608">
        <f>CUBEMEMBER("cabcrmsqlrs1 CABReportingCubes Local Financial Snapshot",{"[AIC Outcome].[Type Of Outcome].&amp;[Core]","[AIC Outcome].[Outcome].&amp;[Unfair Insurance challenged - unsuccessful]"})</f>
        <v>Unfair Insurance challenged - unsuccessful</v>
      </c>
      <c r="D279" s="152" t="str" vm="2484">
        <f t="shared" si="28"/>
        <v/>
      </c>
      <c r="E279" s="152" t="str" vm="2752">
        <f t="shared" si="28"/>
        <v/>
      </c>
      <c r="F279" s="212" t="str" vm="2279">
        <f t="shared" si="28"/>
        <v/>
      </c>
    </row>
    <row r="280" spans="2:6">
      <c r="B280" s="152" t="str" vm="536">
        <f t="shared" si="29"/>
        <v>Core</v>
      </c>
      <c r="C280" s="152" t="str" vm="685">
        <f>CUBEMEMBER("cabcrmsqlrs1 CABReportingCubes Local Financial Snapshot",{"[AIC Outcome].[Type Of Outcome].&amp;[Core]","[AIC Outcome].[Outcome].&amp;[Unfair practice remedy - success]"})</f>
        <v>Unfair practice remedy - success</v>
      </c>
      <c r="D280" s="152" t="str" vm="2132">
        <f t="shared" si="28"/>
        <v/>
      </c>
      <c r="E280" s="152" t="str" vm="1607">
        <f t="shared" si="28"/>
        <v/>
      </c>
      <c r="F280" s="212" t="str" vm="2104">
        <f t="shared" si="28"/>
        <v/>
      </c>
    </row>
    <row r="281" spans="2:6">
      <c r="B281" s="152" t="str" vm="536">
        <f t="shared" si="29"/>
        <v>Core</v>
      </c>
      <c r="C281" s="152" t="str" vm="607">
        <f>CUBEMEMBER("cabcrmsqlrs1 CABReportingCubes Local Financial Snapshot",{"[AIC Outcome].[Type Of Outcome].&amp;[Core]","[AIC Outcome].[Outcome].&amp;[Unfair practice remedy - unsuccessful]"})</f>
        <v>Unfair practice remedy - unsuccessful</v>
      </c>
      <c r="D281" s="152" t="str" vm="2586">
        <f t="shared" si="28"/>
        <v/>
      </c>
      <c r="E281" s="152" t="str" vm="2587">
        <f t="shared" si="28"/>
        <v/>
      </c>
      <c r="F281" s="212" t="str" vm="2588">
        <f t="shared" si="28"/>
        <v/>
      </c>
    </row>
    <row r="282" spans="2:6">
      <c r="B282" s="152" t="str" vm="536">
        <f t="shared" si="29"/>
        <v>Core</v>
      </c>
      <c r="C282" s="152" t="str" vm="684">
        <f>CUBEMEMBER("cabcrmsqlrs1 CABReportingCubes Local Financial Snapshot",{"[AIC Outcome].[Type Of Outcome].&amp;[Core]","[AIC Outcome].[Outcome].&amp;[Utilities disconnection prevented]"})</f>
        <v>Utilities disconnection prevented</v>
      </c>
      <c r="D282" s="152" t="str" vm="2442">
        <f t="shared" si="28"/>
        <v/>
      </c>
      <c r="E282" s="152" t="str" vm="1730">
        <f t="shared" si="28"/>
        <v/>
      </c>
      <c r="F282" s="212" t="str" vm="1894">
        <f t="shared" si="28"/>
        <v/>
      </c>
    </row>
    <row r="283" spans="2:6">
      <c r="B283" s="152" t="str" vm="536">
        <f t="shared" si="29"/>
        <v>Core</v>
      </c>
      <c r="C283" s="152" t="str" vm="937">
        <f>CUBEMEMBER("cabcrmsqlrs1 CABReportingCubes Local Financial Snapshot",{"[AIC Outcome].[Type Of Outcome].&amp;[Core]","[AIC Outcome].[Outcome].&amp;[Utility meter installed / moved / recalibrated]"})</f>
        <v>Utility meter installed / moved / recalibrated</v>
      </c>
      <c r="D283" s="152" vm="2044">
        <f t="shared" ref="D283:F302" si="30">CUBEVALUE("cabcrmsqlrs1 CABReportingCubes Local Financial Snapshot",$C$77,$C$78,$C$79,$C$80,$C283,D$82)</f>
        <v>3</v>
      </c>
      <c r="E283" s="152" vm="2710">
        <f t="shared" si="30"/>
        <v>3</v>
      </c>
      <c r="F283" s="212" vm="1864">
        <f t="shared" si="30"/>
        <v>1716</v>
      </c>
    </row>
    <row r="284" spans="2:6">
      <c r="B284" s="152" t="str" vm="536">
        <f t="shared" si="29"/>
        <v>Core</v>
      </c>
      <c r="C284" s="152" t="str" vm="683">
        <f>CUBEMEMBER("cabcrmsqlrs1 CABReportingCubes Local Financial Snapshot",{"[AIC Outcome].[Type Of Outcome].&amp;[Core]","[AIC Outcome].[Outcome].&amp;[Will /probate outcomes - successful]"})</f>
        <v>Will /probate outcomes - successful</v>
      </c>
      <c r="D284" s="152" t="str" vm="1863">
        <f t="shared" si="30"/>
        <v/>
      </c>
      <c r="E284" s="152" t="str" vm="1528">
        <f t="shared" si="30"/>
        <v/>
      </c>
      <c r="F284" s="212" t="str" vm="1693">
        <f t="shared" si="30"/>
        <v/>
      </c>
    </row>
    <row r="285" spans="2:6">
      <c r="B285" s="152" t="str" vm="536">
        <f t="shared" si="29"/>
        <v>Core</v>
      </c>
      <c r="C285" s="152" t="str" vm="606">
        <f>CUBEMEMBER("cabcrmsqlrs1 CABReportingCubes Local Financial Snapshot",{"[AIC Outcome].[Type Of Outcome].&amp;[Core]","[AIC Outcome].[Outcome].&amp;[Will /probate outcomes - unsuccessful]"})</f>
        <v>Will /probate outcomes - unsuccessful</v>
      </c>
      <c r="D285" s="152" t="str" vm="2311">
        <f t="shared" si="30"/>
        <v/>
      </c>
      <c r="E285" s="152" t="str" vm="1721">
        <f t="shared" si="30"/>
        <v/>
      </c>
      <c r="F285" s="212" t="str" vm="2080">
        <f t="shared" si="30"/>
        <v/>
      </c>
    </row>
    <row r="286" spans="2:6">
      <c r="B286" s="152" t="str" vm="535">
        <f t="shared" ref="B286:B317" si="31">CUBEMEMBER("cabcrmsqlrs1 CABReportingCubes Local Financial Snapshot","[AIC Outcome].[Type Of Outcome].&amp;[Local]")</f>
        <v>Local</v>
      </c>
      <c r="C286" s="152" t="str" vm="682">
        <f>CUBEMEMBER("cabcrmsqlrs1 CABReportingCubes Local Financial Snapshot",{"[AIC Outcome].[Type Of Outcome].&amp;[Local]","[AIC Outcome].[Outcome].&amp;[Bath -  Wessex Water Restart, Phased Debt Write Off]"})</f>
        <v>Bath -  Wessex Water Restart, Phased Debt Write Off</v>
      </c>
      <c r="D286" s="152" t="str" vm="2479">
        <f t="shared" si="30"/>
        <v/>
      </c>
      <c r="E286" s="152" t="str" vm="1885">
        <f t="shared" si="30"/>
        <v/>
      </c>
      <c r="F286" s="212" t="str" vm="2196">
        <f t="shared" si="30"/>
        <v/>
      </c>
    </row>
    <row r="287" spans="2:6">
      <c r="B287" s="152" t="str" vm="535">
        <f t="shared" si="31"/>
        <v>Local</v>
      </c>
      <c r="C287" s="152" t="str" vm="605">
        <f>CUBEMEMBER("cabcrmsqlrs1 CABReportingCubes Local Financial Snapshot",{"[AIC Outcome].[Type Of Outcome].&amp;[Local]","[AIC Outcome].[Outcome].&amp;[Bath - Bath Municipal Charities Grant]"})</f>
        <v>Bath - Bath Municipal Charities Grant</v>
      </c>
      <c r="D287" s="152" t="str" vm="1824">
        <f t="shared" si="30"/>
        <v/>
      </c>
      <c r="E287" s="152" t="str" vm="2371">
        <f t="shared" si="30"/>
        <v/>
      </c>
      <c r="F287" s="212" t="str" vm="2370">
        <f t="shared" si="30"/>
        <v/>
      </c>
    </row>
    <row r="288" spans="2:6">
      <c r="B288" s="152" t="str" vm="535">
        <f t="shared" si="31"/>
        <v>Local</v>
      </c>
      <c r="C288" s="152" t="str" vm="681">
        <f>CUBEMEMBER("cabcrmsqlrs1 CABReportingCubes Local Financial Snapshot",{"[AIC Outcome].[Type Of Outcome].&amp;[Local]","[AIC Outcome].[Outcome].&amp;[Bath - Bath Municipal Charities Grant, Childrens Centres]"})</f>
        <v>Bath - Bath Municipal Charities Grant, Childrens Centres</v>
      </c>
      <c r="D288" s="152" t="str" vm="2500">
        <f t="shared" si="30"/>
        <v/>
      </c>
      <c r="E288" s="152" t="str" vm="1744">
        <f t="shared" si="30"/>
        <v/>
      </c>
      <c r="F288" s="212" t="str" vm="1723">
        <f t="shared" si="30"/>
        <v/>
      </c>
    </row>
    <row r="289" spans="2:6">
      <c r="B289" s="152" t="str" vm="535">
        <f t="shared" si="31"/>
        <v>Local</v>
      </c>
      <c r="C289" s="152" t="str" vm="604">
        <f>CUBEMEMBER("cabcrmsqlrs1 CABReportingCubes Local Financial Snapshot",{"[AIC Outcome].[Type Of Outcome].&amp;[Local]","[AIC Outcome].[Outcome].&amp;[Bath - H1 possesion prevented]"})</f>
        <v>Bath - H1 possesion prevented</v>
      </c>
      <c r="D289" s="152" t="str" vm="2613">
        <f t="shared" si="30"/>
        <v/>
      </c>
      <c r="E289" s="152" t="str" vm="2612">
        <f t="shared" si="30"/>
        <v/>
      </c>
      <c r="F289" s="212" t="str" vm="2367">
        <f t="shared" si="30"/>
        <v/>
      </c>
    </row>
    <row r="290" spans="2:6">
      <c r="B290" s="152" t="str" vm="535">
        <f t="shared" si="31"/>
        <v>Local</v>
      </c>
      <c r="C290" s="152" t="str" vm="680">
        <f>CUBEMEMBER("cabcrmsqlrs1 CABReportingCubes Local Financial Snapshot",{"[AIC Outcome].[Type Of Outcome].&amp;[Local]","[AIC Outcome].[Outcome].&amp;[Bath - H2 possesion suspended]"})</f>
        <v>Bath - H2 possesion suspended</v>
      </c>
      <c r="D290" s="152" t="str" vm="1977">
        <f t="shared" si="30"/>
        <v/>
      </c>
      <c r="E290" s="152" t="str" vm="2747">
        <f t="shared" si="30"/>
        <v/>
      </c>
      <c r="F290" s="212" t="str" vm="2197">
        <f t="shared" si="30"/>
        <v/>
      </c>
    </row>
    <row r="291" spans="2:6">
      <c r="B291" s="152" t="str" vm="535">
        <f t="shared" si="31"/>
        <v>Local</v>
      </c>
      <c r="C291" s="152" t="str" vm="603">
        <f>CUBEMEMBER("cabcrmsqlrs1 CABReportingCubes Local Financial Snapshot",{"[AIC Outcome].[Type Of Outcome].&amp;[Local]","[AIC Outcome].[Outcome].&amp;[Bath - H3 eviction prevented]"})</f>
        <v>Bath - H3 eviction prevented</v>
      </c>
      <c r="D291" s="152" t="str" vm="2323">
        <f t="shared" si="30"/>
        <v/>
      </c>
      <c r="E291" s="152" t="str" vm="1602">
        <f t="shared" si="30"/>
        <v/>
      </c>
      <c r="F291" s="212" t="str" vm="2735">
        <f t="shared" si="30"/>
        <v/>
      </c>
    </row>
    <row r="292" spans="2:6">
      <c r="B292" s="152" t="str" vm="535">
        <f t="shared" si="31"/>
        <v>Local</v>
      </c>
      <c r="C292" s="152" t="str" vm="679">
        <f>CUBEMEMBER("cabcrmsqlrs1 CABReportingCubes Local Financial Snapshot",{"[AIC Outcome].[Type Of Outcome].&amp;[Local]","[AIC Outcome].[Outcome].&amp;[Bath - H4 eviction suspended]"})</f>
        <v>Bath - H4 eviction suspended</v>
      </c>
      <c r="D292" s="152" t="str" vm="1980">
        <f t="shared" si="30"/>
        <v/>
      </c>
      <c r="E292" s="152" t="str" vm="1533">
        <f t="shared" si="30"/>
        <v/>
      </c>
      <c r="F292" s="212" t="str" vm="1890">
        <f t="shared" si="30"/>
        <v/>
      </c>
    </row>
    <row r="293" spans="2:6">
      <c r="B293" s="152" t="str" vm="535">
        <f t="shared" si="31"/>
        <v>Local</v>
      </c>
      <c r="C293" s="152" t="str" vm="602">
        <f>CUBEMEMBER("cabcrmsqlrs1 CABReportingCubes Local Financial Snapshot",{"[AIC Outcome].[Type Of Outcome].&amp;[Local]","[AIC Outcome].[Outcome].&amp;[Bath - H5 housing benefit LHA and CTB]"})</f>
        <v>Bath - H5 housing benefit LHA and CTB</v>
      </c>
      <c r="D293" s="152" t="str" vm="1933">
        <f t="shared" si="30"/>
        <v/>
      </c>
      <c r="E293" s="152" t="str" vm="1541">
        <f t="shared" si="30"/>
        <v/>
      </c>
      <c r="F293" s="212" t="str" vm="2107">
        <f t="shared" si="30"/>
        <v/>
      </c>
    </row>
    <row r="294" spans="2:6">
      <c r="B294" s="152" t="str" vm="535">
        <f t="shared" si="31"/>
        <v>Local</v>
      </c>
      <c r="C294" s="152" t="str" vm="678">
        <f>CUBEMEMBER("cabcrmsqlrs1 CABReportingCubes Local Financial Snapshot",{"[AIC Outcome].[Type Of Outcome].&amp;[Local]","[AIC Outcome].[Outcome].&amp;[Bath - H6 notice to quit prevented]"})</f>
        <v>Bath - H6 notice to quit prevented</v>
      </c>
      <c r="D294" s="152" t="str" vm="2019">
        <f t="shared" si="30"/>
        <v/>
      </c>
      <c r="E294" s="152" t="str" vm="1715">
        <f t="shared" si="30"/>
        <v/>
      </c>
      <c r="F294" s="212" t="str" vm="2193">
        <f t="shared" si="30"/>
        <v/>
      </c>
    </row>
    <row r="295" spans="2:6">
      <c r="B295" s="152" t="str" vm="535">
        <f t="shared" si="31"/>
        <v>Local</v>
      </c>
      <c r="C295" s="152" t="str" vm="601">
        <f>CUBEMEMBER("cabcrmsqlrs1 CABReportingCubes Local Financial Snapshot",{"[AIC Outcome].[Type Of Outcome].&amp;[Local]","[AIC Outcome].[Outcome].&amp;[Bath - H7 homelessness prevented]"})</f>
        <v>Bath - H7 homelessness prevented</v>
      </c>
      <c r="D295" s="152" t="str" vm="2481">
        <f t="shared" si="30"/>
        <v/>
      </c>
      <c r="E295" s="152" t="str" vm="1585">
        <f t="shared" si="30"/>
        <v/>
      </c>
      <c r="F295" s="212" t="str" vm="1718">
        <f t="shared" si="30"/>
        <v/>
      </c>
    </row>
    <row r="296" spans="2:6">
      <c r="B296" s="152" t="str" vm="535">
        <f t="shared" si="31"/>
        <v>Local</v>
      </c>
      <c r="C296" s="152" t="str" vm="677">
        <f>CUBEMEMBER("cabcrmsqlrs1 CABReportingCubes Local Financial Snapshot",{"[AIC Outcome].[Type Of Outcome].&amp;[Local]","[AIC Outcome].[Outcome].&amp;[Bath - NHS Low Income Scheme]"})</f>
        <v>Bath - NHS Low Income Scheme</v>
      </c>
      <c r="D296" s="152" t="str" vm="2698">
        <f t="shared" si="30"/>
        <v/>
      </c>
      <c r="E296" s="152" t="str" vm="1850">
        <f t="shared" si="30"/>
        <v/>
      </c>
      <c r="F296" s="212" t="str" vm="2353">
        <f t="shared" si="30"/>
        <v/>
      </c>
    </row>
    <row r="297" spans="2:6">
      <c r="B297" s="152" t="str" vm="535">
        <f t="shared" si="31"/>
        <v>Local</v>
      </c>
      <c r="C297" s="152" t="str" vm="600">
        <f>CUBEMEMBER("cabcrmsqlrs1 CABReportingCubes Local Financial Snapshot",{"[AIC Outcome].[Type Of Outcome].&amp;[Local]","[AIC Outcome].[Outcome].&amp;[Bath - Wessex Water Assist, Reduced Tariff]"})</f>
        <v>Bath - Wessex Water Assist, Reduced Tariff</v>
      </c>
      <c r="D297" s="152" t="str" vm="1794">
        <f t="shared" si="30"/>
        <v/>
      </c>
      <c r="E297" s="152" t="str" vm="1524">
        <f t="shared" si="30"/>
        <v/>
      </c>
      <c r="F297" s="212" t="str" vm="2066">
        <f t="shared" si="30"/>
        <v/>
      </c>
    </row>
    <row r="298" spans="2:6">
      <c r="B298" s="152" t="str" vm="535">
        <f t="shared" si="31"/>
        <v>Local</v>
      </c>
      <c r="C298" s="152" t="str" vm="676">
        <f>CUBEMEMBER("cabcrmsqlrs1 CABReportingCubes Local Financial Snapshot",{"[AIC Outcome].[Type Of Outcome].&amp;[Local]","[AIC Outcome].[Outcome].&amp;[Bath &amp; North East Somerset - Foodbank]"})</f>
        <v>Bath &amp; North East Somerset - Foodbank</v>
      </c>
      <c r="D298" s="152" t="str" vm="2483">
        <f t="shared" si="30"/>
        <v/>
      </c>
      <c r="E298" s="152" t="str" vm="1546">
        <f t="shared" si="30"/>
        <v/>
      </c>
      <c r="F298" s="212" t="str" vm="1618">
        <f t="shared" si="30"/>
        <v/>
      </c>
    </row>
    <row r="299" spans="2:6">
      <c r="B299" s="152" t="str" vm="535">
        <f t="shared" si="31"/>
        <v>Local</v>
      </c>
      <c r="C299" s="152" t="str" vm="599">
        <f>CUBEMEMBER("cabcrmsqlrs1 CABReportingCubes Local Financial Snapshot",{"[AIC Outcome].[Type Of Outcome].&amp;[Local]","[AIC Outcome].[Outcome].&amp;[BHWCAB - Payment from BDC Exceptional Hardship Fund]"})</f>
        <v>BHWCAB - Payment from BDC Exceptional Hardship Fund</v>
      </c>
      <c r="D299" s="152" t="str" vm="2223">
        <f t="shared" si="30"/>
        <v/>
      </c>
      <c r="E299" s="152" t="str" vm="1544">
        <f t="shared" si="30"/>
        <v/>
      </c>
      <c r="F299" s="212" t="str" vm="1694">
        <f t="shared" si="30"/>
        <v/>
      </c>
    </row>
    <row r="300" spans="2:6">
      <c r="B300" s="152" t="str" vm="535">
        <f t="shared" si="31"/>
        <v>Local</v>
      </c>
      <c r="C300" s="152" t="str" vm="921">
        <f>CUBEMEMBER("cabcrmsqlrs1 CABReportingCubes Local Financial Snapshot",{"[AIC Outcome].[Type Of Outcome].&amp;[Local]","[AIC Outcome].[Outcome].&amp;[Buckingham Winslow &amp; District - Court Desk]"})</f>
        <v>Buckingham Winslow &amp; District - Court Desk</v>
      </c>
      <c r="D300" s="152" t="str" vm="2047">
        <f t="shared" si="30"/>
        <v/>
      </c>
      <c r="E300" s="152" t="str" vm="1623">
        <f t="shared" si="30"/>
        <v/>
      </c>
      <c r="F300" s="212" t="str" vm="1752">
        <f t="shared" si="30"/>
        <v/>
      </c>
    </row>
    <row r="301" spans="2:6">
      <c r="B301" s="152" t="str" vm="535">
        <f t="shared" si="31"/>
        <v>Local</v>
      </c>
      <c r="C301" s="152" t="str" vm="675">
        <f>CUBEMEMBER("cabcrmsqlrs1 CABReportingCubes Local Financial Snapshot",{"[AIC Outcome].[Type Of Outcome].&amp;[Local]","[AIC Outcome].[Outcome].&amp;[Buckingham Winslow &amp; District - Home Visiting]"})</f>
        <v>Buckingham Winslow &amp; District - Home Visiting</v>
      </c>
      <c r="D301" s="152" t="str" vm="2356">
        <f t="shared" si="30"/>
        <v/>
      </c>
      <c r="E301" s="152" t="str" vm="2316">
        <f t="shared" si="30"/>
        <v/>
      </c>
      <c r="F301" s="212" t="str" vm="1831">
        <f t="shared" si="30"/>
        <v/>
      </c>
    </row>
    <row r="302" spans="2:6">
      <c r="B302" s="152" t="str" vm="535">
        <f t="shared" si="31"/>
        <v>Local</v>
      </c>
      <c r="C302" s="152" t="str" vm="598">
        <f>CUBEMEMBER("cabcrmsqlrs1 CABReportingCubes Local Financial Snapshot",{"[AIC Outcome].[Type Of Outcome].&amp;[Local]","[AIC Outcome].[Outcome].&amp;[Buckingham Winslow &amp; District - MAP]"})</f>
        <v>Buckingham Winslow &amp; District - MAP</v>
      </c>
      <c r="D302" s="152" t="str" vm="1881">
        <f t="shared" si="30"/>
        <v/>
      </c>
      <c r="E302" s="152" t="str" vm="1652">
        <f t="shared" si="30"/>
        <v/>
      </c>
      <c r="F302" s="212" t="str" vm="2377">
        <f t="shared" si="30"/>
        <v/>
      </c>
    </row>
    <row r="303" spans="2:6">
      <c r="B303" s="152" t="str" vm="535">
        <f t="shared" si="31"/>
        <v>Local</v>
      </c>
      <c r="C303" s="152" t="str" vm="674">
        <f>CUBEMEMBER("cabcrmsqlrs1 CABReportingCubes Local Financial Snapshot",{"[AIC Outcome].[Type Of Outcome].&amp;[Local]","[AIC Outcome].[Outcome].&amp;[Chiltern - CAB Fund]"})</f>
        <v>Chiltern - CAB Fund</v>
      </c>
      <c r="D303" s="152" t="str" vm="2558">
        <f t="shared" ref="D303:F322" si="32">CUBEVALUE("cabcrmsqlrs1 CABReportingCubes Local Financial Snapshot",$C$77,$C$78,$C$79,$C$80,$C303,D$82)</f>
        <v/>
      </c>
      <c r="E303" s="152" t="str" vm="2687">
        <f t="shared" si="32"/>
        <v/>
      </c>
      <c r="F303" s="212" t="str" vm="2559">
        <f t="shared" si="32"/>
        <v/>
      </c>
    </row>
    <row r="304" spans="2:6">
      <c r="B304" s="152" t="str" vm="535">
        <f t="shared" si="31"/>
        <v>Local</v>
      </c>
      <c r="C304" s="152" t="str" vm="597">
        <f>CUBEMEMBER("cabcrmsqlrs1 CABReportingCubes Local Financial Snapshot",{"[AIC Outcome].[Type Of Outcome].&amp;[Local]","[AIC Outcome].[Outcome].&amp;[Chiltern - Griffin Club]"})</f>
        <v>Chiltern - Griffin Club</v>
      </c>
      <c r="D304" s="152" t="str" vm="2480">
        <f t="shared" si="32"/>
        <v/>
      </c>
      <c r="E304" s="152" t="str" vm="1749">
        <f t="shared" si="32"/>
        <v/>
      </c>
      <c r="F304" s="212" t="str" vm="1888">
        <f t="shared" si="32"/>
        <v/>
      </c>
    </row>
    <row r="305" spans="2:6">
      <c r="B305" s="152" t="str" vm="535">
        <f t="shared" si="31"/>
        <v>Local</v>
      </c>
      <c r="C305" s="152" t="str" vm="673">
        <f>CUBEMEMBER("cabcrmsqlrs1 CABReportingCubes Local Financial Snapshot",{"[AIC Outcome].[Type Of Outcome].&amp;[Local]","[AIC Outcome].[Outcome].&amp;[Chiltern - Madge Fund]"})</f>
        <v>Chiltern - Madge Fund</v>
      </c>
      <c r="D305" s="152" t="str" vm="2008">
        <f t="shared" si="32"/>
        <v/>
      </c>
      <c r="E305" s="152" t="str" vm="2717">
        <f t="shared" si="32"/>
        <v/>
      </c>
      <c r="F305" s="212" t="str" vm="2099">
        <f t="shared" si="32"/>
        <v/>
      </c>
    </row>
    <row r="306" spans="2:6">
      <c r="B306" s="152" t="str" vm="535">
        <f t="shared" si="31"/>
        <v>Local</v>
      </c>
      <c r="C306" s="152" t="str" vm="596">
        <f>CUBEMEMBER("cabcrmsqlrs1 CABReportingCubes Local Financial Snapshot",{"[AIC Outcome].[Type Of Outcome].&amp;[Local]","[AIC Outcome].[Outcome].&amp;[Chiltern - Rotary]"})</f>
        <v>Chiltern - Rotary</v>
      </c>
      <c r="D306" s="152" t="str" vm="2293">
        <f t="shared" si="32"/>
        <v/>
      </c>
      <c r="E306" s="152" t="str" vm="2519">
        <f t="shared" si="32"/>
        <v/>
      </c>
      <c r="F306" s="212" t="str" vm="2520">
        <f t="shared" si="32"/>
        <v/>
      </c>
    </row>
    <row r="307" spans="2:6">
      <c r="B307" s="152" t="str" vm="535">
        <f t="shared" si="31"/>
        <v>Local</v>
      </c>
      <c r="C307" s="152" t="str" vm="672">
        <f>CUBEMEMBER("cabcrmsqlrs1 CABReportingCubes Local Financial Snapshot",{"[AIC Outcome].[Type Of Outcome].&amp;[Local]","[AIC Outcome].[Outcome].&amp;[Chiltern - Sick Poor]"})</f>
        <v>Chiltern - Sick Poor</v>
      </c>
      <c r="D307" s="152" t="str" vm="2010">
        <f t="shared" si="32"/>
        <v/>
      </c>
      <c r="E307" s="152" t="str" vm="1705">
        <f t="shared" si="32"/>
        <v/>
      </c>
      <c r="F307" s="212" t="str" vm="2736">
        <f t="shared" si="32"/>
        <v/>
      </c>
    </row>
    <row r="308" spans="2:6">
      <c r="B308" s="152" t="str" vm="535">
        <f t="shared" si="31"/>
        <v>Local</v>
      </c>
      <c r="C308" s="152" t="str" vm="595">
        <f>CUBEMEMBER("cabcrmsqlrs1 CABReportingCubes Local Financial Snapshot",{"[AIC Outcome].[Type Of Outcome].&amp;[Local]","[AIC Outcome].[Outcome].&amp;[Croydon - HAP - Income Raised/Grant Secured]"})</f>
        <v>Croydon - HAP - Income Raised/Grant Secured</v>
      </c>
      <c r="D308" s="152" t="str" vm="1954">
        <f t="shared" si="32"/>
        <v/>
      </c>
      <c r="E308" s="152" t="str" vm="1811">
        <f t="shared" si="32"/>
        <v/>
      </c>
      <c r="F308" s="212" t="str" vm="1647">
        <f t="shared" si="32"/>
        <v/>
      </c>
    </row>
    <row r="309" spans="2:6">
      <c r="B309" s="152" t="str" vm="535">
        <f t="shared" si="31"/>
        <v>Local</v>
      </c>
      <c r="C309" s="152" t="str" vm="671">
        <f>CUBEMEMBER("cabcrmsqlrs1 CABReportingCubes Local Financial Snapshot",{"[AIC Outcome].[Type Of Outcome].&amp;[Local]","[AIC Outcome].[Outcome].&amp;[Croydon - HAP - Other - Part VI / VII (including reviews).]"})</f>
        <v>Croydon - HAP - Other - Part VI / VII (including reviews).</v>
      </c>
      <c r="D309" s="152" t="str" vm="2306">
        <f t="shared" si="32"/>
        <v/>
      </c>
      <c r="E309" s="152" t="str" vm="2713">
        <f t="shared" si="32"/>
        <v/>
      </c>
      <c r="F309" s="212" t="str" vm="2113">
        <f t="shared" si="32"/>
        <v/>
      </c>
    </row>
    <row r="310" spans="2:6">
      <c r="B310" s="152" t="str" vm="535">
        <f t="shared" si="31"/>
        <v>Local</v>
      </c>
      <c r="C310" s="152" t="str" vm="594">
        <f>CUBEMEMBER("cabcrmsqlrs1 CABReportingCubes Local Financial Snapshot",{"[AIC Outcome].[Type Of Outcome].&amp;[Local]","[AIC Outcome].[Outcome].&amp;[Croydon HAP – Delay of homelessness for between 1 and 5 months]"})</f>
        <v>Croydon HAP – Delay of homelessness for between 1 and 5 months</v>
      </c>
      <c r="D310" s="152" t="str" vm="1984">
        <f t="shared" si="32"/>
        <v/>
      </c>
      <c r="E310" s="152" t="str" vm="1840">
        <f t="shared" si="32"/>
        <v/>
      </c>
      <c r="F310" s="212" t="str" vm="1859">
        <f t="shared" si="32"/>
        <v/>
      </c>
    </row>
    <row r="311" spans="2:6">
      <c r="B311" s="152" t="str" vm="535">
        <f t="shared" si="31"/>
        <v>Local</v>
      </c>
      <c r="C311" s="152" t="str" vm="670">
        <f>CUBEMEMBER("cabcrmsqlrs1 CABReportingCubes Local Financial Snapshot",{"[AIC Outcome].[Type Of Outcome].&amp;[Local]","[AIC Outcome].[Outcome].&amp;[Croydon HAP – Other]"})</f>
        <v>Croydon HAP – Other</v>
      </c>
      <c r="D311" s="152" t="str" vm="2152">
        <f t="shared" si="32"/>
        <v/>
      </c>
      <c r="E311" s="152" t="str" vm="1780">
        <f t="shared" si="32"/>
        <v/>
      </c>
      <c r="F311" s="212" t="str" vm="2388">
        <f t="shared" si="32"/>
        <v/>
      </c>
    </row>
    <row r="312" spans="2:6">
      <c r="B312" s="152" t="str" vm="535">
        <f t="shared" si="31"/>
        <v>Local</v>
      </c>
      <c r="C312" s="152" t="str" vm="593">
        <f>CUBEMEMBER("cabcrmsqlrs1 CABReportingCubes Local Financial Snapshot",{"[AIC Outcome].[Type Of Outcome].&amp;[Local]","[AIC Outcome].[Outcome].&amp;[Croydon HAP – Other – Disrepair]"})</f>
        <v>Croydon HAP – Other – Disrepair</v>
      </c>
      <c r="D312" s="152" t="str" vm="2161">
        <f t="shared" si="32"/>
        <v/>
      </c>
      <c r="E312" s="152" t="str" vm="1886">
        <f t="shared" si="32"/>
        <v/>
      </c>
      <c r="F312" s="212" t="str" vm="2250">
        <f t="shared" si="32"/>
        <v/>
      </c>
    </row>
    <row r="313" spans="2:6">
      <c r="B313" s="152" t="str" vm="535">
        <f t="shared" si="31"/>
        <v>Local</v>
      </c>
      <c r="C313" s="152" t="str" vm="669">
        <f>CUBEMEMBER("cabcrmsqlrs1 CABReportingCubes Local Financial Snapshot",{"[AIC Outcome].[Type Of Outcome].&amp;[Local]","[AIC Outcome].[Outcome].&amp;[Croydon HAP – Other – Part VII (including reviews)]"})</f>
        <v>Croydon HAP – Other – Part VII (including reviews)</v>
      </c>
      <c r="D313" s="152" t="str" vm="2054">
        <f t="shared" si="32"/>
        <v/>
      </c>
      <c r="E313" s="152" t="str" vm="1899">
        <f t="shared" si="32"/>
        <v/>
      </c>
      <c r="F313" s="212" t="str" vm="2027">
        <f t="shared" si="32"/>
        <v/>
      </c>
    </row>
    <row r="314" spans="2:6">
      <c r="B314" s="152" t="str" vm="535">
        <f t="shared" si="31"/>
        <v>Local</v>
      </c>
      <c r="C314" s="152" t="str" vm="592">
        <f>CUBEMEMBER("cabcrmsqlrs1 CABReportingCubes Local Financial Snapshot",{"[AIC Outcome].[Type Of Outcome].&amp;[Local]","[AIC Outcome].[Outcome].&amp;[Croydon HAP – Prevention of homelessness for 6 months or more]"})</f>
        <v>Croydon HAP – Prevention of homelessness for 6 months or more</v>
      </c>
      <c r="D314" s="152" t="str" vm="2212">
        <f t="shared" si="32"/>
        <v/>
      </c>
      <c r="E314" s="152" t="str" vm="2062">
        <f t="shared" si="32"/>
        <v/>
      </c>
      <c r="F314" s="212" t="str" vm="1978">
        <f t="shared" si="32"/>
        <v/>
      </c>
    </row>
    <row r="315" spans="2:6">
      <c r="B315" s="152" t="str" vm="535">
        <f t="shared" si="31"/>
        <v>Local</v>
      </c>
      <c r="C315" s="152" t="str" vm="668">
        <f>CUBEMEMBER("cabcrmsqlrs1 CABReportingCubes Local Financial Snapshot",{"[AIC Outcome].[Type Of Outcome].&amp;[Local]","[AIC Outcome].[Outcome].&amp;[Croydon HAP – Settled accommodation secured]"})</f>
        <v>Croydon HAP – Settled accommodation secured</v>
      </c>
      <c r="D315" s="152" t="str" vm="2111">
        <f t="shared" si="32"/>
        <v/>
      </c>
      <c r="E315" s="152" t="str" vm="1594">
        <f t="shared" si="32"/>
        <v/>
      </c>
      <c r="F315" s="212" t="str" vm="1944">
        <f t="shared" si="32"/>
        <v/>
      </c>
    </row>
    <row r="316" spans="2:6">
      <c r="B316" s="152" t="str" vm="535">
        <f t="shared" si="31"/>
        <v>Local</v>
      </c>
      <c r="C316" s="152" t="str" vm="591">
        <f>CUBEMEMBER("cabcrmsqlrs1 CABReportingCubes Local Financial Snapshot",{"[AIC Outcome].[Type Of Outcome].&amp;[Local]","[AIC Outcome].[Outcome].&amp;[East End (Hackney) attend a diagnostic interview]"})</f>
        <v>East End (Hackney) attend a diagnostic interview</v>
      </c>
      <c r="D316" s="152" t="str" vm="2262">
        <f t="shared" si="32"/>
        <v/>
      </c>
      <c r="E316" s="152" t="str" vm="1560">
        <f t="shared" si="32"/>
        <v/>
      </c>
      <c r="F316" s="212" t="str" vm="1768">
        <f t="shared" si="32"/>
        <v/>
      </c>
    </row>
    <row r="317" spans="2:6">
      <c r="B317" s="152" t="str" vm="535">
        <f t="shared" si="31"/>
        <v>Local</v>
      </c>
      <c r="C317" s="152" t="str" vm="667">
        <f>CUBEMEMBER("cabcrmsqlrs1 CABReportingCubes Local Financial Snapshot",{"[AIC Outcome].[Type Of Outcome].&amp;[Local]","[AIC Outcome].[Outcome].&amp;[East End (Hackney) attend a training session on affordable financial services and products]"})</f>
        <v>East End (Hackney) attend a training session on affordable financial services and products</v>
      </c>
      <c r="D317" s="152" t="str" vm="2011">
        <f t="shared" si="32"/>
        <v/>
      </c>
      <c r="E317" s="152" t="str" vm="1577">
        <f t="shared" si="32"/>
        <v/>
      </c>
      <c r="F317" s="212" t="str" vm="1797">
        <f t="shared" si="32"/>
        <v/>
      </c>
    </row>
    <row r="318" spans="2:6">
      <c r="B318" s="152" t="str" vm="535">
        <f t="shared" ref="B318:B349" si="33">CUBEMEMBER("cabcrmsqlrs1 CABReportingCubes Local Financial Snapshot","[AIC Outcome].[Type Of Outcome].&amp;[Local]")</f>
        <v>Local</v>
      </c>
      <c r="C318" s="152" t="str" vm="590">
        <f>CUBEMEMBER("cabcrmsqlrs1 CABReportingCubes Local Financial Snapshot",{"[AIC Outcome].[Type Of Outcome].&amp;[Local]","[AIC Outcome].[Outcome].&amp;[East End (Hackney) attend an IT training session]"})</f>
        <v>East End (Hackney) attend an IT training session</v>
      </c>
      <c r="D318" s="152" t="str" vm="2227">
        <f t="shared" si="32"/>
        <v/>
      </c>
      <c r="E318" s="152" t="str" vm="1537">
        <f t="shared" si="32"/>
        <v/>
      </c>
      <c r="F318" s="212" t="str" vm="1669">
        <f t="shared" si="32"/>
        <v/>
      </c>
    </row>
    <row r="319" spans="2:6">
      <c r="B319" s="152" t="str" vm="535">
        <f t="shared" si="33"/>
        <v>Local</v>
      </c>
      <c r="C319" s="152" t="str" vm="666">
        <f>CUBEMEMBER("cabcrmsqlrs1 CABReportingCubes Local Financial Snapshot",{"[AIC Outcome].[Type Of Outcome].&amp;[Local]","[AIC Outcome].[Outcome].&amp;[East End (Hackney) Attendance at employment and training advice session]"})</f>
        <v>East End (Hackney) Attendance at employment and training advice session</v>
      </c>
      <c r="D319" s="152" t="str" vm="1956">
        <f t="shared" si="32"/>
        <v/>
      </c>
      <c r="E319" s="152" t="str" vm="1913">
        <f t="shared" si="32"/>
        <v/>
      </c>
      <c r="F319" s="212" t="str" vm="2070">
        <f t="shared" si="32"/>
        <v/>
      </c>
    </row>
    <row r="320" spans="2:6">
      <c r="B320" s="152" t="str" vm="535">
        <f t="shared" si="33"/>
        <v>Local</v>
      </c>
      <c r="C320" s="152" t="str" vm="589">
        <f>CUBEMEMBER("cabcrmsqlrs1 CABReportingCubes Local Financial Snapshot",{"[AIC Outcome].[Type Of Outcome].&amp;[Local]","[AIC Outcome].[Outcome].&amp;[East End (Hackney) CV apply for jobs and enter the jobs market]"})</f>
        <v>East End (Hackney) CV apply for jobs and enter the jobs market</v>
      </c>
      <c r="D320" s="152" t="str" vm="2031">
        <f t="shared" si="32"/>
        <v/>
      </c>
      <c r="E320" s="152" t="str" vm="2308">
        <f t="shared" si="32"/>
        <v/>
      </c>
      <c r="F320" s="212" t="str" vm="1700">
        <f t="shared" si="32"/>
        <v/>
      </c>
    </row>
    <row r="321" spans="2:6">
      <c r="B321" s="152" t="str" vm="535">
        <f t="shared" si="33"/>
        <v>Local</v>
      </c>
      <c r="C321" s="152" t="str" vm="665">
        <f>CUBEMEMBER("cabcrmsqlrs1 CABReportingCubes Local Financial Snapshot",{"[AIC Outcome].[Type Of Outcome].&amp;[Local]","[AIC Outcome].[Outcome].&amp;[East End (Hackney) CV or use IT jobsearch]"})</f>
        <v>East End (Hackney) CV or use IT jobsearch</v>
      </c>
      <c r="D321" s="152" t="str" vm="2173">
        <f t="shared" si="32"/>
        <v/>
      </c>
      <c r="E321" s="152" t="str" vm="2285">
        <f t="shared" si="32"/>
        <v/>
      </c>
      <c r="F321" s="212" t="str" vm="1916">
        <f t="shared" si="32"/>
        <v/>
      </c>
    </row>
    <row r="322" spans="2:6">
      <c r="B322" s="152" t="str" vm="535">
        <f t="shared" si="33"/>
        <v>Local</v>
      </c>
      <c r="C322" s="152" t="str" vm="588">
        <f>CUBEMEMBER("cabcrmsqlrs1 CABReportingCubes Local Financial Snapshot",{"[AIC Outcome].[Type Of Outcome].&amp;[Local]","[AIC Outcome].[Outcome].&amp;[East End (Hackney) Manage their budgets]"})</f>
        <v>East End (Hackney) Manage their budgets</v>
      </c>
      <c r="D322" s="152" t="str" vm="2247">
        <f t="shared" si="32"/>
        <v/>
      </c>
      <c r="E322" s="152" t="str" vm="1529">
        <f t="shared" si="32"/>
        <v/>
      </c>
      <c r="F322" s="212" t="str" vm="1896">
        <f t="shared" si="32"/>
        <v/>
      </c>
    </row>
    <row r="323" spans="2:6">
      <c r="B323" s="152" t="str" vm="535">
        <f t="shared" si="33"/>
        <v>Local</v>
      </c>
      <c r="C323" s="152" t="str" vm="664">
        <f>CUBEMEMBER("cabcrmsqlrs1 CABReportingCubes Local Financial Snapshot",{"[AIC Outcome].[Type Of Outcome].&amp;[Local]","[AIC Outcome].[Outcome].&amp;[East End (Hackney) money management advice, information or training]"})</f>
        <v>East End (Hackney) money management advice, information or training</v>
      </c>
      <c r="D323" s="152" t="str" vm="1945">
        <f t="shared" ref="D323:F342" si="34">CUBEVALUE("cabcrmsqlrs1 CABReportingCubes Local Financial Snapshot",$C$77,$C$78,$C$79,$C$80,$C323,D$82)</f>
        <v/>
      </c>
      <c r="E323" s="152" t="str" vm="2298">
        <f t="shared" si="34"/>
        <v/>
      </c>
      <c r="F323" s="212" t="str" vm="2392">
        <f t="shared" si="34"/>
        <v/>
      </c>
    </row>
    <row r="324" spans="2:6">
      <c r="B324" s="152" t="str" vm="535">
        <f t="shared" si="33"/>
        <v>Local</v>
      </c>
      <c r="C324" s="152" t="str" vm="587">
        <f>CUBEMEMBER("cabcrmsqlrs1 CABReportingCubes Local Financial Snapshot",{"[AIC Outcome].[Type Of Outcome].&amp;[Local]","[AIC Outcome].[Outcome].&amp;[East End (Hackney) Residents who open or use a bank account]"})</f>
        <v>East End (Hackney) Residents who open or use a bank account</v>
      </c>
      <c r="D324" s="152" t="str" vm="2458">
        <f t="shared" si="34"/>
        <v/>
      </c>
      <c r="E324" s="152" t="str" vm="1532">
        <f t="shared" si="34"/>
        <v/>
      </c>
      <c r="F324" s="212" t="str" vm="1757">
        <f t="shared" si="34"/>
        <v/>
      </c>
    </row>
    <row r="325" spans="2:6">
      <c r="B325" s="152" t="str" vm="535">
        <f t="shared" si="33"/>
        <v>Local</v>
      </c>
      <c r="C325" s="152" t="str" vm="663">
        <f>CUBEMEMBER("cabcrmsqlrs1 CABReportingCubes Local Financial Snapshot",{"[AIC Outcome].[Type Of Outcome].&amp;[Local]","[AIC Outcome].[Outcome].&amp;[East End (Hackney) use mainstream financial services including credit]"})</f>
        <v>East End (Hackney) use mainstream financial services including credit</v>
      </c>
      <c r="D325" s="152" t="str" vm="2435">
        <f t="shared" si="34"/>
        <v/>
      </c>
      <c r="E325" s="152" t="str" vm="2338">
        <f t="shared" si="34"/>
        <v/>
      </c>
      <c r="F325" s="212" t="str" vm="2277">
        <f t="shared" si="34"/>
        <v/>
      </c>
    </row>
    <row r="326" spans="2:6">
      <c r="B326" s="152" t="str" vm="535">
        <f t="shared" si="33"/>
        <v>Local</v>
      </c>
      <c r="C326" s="152" t="str" vm="586">
        <f>CUBEMEMBER("cabcrmsqlrs1 CABReportingCubes Local Financial Snapshot",{"[AIC Outcome].[Type Of Outcome].&amp;[Local]","[AIC Outcome].[Outcome].&amp;[East End (Hackney) use of online financial health check.]"})</f>
        <v>East End (Hackney) use of online financial health check.</v>
      </c>
      <c r="D326" s="152" t="str" vm="2209">
        <f t="shared" si="34"/>
        <v/>
      </c>
      <c r="E326" s="152" t="str" vm="2550">
        <f t="shared" si="34"/>
        <v/>
      </c>
      <c r="F326" s="212" t="str" vm="2549">
        <f t="shared" si="34"/>
        <v/>
      </c>
    </row>
    <row r="327" spans="2:6">
      <c r="B327" s="152" t="str" vm="535">
        <f t="shared" si="33"/>
        <v>Local</v>
      </c>
      <c r="C327" s="152" t="str" vm="936">
        <f>CUBEMEMBER("cabcrmsqlrs1 CABReportingCubes Local Financial Snapshot",{"[AIC Outcome].[Type Of Outcome].&amp;[Local]","[AIC Outcome].[Outcome].&amp;[East Staffordshire - ALES Satisfaction]"})</f>
        <v>East Staffordshire - ALES Satisfaction</v>
      </c>
      <c r="D327" s="152" t="str" vm="2465">
        <f t="shared" si="34"/>
        <v/>
      </c>
      <c r="E327" s="152" t="str" vm="1924">
        <f t="shared" si="34"/>
        <v/>
      </c>
      <c r="F327" s="212" t="str" vm="1616">
        <f t="shared" si="34"/>
        <v/>
      </c>
    </row>
    <row r="328" spans="2:6">
      <c r="B328" s="152" t="str" vm="535">
        <f t="shared" si="33"/>
        <v>Local</v>
      </c>
      <c r="C328" s="152" t="str" vm="662">
        <f>CUBEMEMBER("cabcrmsqlrs1 CABReportingCubes Local Financial Snapshot",{"[AIC Outcome].[Type Of Outcome].&amp;[Local]","[AIC Outcome].[Outcome].&amp;[East Staffordshire - ALES Signposting]"})</f>
        <v>East Staffordshire - ALES Signposting</v>
      </c>
      <c r="D328" s="152" t="str" vm="1870">
        <f t="shared" si="34"/>
        <v/>
      </c>
      <c r="E328" s="152" t="str" vm="2248">
        <f t="shared" si="34"/>
        <v/>
      </c>
      <c r="F328" s="212" t="str" vm="2022">
        <f t="shared" si="34"/>
        <v/>
      </c>
    </row>
    <row r="329" spans="2:6">
      <c r="B329" s="152" t="str" vm="535">
        <f t="shared" si="33"/>
        <v>Local</v>
      </c>
      <c r="C329" s="152" t="str" vm="911">
        <f>CUBEMEMBER("cabcrmsqlrs1 CABReportingCubes Local Financial Snapshot",{"[AIC Outcome].[Type Of Outcome].&amp;[Local]","[AIC Outcome].[Outcome].&amp;[Gwynedd &amp; De Ynys Mon: Welsh Water/Dwr Cymru CAF - Accepted]"})</f>
        <v>Gwynedd &amp; De Ynys Mon: Welsh Water/Dwr Cymru CAF - Accepted</v>
      </c>
      <c r="D329" s="152" t="str" vm="2661">
        <f t="shared" si="34"/>
        <v/>
      </c>
      <c r="E329" s="152" t="str" vm="2282">
        <f t="shared" si="34"/>
        <v/>
      </c>
      <c r="F329" s="212" t="str" vm="2721">
        <f t="shared" si="34"/>
        <v/>
      </c>
    </row>
    <row r="330" spans="2:6">
      <c r="B330" s="152" t="str" vm="535">
        <f t="shared" si="33"/>
        <v>Local</v>
      </c>
      <c r="C330" s="152" t="str" vm="585">
        <f>CUBEMEMBER("cabcrmsqlrs1 CABReportingCubes Local Financial Snapshot",{"[AIC Outcome].[Type Of Outcome].&amp;[Local]","[AIC Outcome].[Outcome].&amp;[Herefordshire WWCAF award]"})</f>
        <v>Herefordshire WWCAF award</v>
      </c>
      <c r="D330" s="152" t="str" vm="2464">
        <f t="shared" si="34"/>
        <v/>
      </c>
      <c r="E330" s="152" t="str" vm="1995">
        <f t="shared" si="34"/>
        <v/>
      </c>
      <c r="F330" s="212" t="str" vm="1897">
        <f t="shared" si="34"/>
        <v/>
      </c>
    </row>
    <row r="331" spans="2:6">
      <c r="B331" s="152" t="str" vm="535">
        <f t="shared" si="33"/>
        <v>Local</v>
      </c>
      <c r="C331" s="152" t="str" vm="935">
        <f>CUBEMEMBER("cabcrmsqlrs1 CABReportingCubes Local Financial Snapshot",{"[AIC Outcome].[Type Of Outcome].&amp;[Local]","[AIC Outcome].[Outcome].&amp;[Leeds - Debt Managed]"})</f>
        <v>Leeds - Debt Managed</v>
      </c>
      <c r="D331" s="152" t="str" vm="1800">
        <f t="shared" si="34"/>
        <v/>
      </c>
      <c r="E331" s="152" t="str" vm="2257">
        <f t="shared" si="34"/>
        <v/>
      </c>
      <c r="F331" s="212" t="str" vm="2290">
        <f t="shared" si="34"/>
        <v/>
      </c>
    </row>
    <row r="332" spans="2:6">
      <c r="B332" s="152" t="str" vm="535">
        <f t="shared" si="33"/>
        <v>Local</v>
      </c>
      <c r="C332" s="152" t="str" vm="920">
        <f>CUBEMEMBER("cabcrmsqlrs1 CABReportingCubes Local Financial Snapshot",{"[AIC Outcome].[Type Of Outcome].&amp;[Local]","[AIC Outcome].[Outcome].&amp;[Lewes District - Avoided homelessness]"})</f>
        <v>Lewes District - Avoided homelessness</v>
      </c>
      <c r="D332" s="152" t="str" vm="2114">
        <f t="shared" si="34"/>
        <v/>
      </c>
      <c r="E332" s="152" t="str" vm="1518">
        <f t="shared" si="34"/>
        <v/>
      </c>
      <c r="F332" s="212" t="str" vm="2286">
        <f t="shared" si="34"/>
        <v/>
      </c>
    </row>
    <row r="333" spans="2:6">
      <c r="B333" s="152" t="str" vm="535">
        <f t="shared" si="33"/>
        <v>Local</v>
      </c>
      <c r="C333" s="152" t="str" vm="910">
        <f>CUBEMEMBER("cabcrmsqlrs1 CABReportingCubes Local Financial Snapshot",{"[AIC Outcome].[Type Of Outcome].&amp;[Local]","[AIC Outcome].[Outcome].&amp;[Lewes District - Helped keep family together]"})</f>
        <v>Lewes District - Helped keep family together</v>
      </c>
      <c r="D333" s="152" t="str" vm="2662">
        <f t="shared" si="34"/>
        <v/>
      </c>
      <c r="E333" s="152" t="str" vm="2663">
        <f t="shared" si="34"/>
        <v/>
      </c>
      <c r="F333" s="212" t="str" vm="2256">
        <f t="shared" si="34"/>
        <v/>
      </c>
    </row>
    <row r="334" spans="2:6">
      <c r="B334" s="152" t="str" vm="535">
        <f t="shared" si="33"/>
        <v>Local</v>
      </c>
      <c r="C334" s="152" t="str" vm="899">
        <f>CUBEMEMBER("cabcrmsqlrs1 CABReportingCubes Local Financial Snapshot",{"[AIC Outcome].[Type Of Outcome].&amp;[Local]","[AIC Outcome].[Outcome].&amp;[Lewes District - Helped to make informed choice]"})</f>
        <v>Lewes District - Helped to make informed choice</v>
      </c>
      <c r="D334" s="152" t="str" vm="2525">
        <f t="shared" si="34"/>
        <v/>
      </c>
      <c r="E334" s="152" t="str" vm="2715">
        <f t="shared" si="34"/>
        <v/>
      </c>
      <c r="F334" s="212" t="str" vm="2526">
        <f t="shared" si="34"/>
        <v/>
      </c>
    </row>
    <row r="335" spans="2:6">
      <c r="B335" s="152" t="str" vm="535">
        <f t="shared" si="33"/>
        <v>Local</v>
      </c>
      <c r="C335" s="152" t="str" vm="934">
        <f>CUBEMEMBER("cabcrmsqlrs1 CABReportingCubes Local Financial Snapshot",{"[AIC Outcome].[Type Of Outcome].&amp;[Local]","[AIC Outcome].[Outcome].&amp;[Lewes District - Identified need for specialist advice]"})</f>
        <v>Lewes District - Identified need for specialist advice</v>
      </c>
      <c r="D335" s="152" t="str" vm="2477">
        <f t="shared" si="34"/>
        <v/>
      </c>
      <c r="E335" s="152" t="str" vm="2341">
        <f t="shared" si="34"/>
        <v/>
      </c>
      <c r="F335" s="212" t="str" vm="2378">
        <f t="shared" si="34"/>
        <v/>
      </c>
    </row>
    <row r="336" spans="2:6">
      <c r="B336" s="152" t="str" vm="535">
        <f t="shared" si="33"/>
        <v>Local</v>
      </c>
      <c r="C336" s="152" t="str" vm="919">
        <f>CUBEMEMBER("cabcrmsqlrs1 CABReportingCubes Local Financial Snapshot",{"[AIC Outcome].[Type Of Outcome].&amp;[Local]","[AIC Outcome].[Outcome].&amp;[Lewes District - Reduced stress/anxiety]"})</f>
        <v>Lewes District - Reduced stress/anxiety</v>
      </c>
      <c r="D336" s="152" t="str" vm="2455">
        <f t="shared" si="34"/>
        <v/>
      </c>
      <c r="E336" s="152" t="str" vm="1604">
        <f t="shared" si="34"/>
        <v/>
      </c>
      <c r="F336" s="212" t="str" vm="1717">
        <f t="shared" si="34"/>
        <v/>
      </c>
    </row>
    <row r="337" spans="2:6">
      <c r="B337" s="152" t="str" vm="535">
        <f t="shared" si="33"/>
        <v>Local</v>
      </c>
      <c r="C337" s="152" t="str" vm="661">
        <f>CUBEMEMBER("cabcrmsqlrs1 CABReportingCubes Local Financial Snapshot",{"[AIC Outcome].[Type Of Outcome].&amp;[Local]","[AIC Outcome].[Outcome].&amp;[North Liverpool - Be Healthy - 1.1 - Manage physical health]"})</f>
        <v>North Liverpool - Be Healthy - 1.1 - Manage physical health</v>
      </c>
      <c r="D337" s="152" t="str" vm="2075">
        <f t="shared" si="34"/>
        <v/>
      </c>
      <c r="E337" s="152" t="str" vm="1588">
        <f t="shared" si="34"/>
        <v/>
      </c>
      <c r="F337" s="212" t="str" vm="1942">
        <f t="shared" si="34"/>
        <v/>
      </c>
    </row>
    <row r="338" spans="2:6">
      <c r="B338" s="152" t="str" vm="535">
        <f t="shared" si="33"/>
        <v>Local</v>
      </c>
      <c r="C338" s="152" t="str" vm="898">
        <f>CUBEMEMBER("cabcrmsqlrs1 CABReportingCubes Local Financial Snapshot",{"[AIC Outcome].[Type Of Outcome].&amp;[Local]","[AIC Outcome].[Outcome].&amp;[North Liverpool - Be Healthy - 1.2 - Manage mental health]"})</f>
        <v>North Liverpool - Be Healthy - 1.2 - Manage mental health</v>
      </c>
      <c r="D338" s="152" t="str" vm="2156">
        <f t="shared" si="34"/>
        <v/>
      </c>
      <c r="E338" s="152" t="str" vm="1522">
        <f t="shared" si="34"/>
        <v/>
      </c>
      <c r="F338" s="212" t="str" vm="1910">
        <f t="shared" si="34"/>
        <v/>
      </c>
    </row>
    <row r="339" spans="2:6">
      <c r="B339" s="152" t="str" vm="535">
        <f t="shared" si="33"/>
        <v>Local</v>
      </c>
      <c r="C339" s="152" t="str" vm="584">
        <f>CUBEMEMBER("cabcrmsqlrs1 CABReportingCubes Local Financial Snapshot",{"[AIC Outcome].[Type Of Outcome].&amp;[Local]","[AIC Outcome].[Outcome].&amp;[North Liverpool - Economic Wellbeing - 5.1 - Welfare benefits]"})</f>
        <v>North Liverpool - Economic Wellbeing - 5.1 - Welfare benefits</v>
      </c>
      <c r="D339" s="152" t="str" vm="2123">
        <f t="shared" si="34"/>
        <v/>
      </c>
      <c r="E339" s="152" t="str" vm="1882">
        <f t="shared" si="34"/>
        <v/>
      </c>
      <c r="F339" s="212" t="str" vm="1817">
        <f t="shared" si="34"/>
        <v/>
      </c>
    </row>
    <row r="340" spans="2:6">
      <c r="B340" s="152" t="str" vm="535">
        <f t="shared" si="33"/>
        <v>Local</v>
      </c>
      <c r="C340" s="152" t="str" vm="660">
        <f>CUBEMEMBER("cabcrmsqlrs1 CABReportingCubes Local Financial Snapshot",{"[AIC Outcome].[Type Of Outcome].&amp;[Local]","[AIC Outcome].[Outcome].&amp;[North Liverpool - Economic Wellbeing - 5.2 - Debt]"})</f>
        <v>North Liverpool - Economic Wellbeing - 5.2 - Debt</v>
      </c>
      <c r="D340" s="152" t="str" vm="2567">
        <f t="shared" si="34"/>
        <v/>
      </c>
      <c r="E340" s="152" t="str" vm="2568">
        <f t="shared" si="34"/>
        <v/>
      </c>
      <c r="F340" s="212" t="str" vm="2569">
        <f t="shared" si="34"/>
        <v/>
      </c>
    </row>
    <row r="341" spans="2:6">
      <c r="B341" s="152" t="str" vm="535">
        <f t="shared" si="33"/>
        <v>Local</v>
      </c>
      <c r="C341" s="152" t="str" vm="909">
        <f>CUBEMEMBER("cabcrmsqlrs1 CABReportingCubes Local Financial Snapshot",{"[AIC Outcome].[Type Of Outcome].&amp;[Local]","[AIC Outcome].[Outcome].&amp;[North Liverpool 3.1 Greater choice/involvement/control at service level + within the wider community]"})</f>
        <v>North Liverpool 3.1 Greater choice/involvement/control at service level + within the wider community</v>
      </c>
      <c r="D341" s="152" t="str" vm="2493">
        <f t="shared" si="34"/>
        <v/>
      </c>
      <c r="E341" s="152" t="str" vm="1517">
        <f t="shared" si="34"/>
        <v/>
      </c>
      <c r="F341" s="212" t="str" vm="2084">
        <f t="shared" si="34"/>
        <v/>
      </c>
    </row>
    <row r="342" spans="2:6">
      <c r="B342" s="152" t="str" vm="535">
        <f t="shared" si="33"/>
        <v>Local</v>
      </c>
      <c r="C342" s="152" t="str" vm="897">
        <f>CUBEMEMBER("cabcrmsqlrs1 CABReportingCubes Local Financial Snapshot",{"[AIC Outcome].[Type Of Outcome].&amp;[Local]","[AIC Outcome].[Outcome].&amp;[North Liverpool 4.3 Increased feelings of safety and/or reduced anxiety]"})</f>
        <v>North Liverpool 4.3 Increased feelings of safety and/or reduced anxiety</v>
      </c>
      <c r="D342" s="152" t="str" vm="1900">
        <f t="shared" si="34"/>
        <v/>
      </c>
      <c r="E342" s="152" t="str" vm="1999">
        <f t="shared" si="34"/>
        <v/>
      </c>
      <c r="F342" s="212" t="str" vm="1809">
        <f t="shared" si="34"/>
        <v/>
      </c>
    </row>
    <row r="343" spans="2:6">
      <c r="B343" s="152" t="str" vm="535">
        <f t="shared" si="33"/>
        <v>Local</v>
      </c>
      <c r="C343" s="152" t="str" vm="933">
        <f>CUBEMEMBER("cabcrmsqlrs1 CABReportingCubes Local Financial Snapshot",{"[AIC Outcome].[Type Of Outcome].&amp;[Local]","[AIC Outcome].[Outcome].&amp;[North Liverpool 5.1 Maximise income including receipt of the right benefit]"})</f>
        <v>North Liverpool 5.1 Maximise income including receipt of the right benefit</v>
      </c>
      <c r="D343" s="152" t="str" vm="2667">
        <f t="shared" ref="D343:F362" si="35">CUBEVALUE("cabcrmsqlrs1 CABReportingCubes Local Financial Snapshot",$C$77,$C$78,$C$79,$C$80,$C343,D$82)</f>
        <v/>
      </c>
      <c r="E343" s="152" t="str" vm="2669">
        <f t="shared" si="35"/>
        <v/>
      </c>
      <c r="F343" s="212" t="str" vm="2668">
        <f t="shared" si="35"/>
        <v/>
      </c>
    </row>
    <row r="344" spans="2:6">
      <c r="B344" s="152" t="str" vm="535">
        <f t="shared" si="33"/>
        <v>Local</v>
      </c>
      <c r="C344" s="152" t="str" vm="918">
        <f>CUBEMEMBER("cabcrmsqlrs1 CABReportingCubes Local Financial Snapshot",{"[AIC Outcome].[Type Of Outcome].&amp;[Local]","[AIC Outcome].[Outcome].&amp;[North Liverpool 6.1 Improve or maintain self-respect]"})</f>
        <v>North Liverpool 6.1 Improve or maintain self-respect</v>
      </c>
      <c r="D344" s="152" t="str" vm="2226">
        <f t="shared" si="35"/>
        <v/>
      </c>
      <c r="E344" s="152" t="str" vm="1551">
        <f t="shared" si="35"/>
        <v/>
      </c>
      <c r="F344" s="212" t="str" vm="1736">
        <f t="shared" si="35"/>
        <v/>
      </c>
    </row>
    <row r="345" spans="2:6">
      <c r="B345" s="152" t="str" vm="535">
        <f t="shared" si="33"/>
        <v>Local</v>
      </c>
      <c r="C345" s="152" t="str" vm="583">
        <f>CUBEMEMBER("cabcrmsqlrs1 CABReportingCubes Local Financial Snapshot",{"[AIC Outcome].[Type Of Outcome].&amp;[Local]","[AIC Outcome].[Outcome].&amp;[North Somerset - NSCAB FunderFinder]"})</f>
        <v>North Somerset - NSCAB FunderFinder</v>
      </c>
      <c r="D345" s="152" t="str" vm="1927">
        <f t="shared" si="35"/>
        <v/>
      </c>
      <c r="E345" s="152" t="str" vm="1946">
        <f t="shared" si="35"/>
        <v/>
      </c>
      <c r="F345" s="212" t="str" vm="1928">
        <f t="shared" si="35"/>
        <v/>
      </c>
    </row>
    <row r="346" spans="2:6">
      <c r="B346" s="152" t="str" vm="535">
        <f t="shared" si="33"/>
        <v>Local</v>
      </c>
      <c r="C346" s="152" t="str" vm="881">
        <f>CUBEMEMBER("cabcrmsqlrs1 CABReportingCubes Local Financial Snapshot",{"[AIC Outcome].[Type Of Outcome].&amp;[Local]","[AIC Outcome].[Outcome].&amp;[Not recorded/not applicable]"})</f>
        <v>Not recorded/not applicable</v>
      </c>
      <c r="D346" s="152" t="str" vm="2026">
        <f t="shared" si="35"/>
        <v/>
      </c>
      <c r="E346" s="152" t="str" vm="1774">
        <f t="shared" si="35"/>
        <v/>
      </c>
      <c r="F346" s="212" t="str" vm="2191">
        <f t="shared" si="35"/>
        <v/>
      </c>
    </row>
    <row r="347" spans="2:6">
      <c r="B347" s="152" t="str" vm="535">
        <f t="shared" si="33"/>
        <v>Local</v>
      </c>
      <c r="C347" s="152" t="str" vm="659">
        <f>CUBEMEMBER("cabcrmsqlrs1 CABReportingCubes Local Financial Snapshot",{"[AIC Outcome].[Type Of Outcome].&amp;[Local]","[AIC Outcome].[Outcome].&amp;[Oxfordshire South &amp; Vale:  Financial - charitable grant]"})</f>
        <v>Oxfordshire South &amp; Vale:  Financial - charitable grant</v>
      </c>
      <c r="D347" s="152" t="str" vm="2150">
        <f t="shared" si="35"/>
        <v/>
      </c>
      <c r="E347" s="152" t="str" vm="2590">
        <f t="shared" si="35"/>
        <v/>
      </c>
      <c r="F347" s="212" t="str" vm="2589">
        <f t="shared" si="35"/>
        <v/>
      </c>
    </row>
    <row r="348" spans="2:6">
      <c r="B348" s="152" t="str" vm="535">
        <f t="shared" si="33"/>
        <v>Local</v>
      </c>
      <c r="C348" s="152" t="str" vm="582">
        <f>CUBEMEMBER("cabcrmsqlrs1 CABReportingCubes Local Financial Snapshot",{"[AIC Outcome].[Type Of Outcome].&amp;[Local]","[AIC Outcome].[Outcome].&amp;[Oxfordshire South &amp; Vale: Financial gain - benefits]"})</f>
        <v>Oxfordshire South &amp; Vale: Financial gain - benefits</v>
      </c>
      <c r="D348" s="152" t="str" vm="2454">
        <f t="shared" si="35"/>
        <v/>
      </c>
      <c r="E348" s="152" t="str" vm="1887">
        <f t="shared" si="35"/>
        <v/>
      </c>
      <c r="F348" s="212" t="str" vm="2264">
        <f t="shared" si="35"/>
        <v/>
      </c>
    </row>
    <row r="349" spans="2:6">
      <c r="B349" s="152" t="str" vm="535">
        <f t="shared" si="33"/>
        <v>Local</v>
      </c>
      <c r="C349" s="152" t="str" vm="658">
        <f>CUBEMEMBER("cabcrmsqlrs1 CABReportingCubes Local Financial Snapshot",{"[AIC Outcome].[Type Of Outcome].&amp;[Local]","[AIC Outcome].[Outcome].&amp;[Oxfordshire South &amp; Vale: Financial gain - fuel grant]"})</f>
        <v>Oxfordshire South &amp; Vale: Financial gain - fuel grant</v>
      </c>
      <c r="D349" s="152" t="str" vm="2650">
        <f t="shared" si="35"/>
        <v/>
      </c>
      <c r="E349" s="152" t="str" vm="2326">
        <f t="shared" si="35"/>
        <v/>
      </c>
      <c r="F349" s="212" t="str" vm="2649">
        <f t="shared" si="35"/>
        <v/>
      </c>
    </row>
    <row r="350" spans="2:6">
      <c r="B350" s="152" t="str" vm="535">
        <f t="shared" ref="B350:B381" si="36">CUBEMEMBER("cabcrmsqlrs1 CABReportingCubes Local Financial Snapshot","[AIC Outcome].[Type Of Outcome].&amp;[Local]")</f>
        <v>Local</v>
      </c>
      <c r="C350" s="152" t="str" vm="581">
        <f>CUBEMEMBER("cabcrmsqlrs1 CABReportingCubes Local Financial Snapshot",{"[AIC Outcome].[Type Of Outcome].&amp;[Local]","[AIC Outcome].[Outcome].&amp;[Oxfordshire South &amp; Vale: Housing  - rent arrears paid]"})</f>
        <v>Oxfordshire South &amp; Vale: Housing  - rent arrears paid</v>
      </c>
      <c r="D350" s="152" t="str" vm="2497">
        <f t="shared" si="35"/>
        <v/>
      </c>
      <c r="E350" s="152" t="str" vm="2243">
        <f t="shared" si="35"/>
        <v/>
      </c>
      <c r="F350" s="212" t="str" vm="1992">
        <f t="shared" si="35"/>
        <v/>
      </c>
    </row>
    <row r="351" spans="2:6">
      <c r="B351" s="152" t="str" vm="535">
        <f t="shared" si="36"/>
        <v>Local</v>
      </c>
      <c r="C351" s="152" t="str" vm="657">
        <f>CUBEMEMBER("cabcrmsqlrs1 CABReportingCubes Local Financial Snapshot",{"[AIC Outcome].[Type Of Outcome].&amp;[Local]","[AIC Outcome].[Outcome].&amp;[Oxfordshire South &amp; Vale: Housing  -rent arrears managed]"})</f>
        <v>Oxfordshire South &amp; Vale: Housing  -rent arrears managed</v>
      </c>
      <c r="D351" s="152" t="str" vm="2507">
        <f t="shared" si="35"/>
        <v/>
      </c>
      <c r="E351" s="152" t="str" vm="2362">
        <f t="shared" si="35"/>
        <v/>
      </c>
      <c r="F351" s="212" t="str" vm="2372">
        <f t="shared" si="35"/>
        <v/>
      </c>
    </row>
    <row r="352" spans="2:6">
      <c r="B352" s="152" t="str" vm="535">
        <f t="shared" si="36"/>
        <v>Local</v>
      </c>
      <c r="C352" s="152" t="str" vm="580">
        <f>CUBEMEMBER("cabcrmsqlrs1 CABReportingCubes Local Financial Snapshot",{"[AIC Outcome].[Type Of Outcome].&amp;[Local]","[AIC Outcome].[Outcome].&amp;[Oxfordshire South &amp; Vale: Non-financial gain - goods]"})</f>
        <v>Oxfordshire South &amp; Vale: Non-financial gain - goods</v>
      </c>
      <c r="D352" s="152" t="str" vm="2452">
        <f t="shared" si="35"/>
        <v/>
      </c>
      <c r="E352" s="152" t="str" vm="2712">
        <f t="shared" si="35"/>
        <v/>
      </c>
      <c r="F352" s="212" t="str" vm="1658">
        <f t="shared" si="35"/>
        <v/>
      </c>
    </row>
    <row r="353" spans="2:6">
      <c r="B353" s="152" t="str" vm="535">
        <f t="shared" si="36"/>
        <v>Local</v>
      </c>
      <c r="C353" s="152" t="str" vm="656">
        <f>CUBEMEMBER("cabcrmsqlrs1 CABReportingCubes Local Financial Snapshot",{"[AIC Outcome].[Type Of Outcome].&amp;[Local]","[AIC Outcome].[Outcome].&amp;[Peterborough Food Voucher]"})</f>
        <v>Peterborough Food Voucher</v>
      </c>
      <c r="D353" s="152" t="str" vm="1869">
        <f t="shared" si="35"/>
        <v/>
      </c>
      <c r="E353" s="152" t="str" vm="2222">
        <f t="shared" si="35"/>
        <v/>
      </c>
      <c r="F353" s="212" t="str" vm="2310">
        <f t="shared" si="35"/>
        <v/>
      </c>
    </row>
    <row r="354" spans="2:6">
      <c r="B354" s="152" t="str" vm="535">
        <f t="shared" si="36"/>
        <v>Local</v>
      </c>
      <c r="C354" s="152" t="str" vm="896">
        <f>CUBEMEMBER("cabcrmsqlrs1 CABReportingCubes Local Financial Snapshot",{"[AIC Outcome].[Type Of Outcome].&amp;[Local]","[AIC Outcome].[Outcome].&amp;[Redbridge - LBR Council/Leasehold]"})</f>
        <v>Redbridge - LBR Council/Leasehold</v>
      </c>
      <c r="D354" s="152" t="str" vm="2492">
        <f t="shared" si="35"/>
        <v/>
      </c>
      <c r="E354" s="152" t="str" vm="1578">
        <f t="shared" si="35"/>
        <v/>
      </c>
      <c r="F354" s="212" t="str" vm="1745">
        <f t="shared" si="35"/>
        <v/>
      </c>
    </row>
    <row r="355" spans="2:6">
      <c r="B355" s="152" t="str" vm="535">
        <f t="shared" si="36"/>
        <v>Local</v>
      </c>
      <c r="C355" s="152" t="str" vm="932">
        <f>CUBEMEMBER("cabcrmsqlrs1 CABReportingCubes Local Financial Snapshot",{"[AIC Outcome].[Type Of Outcome].&amp;[Local]","[AIC Outcome].[Outcome].&amp;[Redbridge - LBR Mortgage/ Debt]"})</f>
        <v>Redbridge - LBR Mortgage/ Debt</v>
      </c>
      <c r="D355" s="152" t="str" vm="1922">
        <f t="shared" si="35"/>
        <v/>
      </c>
      <c r="E355" s="152" t="str" vm="1683">
        <f t="shared" si="35"/>
        <v/>
      </c>
      <c r="F355" s="212" t="str" vm="1751">
        <f t="shared" si="35"/>
        <v/>
      </c>
    </row>
    <row r="356" spans="2:6">
      <c r="B356" s="152" t="str" vm="535">
        <f t="shared" si="36"/>
        <v>Local</v>
      </c>
      <c r="C356" s="152" t="str" vm="917">
        <f>CUBEMEMBER("cabcrmsqlrs1 CABReportingCubes Local Financial Snapshot",{"[AIC Outcome].[Type Of Outcome].&amp;[Local]","[AIC Outcome].[Outcome].&amp;[Rutland - Homelessness Prevention]"})</f>
        <v>Rutland - Homelessness Prevention</v>
      </c>
      <c r="D356" s="152" t="str" vm="2153">
        <f t="shared" si="35"/>
        <v/>
      </c>
      <c r="E356" s="152" t="str" vm="2199">
        <f t="shared" si="35"/>
        <v/>
      </c>
      <c r="F356" s="212" t="str" vm="1997">
        <f t="shared" si="35"/>
        <v/>
      </c>
    </row>
    <row r="357" spans="2:6">
      <c r="B357" s="152" t="str" vm="535">
        <f t="shared" si="36"/>
        <v>Local</v>
      </c>
      <c r="C357" s="152" t="str" vm="579">
        <f>CUBEMEMBER("cabcrmsqlrs1 CABReportingCubes Local Financial Snapshot",{"[AIC Outcome].[Type Of Outcome].&amp;[Local]","[AIC Outcome].[Outcome].&amp;[Salford District -  HWB 2 General Health and Wellbeing]"})</f>
        <v>Salford District -  HWB 2 General Health and Wellbeing</v>
      </c>
      <c r="D357" s="152" t="str" vm="1862">
        <f t="shared" si="35"/>
        <v/>
      </c>
      <c r="E357" s="152" t="str" vm="1687">
        <f t="shared" si="35"/>
        <v/>
      </c>
      <c r="F357" s="212" t="str" vm="2014">
        <f t="shared" si="35"/>
        <v/>
      </c>
    </row>
    <row r="358" spans="2:6">
      <c r="B358" s="152" t="str" vm="535">
        <f t="shared" si="36"/>
        <v>Local</v>
      </c>
      <c r="C358" s="152" t="str" vm="578">
        <f>CUBEMEMBER("cabcrmsqlrs1 CABReportingCubes Local Financial Snapshot",{"[AIC Outcome].[Type Of Outcome].&amp;[Local]","[AIC Outcome].[Outcome].&amp;[Salford District - BLCC 1 Improved Physical Health via obtaining Health and Social Care Services]"})</f>
        <v>Salford District - BLCC 1 Improved Physical Health via obtaining Health and Social Care Services</v>
      </c>
      <c r="D358" s="152" t="str" vm="2124">
        <f t="shared" si="35"/>
        <v/>
      </c>
      <c r="E358" s="152" t="str" vm="1542">
        <f t="shared" si="35"/>
        <v/>
      </c>
      <c r="F358" s="212" t="str" vm="1773">
        <f t="shared" si="35"/>
        <v/>
      </c>
    </row>
    <row r="359" spans="2:6">
      <c r="B359" s="152" t="str" vm="535">
        <f t="shared" si="36"/>
        <v>Local</v>
      </c>
      <c r="C359" s="152" t="str" vm="655">
        <f>CUBEMEMBER("cabcrmsqlrs1 CABReportingCubes Local Financial Snapshot",{"[AIC Outcome].[Type Of Outcome].&amp;[Local]","[AIC Outcome].[Outcome].&amp;[Salford District - BLCC 2 Decreased Social Isolation and Improved ability to Take Part in Daily Life]"})</f>
        <v>Salford District - BLCC 2 Decreased Social Isolation and Improved ability to Take Part in Daily Life</v>
      </c>
      <c r="D359" s="152" t="str" vm="1787">
        <f t="shared" si="35"/>
        <v/>
      </c>
      <c r="E359" s="152" t="str" vm="1877">
        <f t="shared" si="35"/>
        <v/>
      </c>
      <c r="F359" s="212" t="str" vm="1662">
        <f t="shared" si="35"/>
        <v/>
      </c>
    </row>
    <row r="360" spans="2:6">
      <c r="B360" s="152" t="str" vm="535">
        <f t="shared" si="36"/>
        <v>Local</v>
      </c>
      <c r="C360" s="152" t="str" vm="577">
        <f>CUBEMEMBER("cabcrmsqlrs1 CABReportingCubes Local Financial Snapshot",{"[AIC Outcome].[Type Of Outcome].&amp;[Local]","[AIC Outcome].[Outcome].&amp;[Salford District - BLCC 3 Increased Life Skills via  obtaining assessments/ services]"})</f>
        <v>Salford District - BLCC 3 Increased Life Skills via  obtaining assessments/ services</v>
      </c>
      <c r="D360" s="152" t="str" vm="2135">
        <f t="shared" si="35"/>
        <v/>
      </c>
      <c r="E360" s="152" t="str" vm="1878">
        <f t="shared" si="35"/>
        <v/>
      </c>
      <c r="F360" s="212" t="str" vm="2400">
        <f t="shared" si="35"/>
        <v/>
      </c>
    </row>
    <row r="361" spans="2:6">
      <c r="B361" s="152" t="str" vm="535">
        <f t="shared" si="36"/>
        <v>Local</v>
      </c>
      <c r="C361" s="152" t="str" vm="654">
        <f>CUBEMEMBER("cabcrmsqlrs1 CABReportingCubes Local Financial Snapshot",{"[AIC Outcome].[Type Of Outcome].&amp;[Local]","[AIC Outcome].[Outcome].&amp;[Salford District - BLCC 4 Improved Mental Health and Wellbeing]"})</f>
        <v>Salford District - BLCC 4 Improved Mental Health and Wellbeing</v>
      </c>
      <c r="D361" s="152" t="str" vm="2456">
        <f t="shared" si="35"/>
        <v/>
      </c>
      <c r="E361" s="152" t="str" vm="1865">
        <f t="shared" si="35"/>
        <v/>
      </c>
      <c r="F361" s="212" t="str" vm="2701">
        <f t="shared" si="35"/>
        <v/>
      </c>
    </row>
    <row r="362" spans="2:6">
      <c r="B362" s="152" t="str" vm="535">
        <f t="shared" si="36"/>
        <v>Local</v>
      </c>
      <c r="C362" s="152" t="str" vm="576">
        <f>CUBEMEMBER("cabcrmsqlrs1 CABReportingCubes Local Financial Snapshot",{"[AIC Outcome].[Type Of Outcome].&amp;[Local]","[AIC Outcome].[Outcome].&amp;[Salford District - HWB 1 Choice and Control in Health and Social Care provision]"})</f>
        <v>Salford District - HWB 1 Choice and Control in Health and Social Care provision</v>
      </c>
      <c r="D362" s="152" t="str" vm="2035">
        <f t="shared" si="35"/>
        <v/>
      </c>
      <c r="E362" s="152" t="str" vm="2283">
        <f t="shared" si="35"/>
        <v/>
      </c>
      <c r="F362" s="212" t="str" vm="2071">
        <f t="shared" si="35"/>
        <v/>
      </c>
    </row>
    <row r="363" spans="2:6">
      <c r="B363" s="152" t="str" vm="535">
        <f t="shared" si="36"/>
        <v>Local</v>
      </c>
      <c r="C363" s="152" t="str" vm="653">
        <f>CUBEMEMBER("cabcrmsqlrs1 CABReportingCubes Local Financial Snapshot",{"[AIC Outcome].[Type Of Outcome].&amp;[Local]","[AIC Outcome].[Outcome].&amp;[Salford District - HWB 3 Decreased Social Isolation and Improved ability to Take Part in Daily Life]"})</f>
        <v>Salford District - HWB 3 Decreased Social Isolation and Improved ability to Take Part in Daily Life</v>
      </c>
      <c r="D363" s="152" t="str" vm="1932">
        <f t="shared" ref="D363:F382" si="37">CUBEVALUE("cabcrmsqlrs1 CABReportingCubes Local Financial Snapshot",$C$77,$C$78,$C$79,$C$80,$C363,D$82)</f>
        <v/>
      </c>
      <c r="E363" s="152" t="str" vm="2103">
        <f t="shared" si="37"/>
        <v/>
      </c>
      <c r="F363" s="212" t="str" vm="1729">
        <f t="shared" si="37"/>
        <v/>
      </c>
    </row>
    <row r="364" spans="2:6">
      <c r="B364" s="152" t="str" vm="535">
        <f t="shared" si="36"/>
        <v>Local</v>
      </c>
      <c r="C364" s="152" t="str" vm="575">
        <f>CUBEMEMBER("cabcrmsqlrs1 CABReportingCubes Local Financial Snapshot",{"[AIC Outcome].[Type Of Outcome].&amp;[Local]","[AIC Outcome].[Outcome].&amp;[Salford District - HWB 4 Reduction in Reliance on Statutory Health and Social Care  Services]"})</f>
        <v>Salford District - HWB 4 Reduction in Reliance on Statutory Health and Social Care  Services</v>
      </c>
      <c r="D364" s="152" t="str" vm="2079">
        <f t="shared" si="37"/>
        <v/>
      </c>
      <c r="E364" s="152" t="str" vm="1680">
        <f t="shared" si="37"/>
        <v/>
      </c>
      <c r="F364" s="212" t="str" vm="2709">
        <f t="shared" si="37"/>
        <v/>
      </c>
    </row>
    <row r="365" spans="2:6">
      <c r="B365" s="152" t="str" vm="535">
        <f t="shared" si="36"/>
        <v>Local</v>
      </c>
      <c r="C365" s="152" t="str" vm="652">
        <f>CUBEMEMBER("cabcrmsqlrs1 CABReportingCubes Local Financial Snapshot",{"[AIC Outcome].[Type Of Outcome].&amp;[Local]","[AIC Outcome].[Outcome].&amp;[Salford District - HWB 6 Enabled Clients  to live in usual place of residence]"})</f>
        <v>Salford District - HWB 6 Enabled Clients  to live in usual place of residence</v>
      </c>
      <c r="D365" s="152" t="str" vm="2137">
        <f t="shared" si="37"/>
        <v/>
      </c>
      <c r="E365" s="152" t="str" vm="1965">
        <f t="shared" si="37"/>
        <v/>
      </c>
      <c r="F365" s="212" t="str" vm="1707">
        <f t="shared" si="37"/>
        <v/>
      </c>
    </row>
    <row r="366" spans="2:6">
      <c r="B366" s="152" t="str" vm="535">
        <f t="shared" si="36"/>
        <v>Local</v>
      </c>
      <c r="C366" s="152" t="str" vm="574">
        <f>CUBEMEMBER("cabcrmsqlrs1 CABReportingCubes Local Financial Snapshot",{"[AIC Outcome].[Type Of Outcome].&amp;[Local]","[AIC Outcome].[Outcome].&amp;[Salford District -HWB 5 Improved Physical Health via Advice &amp; Information about Health &amp; Social Care]"})</f>
        <v>Salford District -HWB 5 Improved Physical Health via Advice &amp; Information about Health &amp; Social Care</v>
      </c>
      <c r="D366" s="152" t="str" vm="2433">
        <f t="shared" si="37"/>
        <v/>
      </c>
      <c r="E366" s="152" t="str" vm="1587">
        <f t="shared" si="37"/>
        <v/>
      </c>
      <c r="F366" s="212" t="str" vm="1993">
        <f t="shared" si="37"/>
        <v/>
      </c>
    </row>
    <row r="367" spans="2:6">
      <c r="B367" s="152" t="str" vm="535">
        <f t="shared" si="36"/>
        <v>Local</v>
      </c>
      <c r="C367" s="152" t="str" vm="651">
        <f>CUBEMEMBER("cabcrmsqlrs1 CABReportingCubes Local Financial Snapshot",{"[AIC Outcome].[Type Of Outcome].&amp;[Local]","[AIC Outcome].[Outcome].&amp;[Sherwood and Newark - HOMELESSNESS PREVENTED: N&amp;S Homes]"})</f>
        <v>Sherwood and Newark - HOMELESSNESS PREVENTED: N&amp;S Homes</v>
      </c>
      <c r="D367" s="152" t="str" vm="1832">
        <f t="shared" si="37"/>
        <v/>
      </c>
      <c r="E367" s="152" t="str" vm="2706">
        <f t="shared" si="37"/>
        <v/>
      </c>
      <c r="F367" s="212" t="str" vm="2512">
        <f t="shared" si="37"/>
        <v/>
      </c>
    </row>
    <row r="368" spans="2:6">
      <c r="B368" s="152" t="str" vm="535">
        <f t="shared" si="36"/>
        <v>Local</v>
      </c>
      <c r="C368" s="152" t="str" vm="916">
        <f>CUBEMEMBER("cabcrmsqlrs1 CABReportingCubes Local Financial Snapshot",{"[AIC Outcome].[Type Of Outcome].&amp;[Local]","[AIC Outcome].[Outcome].&amp;[Sherwood and Newark - HOMELESSNESS PREVENTED: Other Social RP's]"})</f>
        <v>Sherwood and Newark - HOMELESSNESS PREVENTED: Other Social RP's</v>
      </c>
      <c r="D368" s="152" t="str" vm="2304">
        <f t="shared" si="37"/>
        <v/>
      </c>
      <c r="E368" s="152" t="str" vm="2688">
        <f t="shared" si="37"/>
        <v/>
      </c>
      <c r="F368" s="212" t="str" vm="2263">
        <f t="shared" si="37"/>
        <v/>
      </c>
    </row>
    <row r="369" spans="2:6">
      <c r="B369" s="152" t="str" vm="535">
        <f t="shared" si="36"/>
        <v>Local</v>
      </c>
      <c r="C369" s="152" t="str" vm="908">
        <f>CUBEMEMBER("cabcrmsqlrs1 CABReportingCubes Local Financial Snapshot",{"[AIC Outcome].[Type Of Outcome].&amp;[Local]","[AIC Outcome].[Outcome].&amp;[Sherwood and Newark - HOMELESSNESS PREVENTED: Private]"})</f>
        <v>Sherwood and Newark - HOMELESSNESS PREVENTED: Private</v>
      </c>
      <c r="D369" s="152" t="str" vm="2629">
        <f t="shared" si="37"/>
        <v/>
      </c>
      <c r="E369" s="152" t="str" vm="2631">
        <f t="shared" si="37"/>
        <v/>
      </c>
      <c r="F369" s="212" t="str" vm="2630">
        <f t="shared" si="37"/>
        <v/>
      </c>
    </row>
    <row r="370" spans="2:6">
      <c r="B370" s="152" t="str" vm="535">
        <f t="shared" si="36"/>
        <v>Local</v>
      </c>
      <c r="C370" s="152" t="str" vm="573">
        <f>CUBEMEMBER("cabcrmsqlrs1 CABReportingCubes Local Financial Snapshot",{"[AIC Outcome].[Type Of Outcome].&amp;[Local]","[AIC Outcome].[Outcome].&amp;[Sherwood and Newark - Mortgage repossession prevented]"})</f>
        <v>Sherwood and Newark - Mortgage repossession prevented</v>
      </c>
      <c r="D370" s="152" t="str" vm="2678">
        <f t="shared" si="37"/>
        <v/>
      </c>
      <c r="E370" s="152" t="str" vm="2679">
        <f t="shared" si="37"/>
        <v/>
      </c>
      <c r="F370" s="212" t="str" vm="2680">
        <f t="shared" si="37"/>
        <v/>
      </c>
    </row>
    <row r="371" spans="2:6">
      <c r="B371" s="152" t="str" vm="535">
        <f t="shared" si="36"/>
        <v>Local</v>
      </c>
      <c r="C371" s="152" t="str" vm="895">
        <f>CUBEMEMBER("cabcrmsqlrs1 CABReportingCubes Local Financial Snapshot",{"[AIC Outcome].[Type Of Outcome].&amp;[Local]","[AIC Outcome].[Outcome].&amp;[Sherwood and Newark - Mortgage Rescue Scheme]"})</f>
        <v>Sherwood and Newark - Mortgage Rescue Scheme</v>
      </c>
      <c r="D371" s="152" t="str" vm="1955">
        <f t="shared" si="37"/>
        <v/>
      </c>
      <c r="E371" s="152" t="str" vm="2732">
        <f t="shared" si="37"/>
        <v/>
      </c>
      <c r="F371" s="212" t="str" vm="2017">
        <f t="shared" si="37"/>
        <v/>
      </c>
    </row>
    <row r="372" spans="2:6">
      <c r="B372" s="152" t="str" vm="535">
        <f t="shared" si="36"/>
        <v>Local</v>
      </c>
      <c r="C372" s="152" t="str" vm="890">
        <f>CUBEMEMBER("cabcrmsqlrs1 CABReportingCubes Local Financial Snapshot",{"[AIC Outcome].[Type Of Outcome].&amp;[Local]","[AIC Outcome].[Outcome].&amp;[South Gloucestershire - Wessex Water Form Submitted]"})</f>
        <v>South Gloucestershire - Wessex Water Form Submitted</v>
      </c>
      <c r="D372" s="152" t="str" vm="2482">
        <f t="shared" si="37"/>
        <v/>
      </c>
      <c r="E372" s="152" t="str" vm="1646">
        <f t="shared" si="37"/>
        <v/>
      </c>
      <c r="F372" s="212" t="str" vm="2373">
        <f t="shared" si="37"/>
        <v/>
      </c>
    </row>
    <row r="373" spans="2:6">
      <c r="B373" s="152" t="str" vm="535">
        <f t="shared" si="36"/>
        <v>Local</v>
      </c>
      <c r="C373" s="152" t="str" vm="650">
        <f>CUBEMEMBER("cabcrmsqlrs1 CABReportingCubes Local Financial Snapshot",{"[AIC Outcome].[Type Of Outcome].&amp;[Local]","[AIC Outcome].[Outcome].&amp;[South Liverpool - Be Healthy - 1.1 - Manage physical health]"})</f>
        <v>South Liverpool - Be Healthy - 1.1 - Manage physical health</v>
      </c>
      <c r="D373" s="152" t="str" vm="2335">
        <f t="shared" si="37"/>
        <v/>
      </c>
      <c r="E373" s="152" t="str" vm="2315">
        <f t="shared" si="37"/>
        <v/>
      </c>
      <c r="F373" s="212" t="str" vm="1914">
        <f t="shared" si="37"/>
        <v/>
      </c>
    </row>
    <row r="374" spans="2:6">
      <c r="B374" s="152" t="str" vm="535">
        <f t="shared" si="36"/>
        <v>Local</v>
      </c>
      <c r="C374" s="152" t="str" vm="572">
        <f>CUBEMEMBER("cabcrmsqlrs1 CABReportingCubes Local Financial Snapshot",{"[AIC Outcome].[Type Of Outcome].&amp;[Local]","[AIC Outcome].[Outcome].&amp;[South Liverpool - Be Healthy - 1.2 - Manage mental health]"})</f>
        <v>South Liverpool - Be Healthy - 1.2 - Manage mental health</v>
      </c>
      <c r="D374" s="152" t="str" vm="2432">
        <f t="shared" si="37"/>
        <v/>
      </c>
      <c r="E374" s="152" t="str" vm="1557">
        <f t="shared" si="37"/>
        <v/>
      </c>
      <c r="F374" s="212" t="str" vm="1685">
        <f t="shared" si="37"/>
        <v/>
      </c>
    </row>
    <row r="375" spans="2:6">
      <c r="B375" s="152" t="str" vm="535">
        <f t="shared" si="36"/>
        <v>Local</v>
      </c>
      <c r="C375" s="152" t="str" vm="649">
        <f>CUBEMEMBER("cabcrmsqlrs1 CABReportingCubes Local Financial Snapshot",{"[AIC Outcome].[Type Of Outcome].&amp;[Local]","[AIC Outcome].[Outcome].&amp;[South Liverpool - Be Healthy - 1.4 - Aids, adaptations &amp; assisted technology]"})</f>
        <v>South Liverpool - Be Healthy - 1.4 - Aids, adaptations &amp; assisted technology</v>
      </c>
      <c r="D375" s="152" t="str" vm="2259">
        <f t="shared" si="37"/>
        <v/>
      </c>
      <c r="E375" s="152" t="str" vm="2217">
        <f t="shared" si="37"/>
        <v/>
      </c>
      <c r="F375" s="212" t="str" vm="2700">
        <f t="shared" si="37"/>
        <v/>
      </c>
    </row>
    <row r="376" spans="2:6">
      <c r="B376" s="152" t="str" vm="535">
        <f t="shared" si="36"/>
        <v>Local</v>
      </c>
      <c r="C376" s="152" t="str" vm="571">
        <f>CUBEMEMBER("cabcrmsqlrs1 CABReportingCubes Local Financial Snapshot",{"[AIC Outcome].[Type Of Outcome].&amp;[Local]","[AIC Outcome].[Outcome].&amp;[South Liverpool - Economic Wellbeing - 5.1 - Welfare benefits]"})</f>
        <v>South Liverpool - Economic Wellbeing - 5.1 - Welfare benefits</v>
      </c>
      <c r="D376" s="152" t="str" vm="2681">
        <f t="shared" si="37"/>
        <v/>
      </c>
      <c r="E376" s="152" t="str" vm="2685">
        <f t="shared" si="37"/>
        <v/>
      </c>
      <c r="F376" s="212" t="str" vm="2682">
        <f t="shared" si="37"/>
        <v/>
      </c>
    </row>
    <row r="377" spans="2:6">
      <c r="B377" s="152" t="str" vm="535">
        <f t="shared" si="36"/>
        <v>Local</v>
      </c>
      <c r="C377" s="152" t="str" vm="648">
        <f>CUBEMEMBER("cabcrmsqlrs1 CABReportingCubes Local Financial Snapshot",{"[AIC Outcome].[Type Of Outcome].&amp;[Local]","[AIC Outcome].[Outcome].&amp;[South Liverpool - Economic Wellbeing - 5.2 - Debt]"})</f>
        <v>South Liverpool - Economic Wellbeing - 5.2 - Debt</v>
      </c>
      <c r="D377" s="152" t="str" vm="2469">
        <f t="shared" si="37"/>
        <v/>
      </c>
      <c r="E377" s="152" t="str" vm="1698">
        <f t="shared" si="37"/>
        <v/>
      </c>
      <c r="F377" s="212" t="str" vm="1868">
        <f t="shared" si="37"/>
        <v/>
      </c>
    </row>
    <row r="378" spans="2:6">
      <c r="B378" s="152" t="str" vm="535">
        <f t="shared" si="36"/>
        <v>Local</v>
      </c>
      <c r="C378" s="152" t="str" vm="570">
        <f>CUBEMEMBER("cabcrmsqlrs1 CABReportingCubes Local Financial Snapshot",{"[AIC Outcome].[Type Of Outcome].&amp;[Local]","[AIC Outcome].[Outcome].&amp;[South Liverpool - Economic Wellbeing - 5.3 - Support to obtain paid work]"})</f>
        <v>South Liverpool - Economic Wellbeing - 5.3 - Support to obtain paid work</v>
      </c>
      <c r="D378" s="152" t="str" vm="2155">
        <f t="shared" si="37"/>
        <v/>
      </c>
      <c r="E378" s="152" t="str" vm="1741">
        <f t="shared" si="37"/>
        <v/>
      </c>
      <c r="F378" s="212" t="str" vm="2381">
        <f t="shared" si="37"/>
        <v/>
      </c>
    </row>
    <row r="379" spans="2:6">
      <c r="B379" s="152" t="str" vm="535">
        <f t="shared" si="36"/>
        <v>Local</v>
      </c>
      <c r="C379" s="152" t="str" vm="647">
        <f>CUBEMEMBER("cabcrmsqlrs1 CABReportingCubes Local Financial Snapshot",{"[AIC Outcome].[Type Of Outcome].&amp;[Local]","[AIC Outcome].[Outcome].&amp;[South Liverpool - Enjoy &amp; Achieve - 2.2 - Leisure/cultural &amp; faith]"})</f>
        <v>South Liverpool - Enjoy &amp; Achieve - 2.2 - Leisure/cultural &amp; faith</v>
      </c>
      <c r="D379" s="152" t="str" vm="2182">
        <f t="shared" si="37"/>
        <v/>
      </c>
      <c r="E379" s="152" t="str" vm="2046">
        <f t="shared" si="37"/>
        <v/>
      </c>
      <c r="F379" s="212" t="str" vm="1747">
        <f t="shared" si="37"/>
        <v/>
      </c>
    </row>
    <row r="380" spans="2:6">
      <c r="B380" s="152" t="str" vm="535">
        <f t="shared" si="36"/>
        <v>Local</v>
      </c>
      <c r="C380" s="152" t="str" vm="889">
        <f>CUBEMEMBER("cabcrmsqlrs1 CABReportingCubes Local Financial Snapshot",{"[AIC Outcome].[Type Of Outcome].&amp;[Local]","[AIC Outcome].[Outcome].&amp;[South Liverpool - Enjoy &amp; Achieve - 2.4 - External services/groups]"})</f>
        <v>South Liverpool - Enjoy &amp; Achieve - 2.4 - External services/groups</v>
      </c>
      <c r="D380" s="152" t="str" vm="1905">
        <f t="shared" si="37"/>
        <v/>
      </c>
      <c r="E380" s="152" t="str" vm="2211">
        <f t="shared" si="37"/>
        <v/>
      </c>
      <c r="F380" s="212" t="str" vm="2006">
        <f t="shared" si="37"/>
        <v/>
      </c>
    </row>
    <row r="381" spans="2:6">
      <c r="B381" s="152" t="str" vm="535">
        <f t="shared" si="36"/>
        <v>Local</v>
      </c>
      <c r="C381" s="152" t="str" vm="569">
        <f>CUBEMEMBER("cabcrmsqlrs1 CABReportingCubes Local Financial Snapshot",{"[AIC Outcome].[Type Of Outcome].&amp;[Local]","[AIC Outcome].[Outcome].&amp;[South Liverpool - Positive Contribution - 3.1 - Confidence, choice, control &amp; involvement]"})</f>
        <v>South Liverpool - Positive Contribution - 3.1 - Confidence, choice, control &amp; involvement</v>
      </c>
      <c r="D381" s="152" t="str" vm="2449">
        <f t="shared" si="37"/>
        <v/>
      </c>
      <c r="E381" s="152" t="str" vm="2105">
        <f t="shared" si="37"/>
        <v/>
      </c>
      <c r="F381" s="212" t="str" vm="2731">
        <f t="shared" si="37"/>
        <v/>
      </c>
    </row>
    <row r="382" spans="2:6">
      <c r="B382" s="152" t="str" vm="535">
        <f t="shared" ref="B382:B413" si="38">CUBEMEMBER("cabcrmsqlrs1 CABReportingCubes Local Financial Snapshot","[AIC Outcome].[Type Of Outcome].&amp;[Local]")</f>
        <v>Local</v>
      </c>
      <c r="C382" s="152" t="str" vm="646">
        <f>CUBEMEMBER("cabcrmsqlrs1 CABReportingCubes Local Financial Snapshot",{"[AIC Outcome].[Type Of Outcome].&amp;[Local]","[AIC Outcome].[Outcome].&amp;[South Liverpool - Positive Contribution - 3.2 - Confidence &amp; ability to have greater choice]"})</f>
        <v>South Liverpool - Positive Contribution - 3.2 - Confidence &amp; ability to have greater choice</v>
      </c>
      <c r="D382" s="152" t="str" vm="1969">
        <f t="shared" si="37"/>
        <v/>
      </c>
      <c r="E382" s="152" t="str" vm="1915">
        <f t="shared" si="37"/>
        <v/>
      </c>
      <c r="F382" s="212" t="str" vm="2051">
        <f t="shared" si="37"/>
        <v/>
      </c>
    </row>
    <row r="383" spans="2:6">
      <c r="B383" s="152" t="str" vm="535">
        <f t="shared" si="38"/>
        <v>Local</v>
      </c>
      <c r="C383" s="152" t="str" vm="568">
        <f>CUBEMEMBER("cabcrmsqlrs1 CABReportingCubes Local Financial Snapshot",{"[AIC Outcome].[Type Of Outcome].&amp;[Local]","[AIC Outcome].[Outcome].&amp;[South Liverpool - Stay Safe - 4.1 - Secure/obtain/maintain accom &amp; avoid eviction]"})</f>
        <v>South Liverpool - Stay Safe - 4.1 - Secure/obtain/maintain accom &amp; avoid eviction</v>
      </c>
      <c r="D383" s="152" t="str" vm="2541">
        <f t="shared" ref="D383:F402" si="39">CUBEVALUE("cabcrmsqlrs1 CABReportingCubes Local Financial Snapshot",$C$77,$C$78,$C$79,$C$80,$C383,D$82)</f>
        <v/>
      </c>
      <c r="E383" s="152" t="str" vm="2704">
        <f t="shared" si="39"/>
        <v/>
      </c>
      <c r="F383" s="212" t="str" vm="2542">
        <f t="shared" si="39"/>
        <v/>
      </c>
    </row>
    <row r="384" spans="2:6">
      <c r="B384" s="152" t="str" vm="535">
        <f t="shared" si="38"/>
        <v>Local</v>
      </c>
      <c r="C384" s="152" t="str" vm="645">
        <f>CUBEMEMBER("cabcrmsqlrs1 CABReportingCubes Local Financial Snapshot",{"[AIC Outcome].[Type Of Outcome].&amp;[Local]","[AIC Outcome].[Outcome].&amp;[South Liverpool - Stay Safe - 4.4 - Self harm/Stress - Harm/risk to others]"})</f>
        <v>South Liverpool - Stay Safe - 4.4 - Self harm/Stress - Harm/risk to others</v>
      </c>
      <c r="D384" s="152" t="str" vm="2172">
        <f t="shared" si="39"/>
        <v/>
      </c>
      <c r="E384" s="152" t="str" vm="1534">
        <f t="shared" si="39"/>
        <v/>
      </c>
      <c r="F384" s="212" t="str" vm="1724">
        <f t="shared" si="39"/>
        <v/>
      </c>
    </row>
    <row r="385" spans="2:6">
      <c r="B385" s="152" t="str" vm="535">
        <f t="shared" si="38"/>
        <v>Local</v>
      </c>
      <c r="C385" s="152" t="str" vm="894">
        <f>CUBEMEMBER("cabcrmsqlrs1 CABReportingCubes Local Financial Snapshot",{"[AIC Outcome].[Type Of Outcome].&amp;[Local]","[AIC Outcome].[Outcome].&amp;[South Liverpool 2.3 Participate in chosen work like/voluntary/unpaid work activities]"})</f>
        <v>South Liverpool 2.3 Participate in chosen work like/voluntary/unpaid work activities</v>
      </c>
      <c r="D385" s="152" t="str" vm="2514">
        <f t="shared" si="39"/>
        <v/>
      </c>
      <c r="E385" s="152" t="str" vm="2516">
        <f t="shared" si="39"/>
        <v/>
      </c>
      <c r="F385" s="212" t="str" vm="2515">
        <f t="shared" si="39"/>
        <v/>
      </c>
    </row>
    <row r="386" spans="2:6">
      <c r="B386" s="152" t="str" vm="535">
        <f t="shared" si="38"/>
        <v>Local</v>
      </c>
      <c r="C386" s="152" t="str" vm="888">
        <f>CUBEMEMBER("cabcrmsqlrs1 CABReportingCubes Local Financial Snapshot",{"[AIC Outcome].[Type Of Outcome].&amp;[Local]","[AIC Outcome].[Outcome].&amp;[South Liverpool 4.3 Increased feelings of safety and/or reduced anxiety]"})</f>
        <v>South Liverpool 4.3 Increased feelings of safety and/or reduced anxiety</v>
      </c>
      <c r="D386" s="152" t="str" vm="1866">
        <f t="shared" si="39"/>
        <v/>
      </c>
      <c r="E386" s="152" t="str" vm="2252">
        <f t="shared" si="39"/>
        <v/>
      </c>
      <c r="F386" s="212" t="str" vm="2404">
        <f t="shared" si="39"/>
        <v/>
      </c>
    </row>
    <row r="387" spans="2:6">
      <c r="B387" s="152" t="str" vm="535">
        <f t="shared" si="38"/>
        <v>Local</v>
      </c>
      <c r="C387" s="152" t="str" vm="893">
        <f>CUBEMEMBER("cabcrmsqlrs1 CABReportingCubes Local Financial Snapshot",{"[AIC Outcome].[Type Of Outcome].&amp;[Local]","[AIC Outcome].[Outcome].&amp;[South Liverpool 4.4 Accessed/received relevant advocacy support]"})</f>
        <v>South Liverpool 4.4 Accessed/received relevant advocacy support</v>
      </c>
      <c r="D387" s="152" t="str" vm="2466">
        <f t="shared" si="39"/>
        <v/>
      </c>
      <c r="E387" s="152" t="str" vm="2348">
        <f t="shared" si="39"/>
        <v/>
      </c>
      <c r="F387" s="212" t="str" vm="1674">
        <f t="shared" si="39"/>
        <v/>
      </c>
    </row>
    <row r="388" spans="2:6">
      <c r="B388" s="152" t="str" vm="535">
        <f t="shared" si="38"/>
        <v>Local</v>
      </c>
      <c r="C388" s="152" t="str" vm="887">
        <f>CUBEMEMBER("cabcrmsqlrs1 CABReportingCubes Local Financial Snapshot",{"[AIC Outcome].[Type Of Outcome].&amp;[Local]","[AIC Outcome].[Outcome].&amp;[South Liverpool 5.1 Maximise income including receipt of the right benefit]"})</f>
        <v>South Liverpool 5.1 Maximise income including receipt of the right benefit</v>
      </c>
      <c r="D388" s="152" t="str" vm="2726">
        <f t="shared" si="39"/>
        <v/>
      </c>
      <c r="E388" s="152" t="str" vm="2160">
        <f t="shared" si="39"/>
        <v/>
      </c>
      <c r="F388" s="212" t="str" vm="2048">
        <f t="shared" si="39"/>
        <v/>
      </c>
    </row>
    <row r="389" spans="2:6">
      <c r="B389" s="152" t="str" vm="535">
        <f t="shared" si="38"/>
        <v>Local</v>
      </c>
      <c r="C389" s="152" t="str" vm="892">
        <f>CUBEMEMBER("cabcrmsqlrs1 CABReportingCubes Local Financial Snapshot",{"[AIC Outcome].[Type Of Outcome].&amp;[Local]","[AIC Outcome].[Outcome].&amp;[South Liverpool 6.1 Improve or maintain self-respect]"})</f>
        <v>South Liverpool 6.1 Improve or maintain self-respect</v>
      </c>
      <c r="D389" s="152" t="str" vm="2312">
        <f t="shared" si="39"/>
        <v/>
      </c>
      <c r="E389" s="152" t="str" vm="1880">
        <f t="shared" si="39"/>
        <v/>
      </c>
      <c r="F389" s="212" t="str" vm="1733">
        <f t="shared" si="39"/>
        <v/>
      </c>
    </row>
    <row r="390" spans="2:6">
      <c r="B390" s="152" t="str" vm="535">
        <f t="shared" si="38"/>
        <v>Local</v>
      </c>
      <c r="C390" s="152" t="str" vm="886">
        <f>CUBEMEMBER("cabcrmsqlrs1 CABReportingCubes Local Financial Snapshot",{"[AIC Outcome].[Type Of Outcome].&amp;[Local]","[AIC Outcome].[Outcome].&amp;[Southwark - British Gas Grant]"})</f>
        <v>Southwark - British Gas Grant</v>
      </c>
      <c r="D390" s="152" t="str" vm="2119">
        <f t="shared" si="39"/>
        <v/>
      </c>
      <c r="E390" s="152" t="str" vm="2689">
        <f t="shared" si="39"/>
        <v/>
      </c>
      <c r="F390" s="212" t="str" vm="2244">
        <f t="shared" si="39"/>
        <v/>
      </c>
    </row>
    <row r="391" spans="2:6">
      <c r="B391" s="152" t="str" vm="535">
        <f t="shared" si="38"/>
        <v>Local</v>
      </c>
      <c r="C391" s="152" t="str" vm="567">
        <f>CUBEMEMBER("cabcrmsqlrs1 CABReportingCubes Local Financial Snapshot",{"[AIC Outcome].[Type Of Outcome].&amp;[Local]","[AIC Outcome].[Outcome].&amp;[Southwark - EDF Grant]"})</f>
        <v>Southwark - EDF Grant</v>
      </c>
      <c r="D391" s="152" t="str" vm="2467">
        <f t="shared" si="39"/>
        <v/>
      </c>
      <c r="E391" s="152" t="str" vm="1959">
        <f t="shared" si="39"/>
        <v/>
      </c>
      <c r="F391" s="212" t="str" vm="1972">
        <f t="shared" si="39"/>
        <v/>
      </c>
    </row>
    <row r="392" spans="2:6">
      <c r="B392" s="152" t="str" vm="535">
        <f t="shared" si="38"/>
        <v>Local</v>
      </c>
      <c r="C392" s="152" t="str" vm="644">
        <f>CUBEMEMBER("cabcrmsqlrs1 CABReportingCubes Local Financial Snapshot",{"[AIC Outcome].[Type Of Outcome].&amp;[Local]","[AIC Outcome].[Outcome].&amp;[Southwark - Energy Savings Referrals]"})</f>
        <v>Southwark - Energy Savings Referrals</v>
      </c>
      <c r="D392" s="152" t="str" vm="2438">
        <f t="shared" si="39"/>
        <v/>
      </c>
      <c r="E392" s="152" t="str" vm="1538">
        <f t="shared" si="39"/>
        <v/>
      </c>
      <c r="F392" s="212" t="str" vm="1726">
        <f t="shared" si="39"/>
        <v/>
      </c>
    </row>
    <row r="393" spans="2:6">
      <c r="B393" s="152" t="str" vm="535">
        <f t="shared" si="38"/>
        <v>Local</v>
      </c>
      <c r="C393" s="152" t="str" vm="566">
        <f>CUBEMEMBER("cabcrmsqlrs1 CABReportingCubes Local Financial Snapshot",{"[AIC Outcome].[Type Of Outcome].&amp;[Local]","[AIC Outcome].[Outcome].&amp;[Southwark - Macmillan Grant for Dimbleby Project]"})</f>
        <v>Southwark - Macmillan Grant for Dimbleby Project</v>
      </c>
      <c r="D393" s="152" t="str" vm="2474">
        <f t="shared" si="39"/>
        <v/>
      </c>
      <c r="E393" s="152" t="str" vm="1682">
        <f t="shared" si="39"/>
        <v/>
      </c>
      <c r="F393" s="212" t="str" vm="2389">
        <f t="shared" si="39"/>
        <v/>
      </c>
    </row>
    <row r="394" spans="2:6">
      <c r="B394" s="152" t="str" vm="535">
        <f t="shared" si="38"/>
        <v>Local</v>
      </c>
      <c r="C394" s="152" t="str" vm="643">
        <f>CUBEMEMBER("cabcrmsqlrs1 CABReportingCubes Local Financial Snapshot",{"[AIC Outcome].[Type Of Outcome].&amp;[Local]","[AIC Outcome].[Outcome].&amp;[Southwark - Thames Water Grant Application]"})</f>
        <v>Southwark - Thames Water Grant Application</v>
      </c>
      <c r="D394" s="152" t="str" vm="2444">
        <f t="shared" si="39"/>
        <v/>
      </c>
      <c r="E394" s="152" t="str" vm="1566">
        <f t="shared" si="39"/>
        <v/>
      </c>
      <c r="F394" s="212" t="str" vm="2287">
        <f t="shared" si="39"/>
        <v/>
      </c>
    </row>
    <row r="395" spans="2:6">
      <c r="B395" s="152" t="str" vm="535">
        <f t="shared" si="38"/>
        <v>Local</v>
      </c>
      <c r="C395" s="152" t="str" vm="891">
        <f>CUBEMEMBER("cabcrmsqlrs1 CABReportingCubes Local Financial Snapshot",{"[AIC Outcome].[Type Of Outcome].&amp;[Local]","[AIC Outcome].[Outcome].&amp;[Stratford upon Avon and District - Debt Managed]"})</f>
        <v>Stratford upon Avon and District - Debt Managed</v>
      </c>
      <c r="D395" s="152" t="str" vm="2644">
        <f t="shared" si="39"/>
        <v/>
      </c>
      <c r="E395" s="152" t="str" vm="2745">
        <f t="shared" si="39"/>
        <v/>
      </c>
      <c r="F395" s="212" t="str" vm="2645">
        <f t="shared" si="39"/>
        <v/>
      </c>
    </row>
    <row r="396" spans="2:6">
      <c r="B396" s="152" t="str" vm="535">
        <f t="shared" si="38"/>
        <v>Local</v>
      </c>
      <c r="C396" s="152" t="str" vm="565">
        <f>CUBEMEMBER("cabcrmsqlrs1 CABReportingCubes Local Financial Snapshot",{"[AIC Outcome].[Type Of Outcome].&amp;[Local]","[AIC Outcome].[Outcome].&amp;[Taunton Aid in Sickness]"})</f>
        <v>Taunton Aid in Sickness</v>
      </c>
      <c r="D396" s="152" t="str" vm="2485">
        <f t="shared" si="39"/>
        <v/>
      </c>
      <c r="E396" s="152" t="str" vm="2746">
        <f t="shared" si="39"/>
        <v/>
      </c>
      <c r="F396" s="212" t="str" vm="2043">
        <f t="shared" si="39"/>
        <v/>
      </c>
    </row>
    <row r="397" spans="2:6">
      <c r="B397" s="152" t="str" vm="535">
        <f t="shared" si="38"/>
        <v>Local</v>
      </c>
      <c r="C397" s="152" t="str" vm="642">
        <f>CUBEMEMBER("cabcrmsqlrs1 CABReportingCubes Local Financial Snapshot",{"[AIC Outcome].[Type Of Outcome].&amp;[Local]","[AIC Outcome].[Outcome].&amp;[Taunton Heritage Trust]"})</f>
        <v>Taunton Heritage Trust</v>
      </c>
      <c r="D397" s="152" t="str" vm="1963">
        <f t="shared" si="39"/>
        <v/>
      </c>
      <c r="E397" s="152" t="str" vm="2016">
        <f t="shared" si="39"/>
        <v/>
      </c>
      <c r="F397" s="212" t="str" vm="1785">
        <f t="shared" si="39"/>
        <v/>
      </c>
    </row>
    <row r="398" spans="2:6">
      <c r="B398" s="152" t="str" vm="535">
        <f t="shared" si="38"/>
        <v>Local</v>
      </c>
      <c r="C398" s="152" t="str" vm="564">
        <f>CUBEMEMBER("cabcrmsqlrs1 CABReportingCubes Local Financial Snapshot",{"[AIC Outcome].[Type Of Outcome].&amp;[Local]","[AIC Outcome].[Outcome].&amp;[Taunton Local Assistance Scheme]"})</f>
        <v>Taunton Local Assistance Scheme</v>
      </c>
      <c r="D398" s="152" t="str" vm="2073">
        <f t="shared" si="39"/>
        <v/>
      </c>
      <c r="E398" s="152" t="str" vm="1746">
        <f t="shared" si="39"/>
        <v/>
      </c>
      <c r="F398" s="212" t="str" vm="1739">
        <f t="shared" si="39"/>
        <v/>
      </c>
    </row>
    <row r="399" spans="2:6">
      <c r="B399" s="152" t="str" vm="535">
        <f t="shared" si="38"/>
        <v>Local</v>
      </c>
      <c r="C399" s="152" t="str" vm="641">
        <f>CUBEMEMBER("cabcrmsqlrs1 CABReportingCubes Local Financial Snapshot",{"[AIC Outcome].[Type Of Outcome].&amp;[Local]","[AIC Outcome].[Outcome].&amp;[Taunton Other Grant]"})</f>
        <v>Taunton Other Grant</v>
      </c>
      <c r="D399" s="152" t="str" vm="1967">
        <f t="shared" si="39"/>
        <v/>
      </c>
      <c r="E399" s="152" t="str" vm="1681">
        <f t="shared" si="39"/>
        <v/>
      </c>
      <c r="F399" s="212" t="str" vm="2402">
        <f t="shared" si="39"/>
        <v/>
      </c>
    </row>
    <row r="400" spans="2:6">
      <c r="B400" s="152" t="str" vm="535">
        <f t="shared" si="38"/>
        <v>Local</v>
      </c>
      <c r="C400" s="152" t="str" vm="563">
        <f>CUBEMEMBER("cabcrmsqlrs1 CABReportingCubes Local Financial Snapshot",{"[AIC Outcome].[Type Of Outcome].&amp;[Local]","[AIC Outcome].[Outcome].&amp;[Taunton Wilton Trust]"})</f>
        <v>Taunton Wilton Trust</v>
      </c>
      <c r="D400" s="152" t="str" vm="2431">
        <f t="shared" si="39"/>
        <v/>
      </c>
      <c r="E400" s="152" t="str" vm="1775">
        <f t="shared" si="39"/>
        <v/>
      </c>
      <c r="F400" s="212" t="str" vm="1883">
        <f t="shared" si="39"/>
        <v/>
      </c>
    </row>
    <row r="401" spans="2:6">
      <c r="B401" s="152" t="str" vm="535">
        <f t="shared" si="38"/>
        <v>Local</v>
      </c>
      <c r="C401" s="152" t="str" vm="640">
        <f>CUBEMEMBER("cabcrmsqlrs1 CABReportingCubes Local Financial Snapshot",{"[AIC Outcome].[Type Of Outcome].&amp;[Local]","[AIC Outcome].[Outcome].&amp;[Tunbridge Wells and District - IVA set up]"})</f>
        <v>Tunbridge Wells and District - IVA set up</v>
      </c>
      <c r="D401" s="152" t="str" vm="1931">
        <f t="shared" si="39"/>
        <v/>
      </c>
      <c r="E401" s="152" t="str" vm="1920">
        <f t="shared" si="39"/>
        <v/>
      </c>
      <c r="F401" s="212" t="str" vm="2697">
        <f t="shared" si="39"/>
        <v/>
      </c>
    </row>
    <row r="402" spans="2:6">
      <c r="B402" s="152" t="str" vm="535">
        <f t="shared" si="38"/>
        <v>Local</v>
      </c>
      <c r="C402" s="152" t="str" vm="562">
        <f>CUBEMEMBER("cabcrmsqlrs1 CABReportingCubes Local Financial Snapshot",{"[AIC Outcome].[Type Of Outcome].&amp;[Local]","[AIC Outcome].[Outcome].&amp;[Tunbridge Wells and District Appeal process started]"})</f>
        <v>Tunbridge Wells and District Appeal process started</v>
      </c>
      <c r="D402" s="152" t="str" vm="2577">
        <f t="shared" si="39"/>
        <v/>
      </c>
      <c r="E402" s="152" t="str" vm="2744">
        <f t="shared" si="39"/>
        <v/>
      </c>
      <c r="F402" s="212" t="str" vm="2576">
        <f t="shared" si="39"/>
        <v/>
      </c>
    </row>
    <row r="403" spans="2:6">
      <c r="B403" s="152" t="str" vm="535">
        <f t="shared" si="38"/>
        <v>Local</v>
      </c>
      <c r="C403" s="152" t="str" vm="639">
        <f>CUBEMEMBER("cabcrmsqlrs1 CABReportingCubes Local Financial Snapshot",{"[AIC Outcome].[Type Of Outcome].&amp;[Local]","[AIC Outcome].[Outcome].&amp;[Tunbridge Wells and District Benefit estimate claim assisted by bureau]"})</f>
        <v>Tunbridge Wells and District Benefit estimate claim assisted by bureau</v>
      </c>
      <c r="D403" s="152" t="str" vm="2246">
        <f t="shared" ref="D403:F422" si="40">CUBEVALUE("cabcrmsqlrs1 CABReportingCubes Local Financial Snapshot",$C$77,$C$78,$C$79,$C$80,$C403,D$82)</f>
        <v/>
      </c>
      <c r="E403" s="152" t="str" vm="1728">
        <f t="shared" si="40"/>
        <v/>
      </c>
      <c r="F403" s="212" t="str" vm="2082">
        <f t="shared" si="40"/>
        <v/>
      </c>
    </row>
    <row r="404" spans="2:6">
      <c r="B404" s="152" t="str" vm="535">
        <f t="shared" si="38"/>
        <v>Local</v>
      </c>
      <c r="C404" s="152" t="str" vm="561">
        <f>CUBEMEMBER("cabcrmsqlrs1 CABReportingCubes Local Financial Snapshot",{"[AIC Outcome].[Type Of Outcome].&amp;[Local]","[AIC Outcome].[Outcome].&amp;[Tunbridge Wells and District Cashflow]"})</f>
        <v>Tunbridge Wells and District Cashflow</v>
      </c>
      <c r="D404" s="152" t="str" vm="2045">
        <f t="shared" si="40"/>
        <v/>
      </c>
      <c r="E404" s="152" t="str" vm="1590">
        <f t="shared" si="40"/>
        <v/>
      </c>
      <c r="F404" s="212" t="str" vm="1655">
        <f t="shared" si="40"/>
        <v/>
      </c>
    </row>
    <row r="405" spans="2:6">
      <c r="B405" s="152" t="str" vm="535">
        <f t="shared" si="38"/>
        <v>Local</v>
      </c>
      <c r="C405" s="152" t="str" vm="638">
        <f>CUBEMEMBER("cabcrmsqlrs1 CABReportingCubes Local Financial Snapshot",{"[AIC Outcome].[Type Of Outcome].&amp;[Local]","[AIC Outcome].[Outcome].&amp;[Tunbridge Wells and District Client empowered]"})</f>
        <v>Tunbridge Wells and District Client empowered</v>
      </c>
      <c r="D405" s="152" t="str" vm="2677">
        <f t="shared" si="40"/>
        <v/>
      </c>
      <c r="E405" s="152" t="str" vm="2676">
        <f t="shared" si="40"/>
        <v/>
      </c>
      <c r="F405" s="212" t="str" vm="2307">
        <f t="shared" si="40"/>
        <v/>
      </c>
    </row>
    <row r="406" spans="2:6">
      <c r="B406" s="152" t="str" vm="535">
        <f t="shared" si="38"/>
        <v>Local</v>
      </c>
      <c r="C406" s="152" t="str" vm="560">
        <f>CUBEMEMBER("cabcrmsqlrs1 CABReportingCubes Local Financial Snapshot",{"[AIC Outcome].[Type Of Outcome].&amp;[Local]","[AIC Outcome].[Outcome].&amp;[Tunbridge Wells and District Increased wellbeing of client]"})</f>
        <v>Tunbridge Wells and District Increased wellbeing of client</v>
      </c>
      <c r="D406" s="152" t="str" vm="2646">
        <f t="shared" si="40"/>
        <v/>
      </c>
      <c r="E406" s="152" t="str" vm="2648">
        <f t="shared" si="40"/>
        <v/>
      </c>
      <c r="F406" s="212" t="str" vm="2647">
        <f t="shared" si="40"/>
        <v/>
      </c>
    </row>
    <row r="407" spans="2:6">
      <c r="B407" s="152" t="str" vm="535">
        <f t="shared" si="38"/>
        <v>Local</v>
      </c>
      <c r="C407" s="152" t="str" vm="637">
        <f>CUBEMEMBER("cabcrmsqlrs1 CABReportingCubes Local Financial Snapshot",{"[AIC Outcome].[Type Of Outcome].&amp;[Local]","[AIC Outcome].[Outcome].&amp;[Tunbridge Wells and District QBC]"})</f>
        <v>Tunbridge Wells and District QBC</v>
      </c>
      <c r="D407" s="152" t="str" vm="1791">
        <f t="shared" si="40"/>
        <v/>
      </c>
      <c r="E407" s="152" t="str" vm="2742">
        <f t="shared" si="40"/>
        <v/>
      </c>
      <c r="F407" s="212" t="str" vm="2146">
        <f t="shared" si="40"/>
        <v/>
      </c>
    </row>
    <row r="408" spans="2:6">
      <c r="B408" s="152" t="str" vm="535">
        <f t="shared" si="38"/>
        <v>Local</v>
      </c>
      <c r="C408" s="152" t="str" vm="559">
        <f>CUBEMEMBER("cabcrmsqlrs1 CABReportingCubes Local Financial Snapshot",{"[AIC Outcome].[Type Of Outcome].&amp;[Local]","[AIC Outcome].[Outcome].&amp;[Tunbridge Wells and District Understanding improved]"})</f>
        <v>Tunbridge Wells and District Understanding improved</v>
      </c>
      <c r="D408" s="152" t="str" vm="1766">
        <f t="shared" si="40"/>
        <v/>
      </c>
      <c r="E408" s="152" t="str" vm="1624">
        <f t="shared" si="40"/>
        <v/>
      </c>
      <c r="F408" s="212" t="str" vm="1734">
        <f t="shared" si="40"/>
        <v/>
      </c>
    </row>
    <row r="409" spans="2:6">
      <c r="B409" s="152" t="str" vm="535">
        <f t="shared" si="38"/>
        <v>Local</v>
      </c>
      <c r="C409" s="152" t="str" vm="636">
        <f>CUBEMEMBER("cabcrmsqlrs1 CABReportingCubes Local Financial Snapshot",{"[AIC Outcome].[Type Of Outcome].&amp;[Local]","[AIC Outcome].[Outcome].&amp;[Uttlesford - BTU Project - Benefitted Others/Community]"})</f>
        <v>Uttlesford - BTU Project - Benefitted Others/Community</v>
      </c>
      <c r="D409" s="152" t="str" vm="2299">
        <f t="shared" si="40"/>
        <v/>
      </c>
      <c r="E409" s="152" t="str" vm="2347">
        <f t="shared" si="40"/>
        <v/>
      </c>
      <c r="F409" s="212" t="str" vm="2733">
        <f t="shared" si="40"/>
        <v/>
      </c>
    </row>
    <row r="410" spans="2:6">
      <c r="B410" s="152" t="str" vm="535">
        <f t="shared" si="38"/>
        <v>Local</v>
      </c>
      <c r="C410" s="152" t="str" vm="558">
        <f>CUBEMEMBER("cabcrmsqlrs1 CABReportingCubes Local Financial Snapshot",{"[AIC Outcome].[Type Of Outcome].&amp;[Local]","[AIC Outcome].[Outcome].&amp;[Uttlesford - BTU Project - Client Empowered]"})</f>
        <v>Uttlesford - BTU Project - Client Empowered</v>
      </c>
      <c r="D410" s="152" t="str" vm="2593">
        <f t="shared" si="40"/>
        <v/>
      </c>
      <c r="E410" s="152" t="str" vm="2592">
        <f t="shared" si="40"/>
        <v/>
      </c>
      <c r="F410" s="212" t="str" vm="2591">
        <f t="shared" si="40"/>
        <v/>
      </c>
    </row>
    <row r="411" spans="2:6">
      <c r="B411" s="152" t="str" vm="535">
        <f t="shared" si="38"/>
        <v>Local</v>
      </c>
      <c r="C411" s="152" t="str" vm="635">
        <f>CUBEMEMBER("cabcrmsqlrs1 CABReportingCubes Local Financial Snapshot",{"[AIC Outcome].[Type Of Outcome].&amp;[Local]","[AIC Outcome].[Outcome].&amp;[Uttlesford - BTU Project - Improved Quality of Life]"})</f>
        <v>Uttlesford - BTU Project - Improved Quality of Life</v>
      </c>
      <c r="D411" s="152" t="str" vm="1851">
        <f t="shared" si="40"/>
        <v/>
      </c>
      <c r="E411" s="152" t="str" vm="2001">
        <f t="shared" si="40"/>
        <v/>
      </c>
      <c r="F411" s="212" t="str" vm="2205">
        <f t="shared" si="40"/>
        <v/>
      </c>
    </row>
    <row r="412" spans="2:6">
      <c r="B412" s="152" t="str" vm="535">
        <f t="shared" si="38"/>
        <v>Local</v>
      </c>
      <c r="C412" s="152" t="str" vm="557">
        <f>CUBEMEMBER("cabcrmsqlrs1 CABReportingCubes Local Financial Snapshot",{"[AIC Outcome].[Type Of Outcome].&amp;[Local]","[AIC Outcome].[Outcome].&amp;[Uttlesford - BTU Project - Reduced Isolation]"})</f>
        <v>Uttlesford - BTU Project - Reduced Isolation</v>
      </c>
      <c r="D412" s="152" t="str" vm="2491">
        <f t="shared" si="40"/>
        <v/>
      </c>
      <c r="E412" s="152" t="str" vm="1690">
        <f t="shared" si="40"/>
        <v/>
      </c>
      <c r="F412" s="212" t="str" vm="2165">
        <f t="shared" si="40"/>
        <v/>
      </c>
    </row>
    <row r="413" spans="2:6">
      <c r="B413" s="152" t="str" vm="535">
        <f t="shared" si="38"/>
        <v>Local</v>
      </c>
      <c r="C413" s="152" t="str" vm="634">
        <f>CUBEMEMBER("cabcrmsqlrs1 CABReportingCubes Local Financial Snapshot",{"[AIC Outcome].[Type Of Outcome].&amp;[Local]","[AIC Outcome].[Outcome].&amp;[Walsall  NHS - Healthy Weight]"})</f>
        <v>Walsall  NHS - Healthy Weight</v>
      </c>
      <c r="D413" s="152" t="str" vm="2018">
        <f t="shared" si="40"/>
        <v/>
      </c>
      <c r="E413" s="152" t="str" vm="2738">
        <f t="shared" si="40"/>
        <v/>
      </c>
      <c r="F413" s="212" t="str" vm="2382">
        <f t="shared" si="40"/>
        <v/>
      </c>
    </row>
    <row r="414" spans="2:6">
      <c r="B414" s="152" t="str" vm="535">
        <f t="shared" ref="B414:B431" si="41">CUBEMEMBER("cabcrmsqlrs1 CABReportingCubes Local Financial Snapshot","[AIC Outcome].[Type Of Outcome].&amp;[Local]")</f>
        <v>Local</v>
      </c>
      <c r="C414" s="152" t="str" vm="556">
        <f>CUBEMEMBER("cabcrmsqlrs1 CABReportingCubes Local Financial Snapshot",{"[AIC Outcome].[Type Of Outcome].&amp;[Local]","[AIC Outcome].[Outcome].&amp;[Walsall NC - Children into school]"})</f>
        <v>Walsall NC - Children into school</v>
      </c>
      <c r="D414" s="152" t="str" vm="2332">
        <f t="shared" si="40"/>
        <v/>
      </c>
      <c r="E414" s="152" t="str" vm="1779">
        <f t="shared" si="40"/>
        <v/>
      </c>
      <c r="F414" s="212" t="str" vm="2083">
        <f t="shared" si="40"/>
        <v/>
      </c>
    </row>
    <row r="415" spans="2:6">
      <c r="B415" s="152" t="str" vm="535">
        <f t="shared" si="41"/>
        <v>Local</v>
      </c>
      <c r="C415" s="152" t="str" vm="633">
        <f>CUBEMEMBER("cabcrmsqlrs1 CABReportingCubes Local Financial Snapshot",{"[AIC Outcome].[Type Of Outcome].&amp;[Local]","[AIC Outcome].[Outcome].&amp;[Walsall NC - ESOL Referral]"})</f>
        <v>Walsall NC - ESOL Referral</v>
      </c>
      <c r="D415" s="152" t="str" vm="2494">
        <f t="shared" si="40"/>
        <v/>
      </c>
      <c r="E415" s="152" t="str" vm="2691">
        <f t="shared" si="40"/>
        <v/>
      </c>
      <c r="F415" s="212" t="str" vm="1704">
        <f t="shared" si="40"/>
        <v/>
      </c>
    </row>
    <row r="416" spans="2:6">
      <c r="B416" s="152" t="str" vm="535">
        <f t="shared" si="41"/>
        <v>Local</v>
      </c>
      <c r="C416" s="152" t="str" vm="555">
        <f>CUBEMEMBER("cabcrmsqlrs1 CABReportingCubes Local Financial Snapshot",{"[AIC Outcome].[Type Of Outcome].&amp;[Local]","[AIC Outcome].[Outcome].&amp;[Walsall NC - GP Registration]"})</f>
        <v>Walsall NC - GP Registration</v>
      </c>
      <c r="D416" s="152" t="str" vm="1805">
        <f t="shared" si="40"/>
        <v/>
      </c>
      <c r="E416" s="152" t="str" vm="1738">
        <f t="shared" si="40"/>
        <v/>
      </c>
      <c r="F416" s="212" t="str" vm="2125">
        <f t="shared" si="40"/>
        <v/>
      </c>
    </row>
    <row r="417" spans="2:6">
      <c r="B417" s="152" t="str" vm="535">
        <f t="shared" si="41"/>
        <v>Local</v>
      </c>
      <c r="C417" s="152" t="str" vm="632">
        <f>CUBEMEMBER("cabcrmsqlrs1 CABReportingCubes Local Financial Snapshot",{"[AIC Outcome].[Type Of Outcome].&amp;[Local]","[AIC Outcome].[Outcome].&amp;[Walsall NC - Other Health Referral]"})</f>
        <v>Walsall NC - Other Health Referral</v>
      </c>
      <c r="D417" s="152" t="str" vm="2314">
        <f t="shared" si="40"/>
        <v/>
      </c>
      <c r="E417" s="152" t="str" vm="1562">
        <f t="shared" si="40"/>
        <v/>
      </c>
      <c r="F417" s="212" t="str" vm="1796">
        <f t="shared" si="40"/>
        <v/>
      </c>
    </row>
    <row r="418" spans="2:6">
      <c r="B418" s="152" t="str" vm="535">
        <f t="shared" si="41"/>
        <v>Local</v>
      </c>
      <c r="C418" s="152" t="str" vm="554">
        <f>CUBEMEMBER("cabcrmsqlrs1 CABReportingCubes Local Financial Snapshot",{"[AIC Outcome].[Type Of Outcome].&amp;[Local]","[AIC Outcome].[Outcome].&amp;[Walsall NHS - Alcohol]"})</f>
        <v>Walsall NHS - Alcohol</v>
      </c>
      <c r="D418" s="152" t="str" vm="1974">
        <f t="shared" si="40"/>
        <v/>
      </c>
      <c r="E418" s="152" t="str" vm="1525">
        <f t="shared" si="40"/>
        <v/>
      </c>
      <c r="F418" s="212" t="str" vm="2115">
        <f t="shared" si="40"/>
        <v/>
      </c>
    </row>
    <row r="419" spans="2:6">
      <c r="B419" s="152" t="str" vm="535">
        <f t="shared" si="41"/>
        <v>Local</v>
      </c>
      <c r="C419" s="152" t="str" vm="631">
        <f>CUBEMEMBER("cabcrmsqlrs1 CABReportingCubes Local Financial Snapshot",{"[AIC Outcome].[Type Of Outcome].&amp;[Local]","[AIC Outcome].[Outcome].&amp;[Walsall NHS - Healthy Eating]"})</f>
        <v>Walsall NHS - Healthy Eating</v>
      </c>
      <c r="D419" s="152" t="str" vm="1953">
        <f t="shared" si="40"/>
        <v/>
      </c>
      <c r="E419" s="152" t="str" vm="2724">
        <f t="shared" si="40"/>
        <v/>
      </c>
      <c r="F419" s="212" t="str" vm="2513">
        <f t="shared" si="40"/>
        <v/>
      </c>
    </row>
    <row r="420" spans="2:6">
      <c r="B420" s="152" t="str" vm="535">
        <f t="shared" si="41"/>
        <v>Local</v>
      </c>
      <c r="C420" s="152" t="str" vm="553">
        <f>CUBEMEMBER("cabcrmsqlrs1 CABReportingCubes Local Financial Snapshot",{"[AIC Outcome].[Type Of Outcome].&amp;[Local]","[AIC Outcome].[Outcome].&amp;[Walsall NHS - MH and Wellbeing]"})</f>
        <v>Walsall NHS - MH and Wellbeing</v>
      </c>
      <c r="D420" s="152" t="str" vm="1948">
        <f t="shared" si="40"/>
        <v/>
      </c>
      <c r="E420" s="152" t="str" vm="1663">
        <f t="shared" si="40"/>
        <v/>
      </c>
      <c r="F420" s="212" t="str" vm="2690">
        <f t="shared" si="40"/>
        <v/>
      </c>
    </row>
    <row r="421" spans="2:6">
      <c r="B421" s="152" t="str" vm="535">
        <f t="shared" si="41"/>
        <v>Local</v>
      </c>
      <c r="C421" s="152" t="str" vm="630">
        <f>CUBEMEMBER("cabcrmsqlrs1 CABReportingCubes Local Financial Snapshot",{"[AIC Outcome].[Type Of Outcome].&amp;[Local]","[AIC Outcome].[Outcome].&amp;[Walsall NHS - Non-specific referral]"})</f>
        <v>Walsall NHS - Non-specific referral</v>
      </c>
      <c r="D421" s="152" t="str" vm="2343">
        <f t="shared" si="40"/>
        <v/>
      </c>
      <c r="E421" s="152" t="str" vm="1569">
        <f t="shared" si="40"/>
        <v/>
      </c>
      <c r="F421" s="212" t="str" vm="1632">
        <f t="shared" si="40"/>
        <v/>
      </c>
    </row>
    <row r="422" spans="2:6">
      <c r="B422" s="152" t="str" vm="535">
        <f t="shared" si="41"/>
        <v>Local</v>
      </c>
      <c r="C422" s="152" t="str" vm="885">
        <f>CUBEMEMBER("cabcrmsqlrs1 CABReportingCubes Local Financial Snapshot",{"[AIC Outcome].[Type Of Outcome].&amp;[Local]","[AIC Outcome].[Outcome].&amp;[Walsall NHS - Physical Activity]"})</f>
        <v>Walsall NHS - Physical Activity</v>
      </c>
      <c r="D422" s="152" t="str" vm="1803">
        <f t="shared" si="40"/>
        <v/>
      </c>
      <c r="E422" s="152" t="str" vm="1599">
        <f t="shared" si="40"/>
        <v/>
      </c>
      <c r="F422" s="212" t="str" vm="1923">
        <f t="shared" si="40"/>
        <v/>
      </c>
    </row>
    <row r="423" spans="2:6">
      <c r="B423" s="152" t="str" vm="535">
        <f t="shared" si="41"/>
        <v>Local</v>
      </c>
      <c r="C423" s="152" t="str" vm="552">
        <f>CUBEMEMBER("cabcrmsqlrs1 CABReportingCubes Local Financial Snapshot",{"[AIC Outcome].[Type Of Outcome].&amp;[Local]","[AIC Outcome].[Outcome].&amp;[Walsall NHS - Smoking Cessation]"})</f>
        <v>Walsall NHS - Smoking Cessation</v>
      </c>
      <c r="D423" s="152" t="str" vm="2168">
        <f t="shared" ref="D423:F442" si="42">CUBEVALUE("cabcrmsqlrs1 CABReportingCubes Local Financial Snapshot",$C$77,$C$78,$C$79,$C$80,$C423,D$82)</f>
        <v/>
      </c>
      <c r="E423" s="152" t="str" vm="2753">
        <f t="shared" si="42"/>
        <v/>
      </c>
      <c r="F423" s="212" t="str" vm="2068">
        <f t="shared" si="42"/>
        <v/>
      </c>
    </row>
    <row r="424" spans="2:6">
      <c r="B424" s="152" t="str" vm="535">
        <f t="shared" si="41"/>
        <v>Local</v>
      </c>
      <c r="C424" s="152" t="str" vm="629">
        <f>CUBEMEMBER("cabcrmsqlrs1 CABReportingCubes Local Financial Snapshot",{"[AIC Outcome].[Type Of Outcome].&amp;[Local]","[AIC Outcome].[Outcome].&amp;[Walton Weybridge &amp; Hersham- Local assistance scheme]"})</f>
        <v>Walton Weybridge &amp; Hersham- Local assistance scheme</v>
      </c>
      <c r="D424" s="152" t="str" vm="2322">
        <f t="shared" si="42"/>
        <v/>
      </c>
      <c r="E424" s="152" t="str" vm="1808">
        <f t="shared" si="42"/>
        <v/>
      </c>
      <c r="F424" s="212" t="str" vm="1891">
        <f t="shared" si="42"/>
        <v/>
      </c>
    </row>
    <row r="425" spans="2:6">
      <c r="B425" s="152" t="str" vm="535">
        <f t="shared" si="41"/>
        <v>Local</v>
      </c>
      <c r="C425" s="152" t="str" vm="551">
        <f>CUBEMEMBER("cabcrmsqlrs1 CABReportingCubes Local Financial Snapshot",{"[AIC Outcome].[Type Of Outcome].&amp;[Local]","[AIC Outcome].[Outcome].&amp;[West Oxfordshire: Homelessness delayed]"})</f>
        <v>West Oxfordshire: Homelessness delayed</v>
      </c>
      <c r="D425" s="152" t="str" vm="2249">
        <f t="shared" si="42"/>
        <v/>
      </c>
      <c r="E425" s="152" t="str" vm="1697">
        <f t="shared" si="42"/>
        <v/>
      </c>
      <c r="F425" s="212" t="str" vm="2221">
        <f t="shared" si="42"/>
        <v/>
      </c>
    </row>
    <row r="426" spans="2:6">
      <c r="B426" s="152" t="str" vm="535">
        <f t="shared" si="41"/>
        <v>Local</v>
      </c>
      <c r="C426" s="152" t="str" vm="628">
        <f>CUBEMEMBER("cabcrmsqlrs1 CABReportingCubes Local Financial Snapshot",{"[AIC Outcome].[Type Of Outcome].&amp;[Local]","[AIC Outcome].[Outcome].&amp;[West Oxfordshire: Homelessness prevented - client stayed in home]"})</f>
        <v>West Oxfordshire: Homelessness prevented - client stayed in home</v>
      </c>
      <c r="D426" s="152" t="str" vm="2517">
        <f t="shared" si="42"/>
        <v/>
      </c>
      <c r="E426" s="152" t="str" vm="2518">
        <f t="shared" si="42"/>
        <v/>
      </c>
      <c r="F426" s="212" t="str" vm="1989">
        <f t="shared" si="42"/>
        <v/>
      </c>
    </row>
    <row r="427" spans="2:6">
      <c r="B427" s="152" t="str" vm="535">
        <f t="shared" si="41"/>
        <v>Local</v>
      </c>
      <c r="C427" s="152" t="str" vm="550">
        <f>CUBEMEMBER("cabcrmsqlrs1 CABReportingCubes Local Financial Snapshot",{"[AIC Outcome].[Type Of Outcome].&amp;[Local]","[AIC Outcome].[Outcome].&amp;[West Oxfordshire: Property/Management improved]"})</f>
        <v>West Oxfordshire: Property/Management improved</v>
      </c>
      <c r="D427" s="152" t="str" vm="2475">
        <f t="shared" si="42"/>
        <v/>
      </c>
      <c r="E427" s="152" t="str" vm="1596">
        <f t="shared" si="42"/>
        <v/>
      </c>
      <c r="F427" s="212" t="str" vm="1671">
        <f t="shared" si="42"/>
        <v/>
      </c>
    </row>
    <row r="428" spans="2:6">
      <c r="B428" s="152" t="str" vm="535">
        <f t="shared" si="41"/>
        <v>Local</v>
      </c>
      <c r="C428" s="152" t="str" vm="627">
        <f>CUBEMEMBER("cabcrmsqlrs1 CABReportingCubes Local Financial Snapshot",{"[AIC Outcome].[Type Of Outcome].&amp;[Local]","[AIC Outcome].[Outcome].&amp;[West Oxfordshire: Settled Accommodation secured]"})</f>
        <v>West Oxfordshire: Settled Accommodation secured</v>
      </c>
      <c r="D428" s="152" t="str" vm="2505">
        <f t="shared" si="42"/>
        <v/>
      </c>
      <c r="E428" s="152" t="str" vm="2273">
        <f t="shared" si="42"/>
        <v/>
      </c>
      <c r="F428" s="212" t="str" vm="2309">
        <f t="shared" si="42"/>
        <v/>
      </c>
    </row>
    <row r="429" spans="2:6">
      <c r="B429" s="152" t="str" vm="535">
        <f t="shared" si="41"/>
        <v>Local</v>
      </c>
      <c r="C429" s="152" t="str" vm="549">
        <f>CUBEMEMBER("cabcrmsqlrs1 CABReportingCubes Local Financial Snapshot",{"[AIC Outcome].[Type Of Outcome].&amp;[Local]","[AIC Outcome].[Outcome].&amp;[Wiltshire - Surviving Winter Grant]"})</f>
        <v>Wiltshire - Surviving Winter Grant</v>
      </c>
      <c r="D429" s="152" t="str" vm="2231">
        <f t="shared" si="42"/>
        <v/>
      </c>
      <c r="E429" s="152" t="str" vm="1919">
        <f t="shared" si="42"/>
        <v/>
      </c>
      <c r="F429" s="212" t="str" vm="2112">
        <f t="shared" si="42"/>
        <v/>
      </c>
    </row>
    <row r="430" spans="2:6">
      <c r="B430" s="152" t="str" vm="535">
        <f t="shared" si="41"/>
        <v>Local</v>
      </c>
      <c r="C430" s="152" t="str" vm="626">
        <f>CUBEMEMBER("cabcrmsqlrs1 CABReportingCubes Local Financial Snapshot",{"[AIC Outcome].[Type Of Outcome].&amp;[Local]","[AIC Outcome].[Outcome].&amp;[Wiltshire - Wessex Water Assist]"})</f>
        <v>Wiltshire - Wessex Water Assist</v>
      </c>
      <c r="D430" s="152" t="str" vm="2174">
        <f t="shared" si="42"/>
        <v/>
      </c>
      <c r="E430" s="152" t="str" vm="1571">
        <f t="shared" si="42"/>
        <v/>
      </c>
      <c r="F430" s="212" t="str" vm="2702">
        <f t="shared" si="42"/>
        <v/>
      </c>
    </row>
    <row r="431" spans="2:6">
      <c r="B431" s="152" t="str" vm="535">
        <f t="shared" si="41"/>
        <v>Local</v>
      </c>
      <c r="C431" s="152" t="str" vm="548">
        <f>CUBEMEMBER("cabcrmsqlrs1 CABReportingCubes Local Financial Snapshot",{"[AIC Outcome].[Type Of Outcome].&amp;[Local]","[AIC Outcome].[Outcome].&amp;[Wiltshire - Wessex Water Restart]"})</f>
        <v>Wiltshire - Wessex Water Restart</v>
      </c>
      <c r="D431" s="152" t="str" vm="2238">
        <f t="shared" si="42"/>
        <v/>
      </c>
      <c r="E431" s="152" t="str" vm="1519">
        <f t="shared" si="42"/>
        <v/>
      </c>
      <c r="F431" s="212" t="str" vm="2242">
        <f t="shared" si="42"/>
        <v/>
      </c>
    </row>
    <row r="432" spans="2:6">
      <c r="B432" s="152" t="str" vm="534">
        <f t="shared" ref="B432:B437" si="43">CUBEMEMBER("cabcrmsqlrs1 CABReportingCubes Local Financial Snapshot","[AIC Outcome].[Type Of Outcome].&amp;[Not recorded/not applicable]")</f>
        <v>Not recorded/not applicable</v>
      </c>
      <c r="C432" s="152" t="str" vm="882">
        <f>CUBEMEMBER("cabcrmsqlrs1 CABReportingCubes Local Financial Snapshot",{"[AIC Outcome].[Type Of Outcome].&amp;[Not recorded/not applicable]","[AIC Outcome].[Outcome].&amp;[Benefit / tax credit gain - a new award or increase]"})</f>
        <v>Benefit / tax credit gain - a new award or increase</v>
      </c>
      <c r="D432" s="152" t="str" vm="2658">
        <f t="shared" si="42"/>
        <v/>
      </c>
      <c r="E432" s="152" t="str" vm="2660">
        <f t="shared" si="42"/>
        <v/>
      </c>
      <c r="F432" s="212" t="str" vm="2659">
        <f t="shared" si="42"/>
        <v/>
      </c>
    </row>
    <row r="433" spans="2:6">
      <c r="B433" s="152" t="str" vm="534">
        <f t="shared" si="43"/>
        <v>Not recorded/not applicable</v>
      </c>
      <c r="C433" s="152" t="str" vm="625">
        <f>CUBEMEMBER("cabcrmsqlrs1 CABReportingCubes Local Financial Snapshot",{"[AIC Outcome].[Type Of Outcome].&amp;[Not recorded/not applicable]","[AIC Outcome].[Outcome].&amp;[Benefit / tax credit gain - award or increase following revision or appeal]"})</f>
        <v>Benefit / tax credit gain - award or increase following revision or appeal</v>
      </c>
      <c r="D433" s="152" t="str" vm="2462">
        <f t="shared" si="42"/>
        <v/>
      </c>
      <c r="E433" s="152" t="str" vm="1834">
        <f t="shared" si="42"/>
        <v/>
      </c>
      <c r="F433" s="212" t="str" vm="2127">
        <f t="shared" si="42"/>
        <v/>
      </c>
    </row>
    <row r="434" spans="2:6">
      <c r="B434" s="152" t="str" vm="534">
        <f t="shared" si="43"/>
        <v>Not recorded/not applicable</v>
      </c>
      <c r="C434" s="152" t="str" vm="883">
        <f>CUBEMEMBER("cabcrmsqlrs1 CABReportingCubes Local Financial Snapshot",{"[AIC Outcome].[Type Of Outcome].&amp;[Not recorded/not applicable]","[AIC Outcome].[Outcome].&amp;[Food provision / referral]"})</f>
        <v>Food provision / referral</v>
      </c>
      <c r="D434" s="152" t="str" vm="1930">
        <f t="shared" si="42"/>
        <v/>
      </c>
      <c r="E434" s="152" t="str" vm="1966">
        <f t="shared" si="42"/>
        <v/>
      </c>
      <c r="F434" s="212" t="str" vm="1702">
        <f t="shared" si="42"/>
        <v/>
      </c>
    </row>
    <row r="435" spans="2:6">
      <c r="B435" s="152" t="str" vm="534">
        <f t="shared" si="43"/>
        <v>Not recorded/not applicable</v>
      </c>
      <c r="C435" s="152" t="str" vm="547">
        <f>CUBEMEMBER("cabcrmsqlrs1 CABReportingCubes Local Financial Snapshot",{"[AIC Outcome].[Type Of Outcome].&amp;[Not recorded/not applicable]","[AIC Outcome].[Outcome].&amp;[Improved health / capacity to manage]"})</f>
        <v>Improved health / capacity to manage</v>
      </c>
      <c r="D435" s="152" t="str" vm="2350">
        <f t="shared" si="42"/>
        <v/>
      </c>
      <c r="E435" s="152" t="str" vm="2408">
        <f t="shared" si="42"/>
        <v/>
      </c>
      <c r="F435" s="212" t="str" vm="2407">
        <f t="shared" si="42"/>
        <v/>
      </c>
    </row>
    <row r="436" spans="2:6">
      <c r="B436" s="152" t="str" vm="534">
        <f t="shared" si="43"/>
        <v>Not recorded/not applicable</v>
      </c>
      <c r="C436" s="152" t="str" vm="624">
        <f>CUBEMEMBER("cabcrmsqlrs1 CABReportingCubes Local Financial Snapshot",{"[AIC Outcome].[Type Of Outcome].&amp;[Not recorded/not applicable]","[AIC Outcome].[Outcome].&amp;[Not recorded/not applicable]"})</f>
        <v>Not recorded/not applicable</v>
      </c>
      <c r="D436" s="152" vm="1825">
        <f t="shared" si="42"/>
        <v>77</v>
      </c>
      <c r="E436" s="152" vm="1686">
        <f t="shared" si="42"/>
        <v>56</v>
      </c>
      <c r="F436" s="212" vm="2267">
        <f t="shared" si="42"/>
        <v>0</v>
      </c>
    </row>
    <row r="437" spans="2:6">
      <c r="B437" s="152" t="str" vm="534">
        <f t="shared" si="43"/>
        <v>Not recorded/not applicable</v>
      </c>
      <c r="C437" s="152" t="str" vm="884">
        <f>CUBEMEMBER("cabcrmsqlrs1 CABReportingCubes Local Financial Snapshot",{"[AIC Outcome].[Type Of Outcome].&amp;[Not recorded/not applicable]","[AIC Outcome].[Outcome].&amp;[Other (financial)]"})</f>
        <v>Other (financial)</v>
      </c>
      <c r="D437" s="152" t="str" vm="2626">
        <f t="shared" si="42"/>
        <v/>
      </c>
      <c r="E437" s="152" t="str" vm="2627">
        <f t="shared" si="42"/>
        <v/>
      </c>
      <c r="F437" s="212" t="str" vm="2628">
        <f t="shared" si="42"/>
        <v/>
      </c>
    </row>
    <row r="438" spans="2:6">
      <c r="B438" s="152" t="str" vm="530">
        <f t="shared" ref="B438:B462" si="44">CUBEMEMBER("cabcrmsqlrs1 CABReportingCubes Local Financial Snapshot","[AIC Outcome].[Type Of Outcome].&amp;[Project]")</f>
        <v>Project</v>
      </c>
      <c r="C438" s="152" t="str" vm="546">
        <f>CUBEMEMBER("cabcrmsqlrs1 CABReportingCubes Local Financial Snapshot",{"[AIC Outcome].[Type Of Outcome].&amp;[Project]","[AIC Outcome].[Outcome].&amp;[Annual increase in income]"})</f>
        <v>Annual increase in income</v>
      </c>
      <c r="D438" s="152" t="str" vm="2571">
        <f t="shared" si="42"/>
        <v/>
      </c>
      <c r="E438" s="152" t="str" vm="2572">
        <f t="shared" si="42"/>
        <v/>
      </c>
      <c r="F438" s="212" t="str" vm="2570">
        <f t="shared" si="42"/>
        <v/>
      </c>
    </row>
    <row r="439" spans="2:6">
      <c r="B439" s="152" t="str" vm="530">
        <f t="shared" si="44"/>
        <v>Project</v>
      </c>
      <c r="C439" s="152" t="str" vm="623">
        <f>CUBEMEMBER("cabcrmsqlrs1 CABReportingCubes Local Financial Snapshot",{"[AIC Outcome].[Type Of Outcome].&amp;[Project]","[AIC Outcome].[Outcome].&amp;[Bankruptcy]"})</f>
        <v>Bankruptcy</v>
      </c>
      <c r="D439" s="152" t="str" vm="2224">
        <f t="shared" si="42"/>
        <v/>
      </c>
      <c r="E439" s="152" t="str" vm="1742">
        <f t="shared" si="42"/>
        <v/>
      </c>
      <c r="F439" s="212" t="str" vm="1861">
        <f t="shared" si="42"/>
        <v/>
      </c>
    </row>
    <row r="440" spans="2:6">
      <c r="B440" s="152" t="str" vm="530">
        <f t="shared" si="44"/>
        <v>Project</v>
      </c>
      <c r="C440" s="152" t="str" vm="545">
        <f>CUBEMEMBER("cabcrmsqlrs1 CABReportingCubes Local Financial Snapshot",{"[AIC Outcome].[Type Of Outcome].&amp;[Project]","[AIC Outcome].[Outcome].&amp;[CASHflow]"})</f>
        <v>CASHflow</v>
      </c>
      <c r="D440" s="152" t="str" vm="2351">
        <f t="shared" si="42"/>
        <v/>
      </c>
      <c r="E440" s="152" t="str" vm="1660">
        <f t="shared" si="42"/>
        <v/>
      </c>
      <c r="F440" s="212" t="str" vm="2120">
        <f t="shared" si="42"/>
        <v/>
      </c>
    </row>
    <row r="441" spans="2:6">
      <c r="B441" s="152" t="str" vm="530">
        <f t="shared" si="44"/>
        <v>Project</v>
      </c>
      <c r="C441" s="152" t="str" vm="960">
        <f>CUBEMEMBER("cabcrmsqlrs1 CABReportingCubes Local Financial Snapshot",{"[AIC Outcome].[Type Of Outcome].&amp;[Project]","[AIC Outcome].[Outcome].&amp;[Client Represented in Court]"})</f>
        <v>Client represented in court</v>
      </c>
      <c r="D441" s="152" t="str" vm="2574">
        <f t="shared" si="42"/>
        <v/>
      </c>
      <c r="E441" s="152" t="str" vm="2575">
        <f t="shared" si="42"/>
        <v/>
      </c>
      <c r="F441" s="212" t="str" vm="2573">
        <f t="shared" si="42"/>
        <v/>
      </c>
    </row>
    <row r="442" spans="2:6">
      <c r="B442" s="152" t="str" vm="530">
        <f t="shared" si="44"/>
        <v>Project</v>
      </c>
      <c r="C442" s="152" t="str" vm="544">
        <f>CUBEMEMBER("cabcrmsqlrs1 CABReportingCubes Local Financial Snapshot",{"[AIC Outcome].[Type Of Outcome].&amp;[Project]","[AIC Outcome].[Outcome].&amp;[DRO]"})</f>
        <v>DRO</v>
      </c>
      <c r="D442" s="152" t="str" vm="1937">
        <f t="shared" si="42"/>
        <v/>
      </c>
      <c r="E442" s="152" t="str" vm="1565">
        <f t="shared" si="42"/>
        <v/>
      </c>
      <c r="F442" s="212" t="str" vm="1621">
        <f t="shared" si="42"/>
        <v/>
      </c>
    </row>
    <row r="443" spans="2:6">
      <c r="B443" s="152" t="str" vm="530">
        <f t="shared" si="44"/>
        <v>Project</v>
      </c>
      <c r="C443" s="152" t="str" vm="622">
        <f>CUBEMEMBER("cabcrmsqlrs1 CABReportingCubes Local Financial Snapshot",{"[AIC Outcome].[Type Of Outcome].&amp;[Project]","[AIC Outcome].[Outcome].&amp;[F2F - Referral to digital debt advice]"})</f>
        <v>F2F - Referral to digital debt advice</v>
      </c>
      <c r="D443" s="152" t="str" vm="1962">
        <f t="shared" ref="D443:F462" si="45">CUBEVALUE("cabcrmsqlrs1 CABReportingCubes Local Financial Snapshot",$C$77,$C$78,$C$79,$C$80,$C443,D$82)</f>
        <v/>
      </c>
      <c r="E443" s="152" t="str" vm="1659">
        <f t="shared" si="45"/>
        <v/>
      </c>
      <c r="F443" s="212" t="str" vm="2109">
        <f t="shared" si="45"/>
        <v/>
      </c>
    </row>
    <row r="444" spans="2:6">
      <c r="B444" s="152" t="str" vm="530">
        <f t="shared" si="44"/>
        <v>Project</v>
      </c>
      <c r="C444" s="152" t="str" vm="543">
        <f>CUBEMEMBER("cabcrmsqlrs1 CABReportingCubes Local Financial Snapshot",{"[AIC Outcome].[Type Of Outcome].&amp;[Project]","[AIC Outcome].[Outcome].&amp;[F2F - Referral to other sources of advice]"})</f>
        <v>F2F - Referral to other sources of advice</v>
      </c>
      <c r="D444" s="152" t="str" vm="1828">
        <f t="shared" si="45"/>
        <v/>
      </c>
      <c r="E444" s="152" t="str" vm="1592">
        <f t="shared" si="45"/>
        <v/>
      </c>
      <c r="F444" s="212" t="str" vm="1650">
        <f t="shared" si="45"/>
        <v/>
      </c>
    </row>
    <row r="445" spans="2:6">
      <c r="B445" s="152" t="str" vm="530">
        <f t="shared" si="44"/>
        <v>Project</v>
      </c>
      <c r="C445" s="152" t="str" vm="621">
        <f>CUBEMEMBER("cabcrmsqlrs1 CABReportingCubes Local Financial Snapshot",{"[AIC Outcome].[Type Of Outcome].&amp;[Project]","[AIC Outcome].[Outcome].&amp;[F2F - Referral to telephone debt advice]"})</f>
        <v>F2F - Referral to telephone debt advice</v>
      </c>
      <c r="D445" s="152" t="str" vm="2361">
        <f t="shared" si="45"/>
        <v/>
      </c>
      <c r="E445" s="152" t="str" vm="2412">
        <f t="shared" si="45"/>
        <v/>
      </c>
      <c r="F445" s="212" t="str" vm="2411">
        <f t="shared" si="45"/>
        <v/>
      </c>
    </row>
    <row r="446" spans="2:6">
      <c r="B446" s="152" t="str" vm="530">
        <f t="shared" si="44"/>
        <v>Project</v>
      </c>
      <c r="C446" s="152" t="str" vm="542">
        <f>CUBEMEMBER("cabcrmsqlrs1 CABReportingCubes Local Financial Snapshot",{"[AIC Outcome].[Type Of Outcome].&amp;[Project]","[AIC Outcome].[Outcome].&amp;[Food Vouchers]"})</f>
        <v>Food Vouchers</v>
      </c>
      <c r="D446" s="152" t="str" vm="2666">
        <f t="shared" si="45"/>
        <v/>
      </c>
      <c r="E446" s="152" t="str" vm="2665">
        <f t="shared" si="45"/>
        <v/>
      </c>
      <c r="F446" s="212" t="str" vm="2664">
        <f t="shared" si="45"/>
        <v/>
      </c>
    </row>
    <row r="447" spans="2:6">
      <c r="B447" s="152" t="str" vm="530">
        <f t="shared" si="44"/>
        <v>Project</v>
      </c>
      <c r="C447" s="152" t="str" vm="620">
        <f>CUBEMEMBER("cabcrmsqlrs1 CABReportingCubes Local Financial Snapshot",{"[AIC Outcome].[Type Of Outcome].&amp;[Project]","[AIC Outcome].[Outcome].&amp;[Income maximisation]"})</f>
        <v>Income maximisation</v>
      </c>
      <c r="D447" s="152" t="str" vm="1801">
        <f t="shared" si="45"/>
        <v/>
      </c>
      <c r="E447" s="152" t="str" vm="1667">
        <f t="shared" si="45"/>
        <v/>
      </c>
      <c r="F447" s="212" t="str" vm="2324">
        <f t="shared" si="45"/>
        <v/>
      </c>
    </row>
    <row r="448" spans="2:6">
      <c r="B448" s="152" t="str" vm="530">
        <f t="shared" si="44"/>
        <v>Project</v>
      </c>
      <c r="C448" s="152" t="str" vm="541">
        <f>CUBEMEMBER("cabcrmsqlrs1 CABReportingCubes Local Financial Snapshot",{"[AIC Outcome].[Type Of Outcome].&amp;[Project]","[AIC Outcome].[Outcome].&amp;[Macmillan Grant]"})</f>
        <v>Macmillan Grant</v>
      </c>
      <c r="D448" s="152" t="str" vm="2502">
        <f t="shared" si="45"/>
        <v/>
      </c>
      <c r="E448" s="152" t="str" vm="1526">
        <f t="shared" si="45"/>
        <v/>
      </c>
      <c r="F448" s="212" t="str" vm="1908">
        <f t="shared" si="45"/>
        <v/>
      </c>
    </row>
    <row r="449" spans="2:6">
      <c r="B449" s="152" t="str" vm="530">
        <f t="shared" si="44"/>
        <v>Project</v>
      </c>
      <c r="C449" s="152" t="str" vm="619">
        <f>CUBEMEMBER("cabcrmsqlrs1 CABReportingCubes Local Financial Snapshot",{"[AIC Outcome].[Type Of Outcome].&amp;[Project]","[AIC Outcome].[Outcome].&amp;[Negotiation with creditors by Debt Adviser]"})</f>
        <v>Negotiation with creditors by Debt Adviser</v>
      </c>
      <c r="D449" s="152" t="str" vm="1790">
        <f t="shared" si="45"/>
        <v/>
      </c>
      <c r="E449" s="152" t="str" vm="2318">
        <f t="shared" si="45"/>
        <v/>
      </c>
      <c r="F449" s="212" t="str" vm="2360">
        <f t="shared" si="45"/>
        <v/>
      </c>
    </row>
    <row r="450" spans="2:6">
      <c r="B450" s="152" t="str" vm="530">
        <f t="shared" si="44"/>
        <v>Project</v>
      </c>
      <c r="C450" s="152" t="str" vm="540">
        <f>CUBEMEMBER("cabcrmsqlrs1 CABReportingCubes Local Financial Snapshot",{"[AIC Outcome].[Type Of Outcome].&amp;[Project]","[AIC Outcome].[Outcome].&amp;[Not recorded/not applicable]"})</f>
        <v>Not recorded/not applicable</v>
      </c>
      <c r="D450" s="152" t="str" vm="2201">
        <f t="shared" si="45"/>
        <v/>
      </c>
      <c r="E450" s="152" t="str" vm="2056">
        <f t="shared" si="45"/>
        <v/>
      </c>
      <c r="F450" s="212" t="str" vm="1901">
        <f t="shared" si="45"/>
        <v/>
      </c>
    </row>
    <row r="451" spans="2:6">
      <c r="B451" s="152" t="str" vm="530">
        <f t="shared" si="44"/>
        <v>Project</v>
      </c>
      <c r="C451" s="152" t="str" vm="618">
        <f>CUBEMEMBER("cabcrmsqlrs1 CABReportingCubes Local Financial Snapshot",{"[AIC Outcome].[Type Of Outcome].&amp;[Project]","[AIC Outcome].[Outcome].&amp;[Other]"})</f>
        <v>Other</v>
      </c>
      <c r="D451" s="152" t="str" vm="2470">
        <f t="shared" si="45"/>
        <v/>
      </c>
      <c r="E451" s="152" t="str" vm="2359">
        <f t="shared" si="45"/>
        <v/>
      </c>
      <c r="F451" s="212" t="str" vm="1678">
        <f t="shared" si="45"/>
        <v/>
      </c>
    </row>
    <row r="452" spans="2:6">
      <c r="B452" s="152" t="str" vm="530">
        <f t="shared" si="44"/>
        <v>Project</v>
      </c>
      <c r="C452" s="152" t="str" vm="539">
        <f>CUBEMEMBER("cabcrmsqlrs1 CABReportingCubes Local Financial Snapshot",{"[AIC Outcome].[Type Of Outcome].&amp;[Project]","[AIC Outcome].[Outcome].&amp;[Other. Please specify _________________________]"})</f>
        <v>Other. Please specify _________________________</v>
      </c>
      <c r="D452" s="152" t="str" vm="2460">
        <f t="shared" si="45"/>
        <v/>
      </c>
      <c r="E452" s="152" t="str" vm="1835">
        <f t="shared" si="45"/>
        <v/>
      </c>
      <c r="F452" s="212" t="str" vm="1921">
        <f t="shared" si="45"/>
        <v/>
      </c>
    </row>
    <row r="453" spans="2:6">
      <c r="B453" s="152" t="str" vm="530">
        <f t="shared" si="44"/>
        <v>Project</v>
      </c>
      <c r="C453" s="152" t="str" vm="617">
        <f>CUBEMEMBER("cabcrmsqlrs1 CABReportingCubes Local Financial Snapshot",{"[AIC Outcome].[Type Of Outcome].&amp;[Project]","[AIC Outcome].[Outcome].&amp;[Piper lifeline]"})</f>
        <v>Piper lifeline</v>
      </c>
      <c r="D453" s="152" t="str" vm="2639">
        <f t="shared" si="45"/>
        <v/>
      </c>
      <c r="E453" s="152" t="str" vm="2640">
        <f t="shared" si="45"/>
        <v/>
      </c>
      <c r="F453" s="212" t="str" vm="2638">
        <f t="shared" si="45"/>
        <v/>
      </c>
    </row>
    <row r="454" spans="2:6">
      <c r="B454" s="152" t="str" vm="530">
        <f t="shared" si="44"/>
        <v>Project</v>
      </c>
      <c r="C454" s="152" t="str" vm="615">
        <f>CUBEMEMBER("cabcrmsqlrs1 CABReportingCubes Local Financial Snapshot",{"[AIC Outcome].[Type Of Outcome].&amp;[Project]","[AIC Outcome].[Outcome].&amp;[Radar key]"})</f>
        <v>Radar key</v>
      </c>
      <c r="D454" s="152" t="str" vm="2236">
        <f t="shared" si="45"/>
        <v/>
      </c>
      <c r="E454" s="152" t="str" vm="2063">
        <f t="shared" si="45"/>
        <v/>
      </c>
      <c r="F454" s="212" t="str" vm="2100">
        <f t="shared" si="45"/>
        <v/>
      </c>
    </row>
    <row r="455" spans="2:6">
      <c r="B455" s="152" t="str" vm="530">
        <f t="shared" si="44"/>
        <v>Project</v>
      </c>
      <c r="C455" s="152" t="str" vm="538">
        <f>CUBEMEMBER("cabcrmsqlrs1 CABReportingCubes Local Financial Snapshot",{"[AIC Outcome].[Type Of Outcome].&amp;[Project]","[AIC Outcome].[Outcome].&amp;[RBL Grant Given]"})</f>
        <v>RBL Grant Given</v>
      </c>
      <c r="D455" s="152" t="str" vm="2459">
        <f t="shared" si="45"/>
        <v/>
      </c>
      <c r="E455" s="152" t="str" vm="1712">
        <f t="shared" si="45"/>
        <v/>
      </c>
      <c r="F455" s="212" t="str" vm="2194">
        <f t="shared" si="45"/>
        <v/>
      </c>
    </row>
    <row r="456" spans="2:6">
      <c r="B456" s="152" t="str" vm="530">
        <f t="shared" si="44"/>
        <v>Project</v>
      </c>
      <c r="C456" s="152" t="str" vm="533">
        <f>CUBEMEMBER("cabcrmsqlrs1 CABReportingCubes Local Financial Snapshot",{"[AIC Outcome].[Type Of Outcome].&amp;[Project]","[AIC Outcome].[Outcome].&amp;[Referral to other advice/support]"})</f>
        <v>Referral to other advice/support</v>
      </c>
      <c r="D456" s="152" t="str" vm="2420">
        <f t="shared" si="45"/>
        <v/>
      </c>
      <c r="E456" s="152" t="str" vm="2743">
        <f t="shared" si="45"/>
        <v/>
      </c>
      <c r="F456" s="212" t="str" vm="2421">
        <f t="shared" si="45"/>
        <v/>
      </c>
    </row>
    <row r="457" spans="2:6">
      <c r="B457" s="152" t="str" vm="530">
        <f t="shared" si="44"/>
        <v>Project</v>
      </c>
      <c r="C457" s="152" t="str" vm="616">
        <f>CUBEMEMBER("cabcrmsqlrs1 CABReportingCubes Local Financial Snapshot",{"[AIC Outcome].[Type Of Outcome].&amp;[Project]","[AIC Outcome].[Outcome].&amp;[Referred to IVA provider]"})</f>
        <v>Referred to IVA provider</v>
      </c>
      <c r="D457" s="152" t="str" vm="2096">
        <f t="shared" si="45"/>
        <v/>
      </c>
      <c r="E457" s="152" t="str" vm="2060">
        <f t="shared" si="45"/>
        <v/>
      </c>
      <c r="F457" s="212" t="str" vm="2005">
        <f t="shared" si="45"/>
        <v/>
      </c>
    </row>
    <row r="458" spans="2:6">
      <c r="B458" s="152" t="str" vm="530">
        <f t="shared" si="44"/>
        <v>Project</v>
      </c>
      <c r="C458" s="152" t="str" vm="614">
        <f>CUBEMEMBER("cabcrmsqlrs1 CABReportingCubes Local Financial Snapshot",{"[AIC Outcome].[Type Of Outcome].&amp;[Project]","[AIC Outcome].[Outcome].&amp;[Referred to other advice/support]"})</f>
        <v>Referred to other advice/support</v>
      </c>
      <c r="D458" s="152" t="str" vm="2305">
        <f t="shared" si="45"/>
        <v/>
      </c>
      <c r="E458" s="152" t="str" vm="1540">
        <f t="shared" si="45"/>
        <v/>
      </c>
      <c r="F458" s="212" t="str" vm="2396">
        <f t="shared" si="45"/>
        <v/>
      </c>
    </row>
    <row r="459" spans="2:6">
      <c r="B459" s="152" t="str" vm="530">
        <f t="shared" si="44"/>
        <v>Project</v>
      </c>
      <c r="C459" s="152" t="str" vm="537">
        <f>CUBEMEMBER("cabcrmsqlrs1 CABReportingCubes Local Financial Snapshot",{"[AIC Outcome].[Type Of Outcome].&amp;[Project]","[AIC Outcome].[Outcome].&amp;[Referred to RAFBF for further assistance]"})</f>
        <v>Referred to RAFBF for further assistance</v>
      </c>
      <c r="D459" s="152" t="str" vm="1925">
        <f t="shared" si="45"/>
        <v/>
      </c>
      <c r="E459" s="152" t="str" vm="2130">
        <f t="shared" si="45"/>
        <v/>
      </c>
      <c r="F459" s="212" t="str" vm="2390">
        <f t="shared" si="45"/>
        <v/>
      </c>
    </row>
    <row r="460" spans="2:6">
      <c r="B460" s="152" t="str" vm="530">
        <f t="shared" si="44"/>
        <v>Project</v>
      </c>
      <c r="C460" s="152" t="str" vm="532">
        <f>CUBEMEMBER("cabcrmsqlrs1 CABReportingCubes Local Financial Snapshot",{"[AIC Outcome].[Type Of Outcome].&amp;[Project]","[AIC Outcome].[Outcome].&amp;[Referred to RBL for further assistance]"})</f>
        <v>Referred to RBL for further assistance</v>
      </c>
      <c r="D460" s="152" t="str" vm="2705">
        <f t="shared" si="45"/>
        <v/>
      </c>
      <c r="E460" s="152" t="str" vm="1975">
        <f t="shared" si="45"/>
        <v/>
      </c>
      <c r="F460" s="212" t="str" vm="1884">
        <f t="shared" si="45"/>
        <v/>
      </c>
    </row>
    <row r="461" spans="2:6">
      <c r="B461" s="152" t="str" vm="530">
        <f t="shared" si="44"/>
        <v>Project</v>
      </c>
      <c r="C461" s="152" t="str" vm="529">
        <f>CUBEMEMBER("cabcrmsqlrs1 CABReportingCubes Local Financial Snapshot",{"[AIC Outcome].[Type Of Outcome].&amp;[Project]","[AIC Outcome].[Outcome].&amp;[Referred to telephone provider for debt solution]"})</f>
        <v>Referred to telephone provider for debt solution</v>
      </c>
      <c r="D461" s="152" t="str" vm="2509">
        <f t="shared" si="45"/>
        <v/>
      </c>
      <c r="E461" s="152" t="str" vm="1573">
        <f t="shared" si="45"/>
        <v/>
      </c>
      <c r="F461" s="212" t="str" vm="2391">
        <f t="shared" si="45"/>
        <v/>
      </c>
    </row>
    <row r="462" spans="2:6">
      <c r="B462" s="152" t="str" vm="530">
        <f t="shared" si="44"/>
        <v>Project</v>
      </c>
      <c r="C462" s="152" t="str" vm="531">
        <f>CUBEMEMBER("cabcrmsqlrs1 CABReportingCubes Local Financial Snapshot",{"[AIC Outcome].[Type Of Outcome].&amp;[Project]","[AIC Outcome].[Outcome].&amp;[Self help]"})</f>
        <v>Self help</v>
      </c>
      <c r="D462" s="152" t="str" vm="2450">
        <f t="shared" si="45"/>
        <v/>
      </c>
      <c r="E462" s="152" t="str" vm="1879">
        <f t="shared" si="45"/>
        <v/>
      </c>
      <c r="F462" s="212" t="str" vm="1934">
        <f t="shared" si="45"/>
        <v/>
      </c>
    </row>
    <row r="463" spans="2:6"/>
    <row r="464" spans="2:6"/>
    <row r="465"/>
    <row r="466"/>
    <row r="467"/>
    <row r="468"/>
    <row r="469"/>
    <row r="470"/>
    <row r="471"/>
    <row r="472"/>
    <row r="473"/>
    <row r="474"/>
    <row r="475"/>
  </sheetData>
  <pageMargins left="0.70866141732283472" right="0.70866141732283472" top="0.74803149606299213" bottom="0.74803149606299213" header="0.31496062992125984" footer="0.31496062992125984"/>
  <pageSetup paperSize="9" scale="60" orientation="landscape" r:id="rId3"/>
  <headerFooter>
    <oddHeader>&amp;RPage &amp;P&amp;C&amp;A</oddHeader>
    <oddFooter>&amp;CPage &amp;P of &amp;N</oddFooter>
  </headerFooter>
  <rowBreaks count="1" manualBreakCount="1">
    <brk id="230" max="11"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4" sqref="D4"/>
    </sheetView>
  </sheetViews>
  <sheetFormatPr defaultRowHeight="15"/>
  <cols>
    <col min="1" max="1" width="14.1796875" style="7" bestFit="1" customWidth="1"/>
    <col min="2" max="2" width="6.81640625" bestFit="1" customWidth="1"/>
    <col min="3" max="3" width="6.08984375" bestFit="1" customWidth="1"/>
    <col min="4" max="4" width="76.90625" bestFit="1" customWidth="1"/>
  </cols>
  <sheetData>
    <row r="1" spans="1:4" s="6" customFormat="1" ht="15.6">
      <c r="A1" s="9" t="s">
        <v>266</v>
      </c>
    </row>
    <row r="2" spans="1:4" s="6" customFormat="1" ht="15.6">
      <c r="A2" s="9"/>
    </row>
    <row r="3" spans="1:4" s="6" customFormat="1" ht="15.6">
      <c r="A3" s="13" t="s">
        <v>161</v>
      </c>
      <c r="B3" s="14" t="s">
        <v>267</v>
      </c>
      <c r="C3" s="14" t="s">
        <v>269</v>
      </c>
      <c r="D3" s="14" t="s">
        <v>268</v>
      </c>
    </row>
    <row r="4" spans="1:4" s="12" customFormat="1">
      <c r="A4" s="10">
        <v>1</v>
      </c>
      <c r="B4" s="11">
        <v>41772</v>
      </c>
      <c r="C4" s="12" t="s">
        <v>270</v>
      </c>
      <c r="D4" s="12" t="s">
        <v>273</v>
      </c>
    </row>
    <row r="5" spans="1:4">
      <c r="A5" s="7">
        <v>1.1000000000000001</v>
      </c>
      <c r="B5" s="8">
        <v>41775</v>
      </c>
      <c r="C5" t="s">
        <v>270</v>
      </c>
      <c r="D5" t="s">
        <v>271</v>
      </c>
    </row>
    <row r="6" spans="1:4">
      <c r="A6" s="7">
        <v>1.6</v>
      </c>
      <c r="B6" s="8">
        <v>41894</v>
      </c>
      <c r="C6" t="s">
        <v>382</v>
      </c>
      <c r="D6" t="s">
        <v>383</v>
      </c>
    </row>
    <row r="7" spans="1:4">
      <c r="A7" s="7">
        <v>1.8</v>
      </c>
      <c r="B7" s="8">
        <v>42023</v>
      </c>
      <c r="C7" t="s">
        <v>399</v>
      </c>
      <c r="D7" t="s">
        <v>400</v>
      </c>
    </row>
    <row r="8" spans="1:4">
      <c r="A8" s="7">
        <v>1.9</v>
      </c>
      <c r="B8" s="8">
        <v>42075</v>
      </c>
      <c r="C8" t="s">
        <v>382</v>
      </c>
      <c r="D8" t="s">
        <v>401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87"/>
  <sheetViews>
    <sheetView showGridLines="0" showRowColHeaders="0" workbookViewId="0">
      <pane xSplit="1" ySplit="2" topLeftCell="B3" activePane="bottomRight" state="frozen"/>
      <selection activeCell="B3" sqref="B3"/>
      <selection pane="topRight" activeCell="B3" sqref="B3"/>
      <selection pane="bottomLeft" activeCell="B3" sqref="B3"/>
      <selection pane="bottomRight"/>
    </sheetView>
  </sheetViews>
  <sheetFormatPr defaultColWidth="0" defaultRowHeight="15"/>
  <cols>
    <col min="1" max="1" width="6.453125" customWidth="1"/>
    <col min="2" max="2" width="13" bestFit="1" customWidth="1"/>
    <col min="3" max="3" width="34.90625" bestFit="1" customWidth="1"/>
    <col min="4" max="4" width="55.36328125" customWidth="1"/>
    <col min="5" max="5" width="2" customWidth="1"/>
    <col min="6" max="6" width="61.453125" style="1" customWidth="1"/>
    <col min="7" max="7" width="4" customWidth="1"/>
    <col min="8" max="9" width="8.90625" hidden="1" customWidth="1"/>
    <col min="10" max="10" width="0" hidden="1" customWidth="1"/>
    <col min="11" max="16384" width="8.90625" hidden="1"/>
  </cols>
  <sheetData>
    <row r="1" spans="1:7" ht="15.6" thickBot="1">
      <c r="A1" s="5"/>
      <c r="B1" s="5"/>
      <c r="C1" s="5"/>
      <c r="D1" s="5"/>
      <c r="E1" s="5"/>
      <c r="F1" s="15"/>
      <c r="G1" s="5"/>
    </row>
    <row r="2" spans="1:7" ht="35.4" thickBot="1">
      <c r="A2" s="19"/>
      <c r="B2" s="84" t="s">
        <v>277</v>
      </c>
      <c r="C2" s="85" t="s">
        <v>278</v>
      </c>
      <c r="D2" s="86" t="s">
        <v>279</v>
      </c>
      <c r="E2" s="86"/>
      <c r="F2" s="87" t="s">
        <v>280</v>
      </c>
      <c r="G2" s="5"/>
    </row>
    <row r="3" spans="1:7" ht="135.6">
      <c r="A3" s="5"/>
      <c r="B3" s="35" t="s">
        <v>216</v>
      </c>
      <c r="C3" s="36" t="s">
        <v>48</v>
      </c>
      <c r="D3" s="37" t="s">
        <v>446</v>
      </c>
      <c r="E3" s="38"/>
      <c r="F3" s="39" t="s">
        <v>447</v>
      </c>
      <c r="G3" s="5"/>
    </row>
    <row r="4" spans="1:7" ht="30">
      <c r="A4" s="5"/>
      <c r="B4" s="40" t="s">
        <v>216</v>
      </c>
      <c r="C4" s="41" t="s">
        <v>281</v>
      </c>
      <c r="D4" s="42" t="s">
        <v>282</v>
      </c>
      <c r="E4" s="43"/>
      <c r="F4" s="44" t="s">
        <v>348</v>
      </c>
      <c r="G4" s="5"/>
    </row>
    <row r="5" spans="1:7" ht="45">
      <c r="A5" s="5"/>
      <c r="B5" s="40" t="s">
        <v>216</v>
      </c>
      <c r="C5" s="41" t="s">
        <v>283</v>
      </c>
      <c r="D5" s="42" t="s">
        <v>349</v>
      </c>
      <c r="E5" s="43"/>
      <c r="F5" s="44" t="s">
        <v>284</v>
      </c>
      <c r="G5" s="5"/>
    </row>
    <row r="6" spans="1:7" ht="60.6" thickBot="1">
      <c r="A6" s="5"/>
      <c r="B6" s="45" t="s">
        <v>216</v>
      </c>
      <c r="C6" s="46" t="s">
        <v>285</v>
      </c>
      <c r="D6" s="47" t="s">
        <v>355</v>
      </c>
      <c r="E6" s="48"/>
      <c r="F6" s="49" t="s">
        <v>286</v>
      </c>
      <c r="G6" s="5"/>
    </row>
    <row r="7" spans="1:7" ht="45">
      <c r="A7" s="5"/>
      <c r="B7" s="35" t="s">
        <v>191</v>
      </c>
      <c r="C7" s="36" t="s">
        <v>191</v>
      </c>
      <c r="D7" s="37" t="s">
        <v>350</v>
      </c>
      <c r="E7" s="38"/>
      <c r="F7" s="39" t="s">
        <v>351</v>
      </c>
      <c r="G7" s="5"/>
    </row>
    <row r="8" spans="1:7" ht="75">
      <c r="A8" s="5"/>
      <c r="B8" s="40" t="s">
        <v>192</v>
      </c>
      <c r="C8" s="41" t="s">
        <v>192</v>
      </c>
      <c r="D8" s="42" t="s">
        <v>352</v>
      </c>
      <c r="E8" s="43"/>
      <c r="F8" s="44" t="s">
        <v>353</v>
      </c>
      <c r="G8" s="5"/>
    </row>
    <row r="9" spans="1:7" ht="75.599999999999994" thickBot="1">
      <c r="A9" s="5"/>
      <c r="B9" s="45" t="s">
        <v>193</v>
      </c>
      <c r="C9" s="46" t="s">
        <v>193</v>
      </c>
      <c r="D9" s="47" t="s">
        <v>389</v>
      </c>
      <c r="E9" s="48"/>
      <c r="F9" s="49" t="s">
        <v>390</v>
      </c>
      <c r="G9" s="5"/>
    </row>
    <row r="10" spans="1:7" ht="75">
      <c r="A10" s="5"/>
      <c r="B10" s="35" t="s">
        <v>287</v>
      </c>
      <c r="C10" s="36" t="s">
        <v>354</v>
      </c>
      <c r="D10" s="37" t="s">
        <v>355</v>
      </c>
      <c r="E10" s="38"/>
      <c r="F10" s="39" t="s">
        <v>356</v>
      </c>
      <c r="G10" s="5"/>
    </row>
    <row r="11" spans="1:7" ht="30">
      <c r="A11" s="5"/>
      <c r="B11" s="40" t="s">
        <v>287</v>
      </c>
      <c r="C11" s="41" t="s">
        <v>220</v>
      </c>
      <c r="D11" s="42" t="s">
        <v>288</v>
      </c>
      <c r="E11" s="43"/>
      <c r="F11" s="44" t="s">
        <v>289</v>
      </c>
      <c r="G11" s="5"/>
    </row>
    <row r="12" spans="1:7" ht="30.6" thickBot="1">
      <c r="A12" s="5"/>
      <c r="B12" s="45" t="s">
        <v>287</v>
      </c>
      <c r="C12" s="46" t="s">
        <v>290</v>
      </c>
      <c r="D12" s="47" t="s">
        <v>291</v>
      </c>
      <c r="E12" s="48"/>
      <c r="F12" s="49" t="s">
        <v>292</v>
      </c>
      <c r="G12" s="5"/>
    </row>
    <row r="13" spans="1:7" ht="30">
      <c r="A13" s="5"/>
      <c r="B13" s="35" t="s">
        <v>195</v>
      </c>
      <c r="C13" s="36" t="s">
        <v>293</v>
      </c>
      <c r="D13" s="37" t="s">
        <v>357</v>
      </c>
      <c r="E13" s="38"/>
      <c r="F13" s="39" t="s">
        <v>358</v>
      </c>
      <c r="G13" s="5"/>
    </row>
    <row r="14" spans="1:7" ht="30">
      <c r="A14" s="5"/>
      <c r="B14" s="40" t="s">
        <v>195</v>
      </c>
      <c r="C14" s="41" t="s">
        <v>294</v>
      </c>
      <c r="D14" s="42" t="s">
        <v>359</v>
      </c>
      <c r="E14" s="43"/>
      <c r="F14" s="44" t="s">
        <v>360</v>
      </c>
      <c r="G14" s="5"/>
    </row>
    <row r="15" spans="1:7" ht="30.6" thickBot="1">
      <c r="A15" s="5"/>
      <c r="B15" s="45" t="s">
        <v>195</v>
      </c>
      <c r="C15" s="46" t="s">
        <v>295</v>
      </c>
      <c r="D15" s="47" t="s">
        <v>296</v>
      </c>
      <c r="E15" s="48"/>
      <c r="F15" s="49" t="s">
        <v>297</v>
      </c>
      <c r="G15" s="5"/>
    </row>
    <row r="16" spans="1:7" ht="75">
      <c r="A16" s="5"/>
      <c r="B16" s="50" t="s">
        <v>298</v>
      </c>
      <c r="C16" s="51"/>
      <c r="D16" s="52" t="s">
        <v>361</v>
      </c>
      <c r="E16" s="53"/>
      <c r="F16" s="54" t="s">
        <v>362</v>
      </c>
      <c r="G16" s="5"/>
    </row>
    <row r="17" spans="1:7" ht="30">
      <c r="A17" s="5"/>
      <c r="B17" s="40" t="s">
        <v>299</v>
      </c>
      <c r="C17" s="41"/>
      <c r="D17" s="42" t="s">
        <v>300</v>
      </c>
      <c r="E17" s="43"/>
      <c r="F17" s="44" t="s">
        <v>301</v>
      </c>
      <c r="G17" s="5"/>
    </row>
    <row r="18" spans="1:7" ht="135.6">
      <c r="A18" s="5"/>
      <c r="B18" s="40" t="s">
        <v>140</v>
      </c>
      <c r="C18" s="41"/>
      <c r="D18" s="42" t="s">
        <v>302</v>
      </c>
      <c r="E18" s="43"/>
      <c r="F18" s="44" t="s">
        <v>448</v>
      </c>
      <c r="G18" s="5"/>
    </row>
    <row r="19" spans="1:7" ht="135.6">
      <c r="A19" s="5"/>
      <c r="B19" s="40" t="s">
        <v>112</v>
      </c>
      <c r="C19" s="41"/>
      <c r="D19" s="42" t="s">
        <v>303</v>
      </c>
      <c r="E19" s="43"/>
      <c r="F19" s="44" t="s">
        <v>449</v>
      </c>
      <c r="G19" s="5"/>
    </row>
    <row r="20" spans="1:7" ht="45.6" thickBot="1">
      <c r="A20" s="5"/>
      <c r="B20" s="55" t="s">
        <v>21</v>
      </c>
      <c r="C20" s="56"/>
      <c r="D20" s="57" t="s">
        <v>304</v>
      </c>
      <c r="E20" s="58"/>
      <c r="F20" s="59" t="s">
        <v>351</v>
      </c>
      <c r="G20" s="5"/>
    </row>
    <row r="21" spans="1:7" ht="45">
      <c r="A21" s="5"/>
      <c r="B21" s="60" t="s">
        <v>196</v>
      </c>
      <c r="C21" s="61" t="s">
        <v>343</v>
      </c>
      <c r="D21" s="62" t="s">
        <v>339</v>
      </c>
      <c r="E21" s="63"/>
      <c r="F21" s="64" t="s">
        <v>365</v>
      </c>
      <c r="G21" s="5"/>
    </row>
    <row r="22" spans="1:7" ht="45">
      <c r="A22" s="5"/>
      <c r="B22" s="55" t="s">
        <v>196</v>
      </c>
      <c r="C22" s="56" t="s">
        <v>344</v>
      </c>
      <c r="D22" s="57" t="s">
        <v>340</v>
      </c>
      <c r="E22" s="58"/>
      <c r="F22" s="59" t="s">
        <v>341</v>
      </c>
      <c r="G22" s="5"/>
    </row>
    <row r="23" spans="1:7" ht="30">
      <c r="A23" s="5"/>
      <c r="B23" s="55" t="s">
        <v>196</v>
      </c>
      <c r="C23" s="56" t="s">
        <v>345</v>
      </c>
      <c r="D23" s="57" t="s">
        <v>342</v>
      </c>
      <c r="E23" s="58"/>
      <c r="F23" s="59" t="s">
        <v>363</v>
      </c>
      <c r="G23" s="5"/>
    </row>
    <row r="24" spans="1:7" ht="75.599999999999994" thickBot="1">
      <c r="A24" s="5"/>
      <c r="B24" s="45" t="s">
        <v>196</v>
      </c>
      <c r="C24" s="46" t="s">
        <v>346</v>
      </c>
      <c r="D24" s="47" t="s">
        <v>364</v>
      </c>
      <c r="E24" s="48"/>
      <c r="F24" s="49" t="s">
        <v>347</v>
      </c>
      <c r="G24" s="5"/>
    </row>
    <row r="25" spans="1:7">
      <c r="A25" s="5"/>
      <c r="B25" s="65"/>
      <c r="C25" s="65"/>
      <c r="D25" s="65"/>
      <c r="E25" s="65"/>
      <c r="F25" s="66"/>
      <c r="G25" s="5"/>
    </row>
    <row r="26" spans="1:7" ht="15.6" thickBot="1">
      <c r="A26" s="5"/>
      <c r="B26" s="65"/>
      <c r="C26" s="65"/>
      <c r="D26" s="65"/>
      <c r="E26" s="65"/>
      <c r="F26" s="66"/>
      <c r="G26" s="5"/>
    </row>
    <row r="27" spans="1:7" ht="35.4" thickBot="1">
      <c r="A27" s="5"/>
      <c r="B27" s="31" t="s">
        <v>379</v>
      </c>
      <c r="C27" s="32"/>
      <c r="D27" s="33"/>
      <c r="E27" s="33"/>
      <c r="F27" s="34"/>
      <c r="G27" s="5"/>
    </row>
    <row r="28" spans="1:7">
      <c r="A28" s="5"/>
      <c r="B28" s="67"/>
      <c r="C28" s="68"/>
      <c r="D28" s="68"/>
      <c r="E28" s="68"/>
      <c r="F28" s="69"/>
      <c r="G28" s="5"/>
    </row>
    <row r="29" spans="1:7">
      <c r="A29" s="5"/>
      <c r="B29" s="70" t="s">
        <v>375</v>
      </c>
      <c r="C29" s="71"/>
      <c r="D29" s="71"/>
      <c r="E29" s="71"/>
      <c r="F29" s="72"/>
      <c r="G29" s="5"/>
    </row>
    <row r="30" spans="1:7">
      <c r="A30" s="5"/>
      <c r="B30" s="70"/>
      <c r="C30" s="71"/>
      <c r="D30" s="71"/>
      <c r="E30" s="71"/>
      <c r="F30" s="72"/>
      <c r="G30" s="5"/>
    </row>
    <row r="31" spans="1:7" ht="15.6">
      <c r="A31" s="5"/>
      <c r="B31" s="73" t="s">
        <v>367</v>
      </c>
      <c r="C31" s="71"/>
      <c r="D31" s="71"/>
      <c r="E31" s="71"/>
      <c r="F31" s="72"/>
      <c r="G31" s="5"/>
    </row>
    <row r="32" spans="1:7">
      <c r="A32" s="5"/>
      <c r="B32" s="70" t="s">
        <v>366</v>
      </c>
      <c r="C32" s="71"/>
      <c r="D32" s="71"/>
      <c r="E32" s="71"/>
      <c r="F32" s="72"/>
      <c r="G32" s="5"/>
    </row>
    <row r="33" spans="1:7">
      <c r="A33" s="5"/>
      <c r="B33" s="70" t="s">
        <v>373</v>
      </c>
      <c r="C33" s="71"/>
      <c r="D33" s="71"/>
      <c r="E33" s="71"/>
      <c r="F33" s="72"/>
      <c r="G33" s="5"/>
    </row>
    <row r="34" spans="1:7">
      <c r="A34" s="5"/>
      <c r="B34" s="70" t="s">
        <v>376</v>
      </c>
      <c r="C34" s="71"/>
      <c r="D34" s="71"/>
      <c r="E34" s="71"/>
      <c r="F34" s="72"/>
      <c r="G34" s="5"/>
    </row>
    <row r="35" spans="1:7">
      <c r="A35" s="5"/>
      <c r="B35" s="70"/>
      <c r="C35" s="71"/>
      <c r="D35" s="71"/>
      <c r="E35" s="71"/>
      <c r="F35" s="72"/>
      <c r="G35" s="5"/>
    </row>
    <row r="36" spans="1:7" ht="15.6">
      <c r="A36" s="5"/>
      <c r="B36" s="73" t="s">
        <v>368</v>
      </c>
      <c r="C36" s="71"/>
      <c r="D36" s="71"/>
      <c r="E36" s="71"/>
      <c r="F36" s="72"/>
      <c r="G36" s="5"/>
    </row>
    <row r="37" spans="1:7">
      <c r="A37" s="5"/>
      <c r="B37" s="70" t="s">
        <v>369</v>
      </c>
      <c r="C37" s="71"/>
      <c r="D37" s="71"/>
      <c r="E37" s="71"/>
      <c r="F37" s="72"/>
      <c r="G37" s="5"/>
    </row>
    <row r="38" spans="1:7">
      <c r="A38" s="5"/>
      <c r="B38" s="70" t="s">
        <v>374</v>
      </c>
      <c r="C38" s="71"/>
      <c r="D38" s="71"/>
      <c r="E38" s="71"/>
      <c r="F38" s="72"/>
      <c r="G38" s="5"/>
    </row>
    <row r="39" spans="1:7">
      <c r="A39" s="5"/>
      <c r="B39" s="70" t="s">
        <v>370</v>
      </c>
      <c r="C39" s="71"/>
      <c r="D39" s="71"/>
      <c r="E39" s="71"/>
      <c r="F39" s="72"/>
      <c r="G39" s="5"/>
    </row>
    <row r="40" spans="1:7">
      <c r="A40" s="5"/>
      <c r="B40" s="70" t="s">
        <v>371</v>
      </c>
      <c r="C40" s="71"/>
      <c r="D40" s="71"/>
      <c r="E40" s="71"/>
      <c r="F40" s="72"/>
      <c r="G40" s="5"/>
    </row>
    <row r="41" spans="1:7">
      <c r="A41" s="5"/>
      <c r="B41" s="70"/>
      <c r="C41" s="71"/>
      <c r="D41" s="71"/>
      <c r="E41" s="71"/>
      <c r="F41" s="72"/>
      <c r="G41" s="5"/>
    </row>
    <row r="42" spans="1:7" ht="15.6">
      <c r="A42" s="5"/>
      <c r="B42" s="73" t="s">
        <v>372</v>
      </c>
      <c r="C42" s="71"/>
      <c r="D42" s="71"/>
      <c r="E42" s="71"/>
      <c r="F42" s="72"/>
      <c r="G42" s="5"/>
    </row>
    <row r="43" spans="1:7" ht="15.6">
      <c r="A43" s="5"/>
      <c r="B43" s="74"/>
      <c r="C43" s="71"/>
      <c r="D43" s="75"/>
      <c r="E43" s="71"/>
      <c r="F43" s="72"/>
      <c r="G43" s="5"/>
    </row>
    <row r="44" spans="1:7">
      <c r="A44" s="5"/>
      <c r="B44" s="70"/>
      <c r="C44" s="71"/>
      <c r="D44" s="71"/>
      <c r="E44" s="71"/>
      <c r="F44" s="72"/>
      <c r="G44" s="5"/>
    </row>
    <row r="45" spans="1:7">
      <c r="A45" s="5"/>
      <c r="B45" s="70"/>
      <c r="C45" s="71"/>
      <c r="D45" s="71"/>
      <c r="E45" s="71"/>
      <c r="F45" s="72"/>
      <c r="G45" s="5"/>
    </row>
    <row r="46" spans="1:7">
      <c r="A46" s="5"/>
      <c r="B46" s="70"/>
      <c r="C46" s="71"/>
      <c r="D46" s="71"/>
      <c r="E46" s="71"/>
      <c r="F46" s="72"/>
      <c r="G46" s="5"/>
    </row>
    <row r="47" spans="1:7">
      <c r="A47" s="5"/>
      <c r="B47" s="70"/>
      <c r="C47" s="71"/>
      <c r="D47" s="71"/>
      <c r="E47" s="71"/>
      <c r="F47" s="72"/>
      <c r="G47" s="5"/>
    </row>
    <row r="48" spans="1:7" ht="15.6">
      <c r="A48" s="5"/>
      <c r="B48" s="74"/>
      <c r="C48" s="71"/>
      <c r="D48" s="71"/>
      <c r="E48" s="71"/>
      <c r="F48" s="72"/>
      <c r="G48" s="5"/>
    </row>
    <row r="49" spans="1:7">
      <c r="A49" s="5"/>
      <c r="B49" s="70"/>
      <c r="C49" s="71"/>
      <c r="D49" s="71"/>
      <c r="E49" s="71"/>
      <c r="F49" s="72"/>
      <c r="G49" s="5"/>
    </row>
    <row r="50" spans="1:7">
      <c r="A50" s="5"/>
      <c r="B50" s="70"/>
      <c r="C50" s="71"/>
      <c r="D50" s="71"/>
      <c r="E50" s="71"/>
      <c r="F50" s="72"/>
      <c r="G50" s="5"/>
    </row>
    <row r="51" spans="1:7">
      <c r="A51" s="5"/>
      <c r="B51" s="70"/>
      <c r="C51" s="71"/>
      <c r="D51" s="71"/>
      <c r="E51" s="71"/>
      <c r="F51" s="72"/>
      <c r="G51" s="5"/>
    </row>
    <row r="52" spans="1:7">
      <c r="A52" s="5"/>
      <c r="B52" s="70"/>
      <c r="C52" s="71"/>
      <c r="D52" s="71"/>
      <c r="E52" s="71"/>
      <c r="F52" s="72"/>
      <c r="G52" s="5"/>
    </row>
    <row r="53" spans="1:7">
      <c r="A53" s="5"/>
      <c r="B53" s="70"/>
      <c r="C53" s="71"/>
      <c r="D53" s="71"/>
      <c r="E53" s="71"/>
      <c r="F53" s="72"/>
      <c r="G53" s="5"/>
    </row>
    <row r="54" spans="1:7">
      <c r="A54" s="5"/>
      <c r="B54" s="70"/>
      <c r="C54" s="71"/>
      <c r="D54" s="71"/>
      <c r="E54" s="71"/>
      <c r="F54" s="72"/>
      <c r="G54" s="5"/>
    </row>
    <row r="55" spans="1:7">
      <c r="A55" s="5"/>
      <c r="B55" s="70"/>
      <c r="C55" s="71"/>
      <c r="D55" s="71"/>
      <c r="E55" s="71"/>
      <c r="F55" s="72"/>
      <c r="G55" s="5"/>
    </row>
    <row r="56" spans="1:7">
      <c r="A56" s="5"/>
      <c r="B56" s="70"/>
      <c r="C56" s="71"/>
      <c r="D56" s="71"/>
      <c r="E56" s="71"/>
      <c r="F56" s="72"/>
      <c r="G56" s="5"/>
    </row>
    <row r="57" spans="1:7">
      <c r="A57" s="5"/>
      <c r="B57" s="70"/>
      <c r="C57" s="71"/>
      <c r="D57" s="71"/>
      <c r="E57" s="71"/>
      <c r="F57" s="72"/>
      <c r="G57" s="5"/>
    </row>
    <row r="58" spans="1:7">
      <c r="A58" s="5"/>
      <c r="B58" s="70"/>
      <c r="C58" s="71"/>
      <c r="D58" s="71"/>
      <c r="E58" s="71"/>
      <c r="F58" s="72"/>
      <c r="G58" s="5"/>
    </row>
    <row r="59" spans="1:7">
      <c r="A59" s="5"/>
      <c r="B59" s="70"/>
      <c r="C59" s="71"/>
      <c r="D59" s="71"/>
      <c r="E59" s="71"/>
      <c r="F59" s="72"/>
      <c r="G59" s="5"/>
    </row>
    <row r="60" spans="1:7">
      <c r="A60" s="5"/>
      <c r="B60" s="70"/>
      <c r="C60" s="71"/>
      <c r="D60" s="71"/>
      <c r="E60" s="71"/>
      <c r="F60" s="72"/>
      <c r="G60" s="5"/>
    </row>
    <row r="61" spans="1:7">
      <c r="A61" s="5"/>
      <c r="B61" s="70"/>
      <c r="C61" s="71"/>
      <c r="D61" s="71"/>
      <c r="E61" s="71"/>
      <c r="F61" s="72"/>
      <c r="G61" s="5"/>
    </row>
    <row r="62" spans="1:7">
      <c r="A62" s="5"/>
      <c r="B62" s="70"/>
      <c r="C62" s="71"/>
      <c r="D62" s="71"/>
      <c r="E62" s="71"/>
      <c r="F62" s="72"/>
      <c r="G62" s="5"/>
    </row>
    <row r="63" spans="1:7">
      <c r="A63" s="5"/>
      <c r="B63" s="70"/>
      <c r="C63" s="71"/>
      <c r="D63" s="71"/>
      <c r="E63" s="71"/>
      <c r="F63" s="72"/>
      <c r="G63" s="5"/>
    </row>
    <row r="64" spans="1:7">
      <c r="A64" s="5"/>
      <c r="B64" s="70"/>
      <c r="C64" s="71"/>
      <c r="D64" s="71"/>
      <c r="E64" s="71"/>
      <c r="F64" s="72"/>
      <c r="G64" s="5"/>
    </row>
    <row r="65" spans="1:7">
      <c r="A65" s="5"/>
      <c r="B65" s="70"/>
      <c r="C65" s="71"/>
      <c r="D65" s="71"/>
      <c r="E65" s="71"/>
      <c r="F65" s="72"/>
      <c r="G65" s="5"/>
    </row>
    <row r="66" spans="1:7">
      <c r="A66" s="5"/>
      <c r="B66" s="70"/>
      <c r="C66" s="71"/>
      <c r="D66" s="71"/>
      <c r="E66" s="71"/>
      <c r="F66" s="72"/>
      <c r="G66" s="5"/>
    </row>
    <row r="67" spans="1:7">
      <c r="A67" s="5"/>
      <c r="B67" s="70" t="s">
        <v>380</v>
      </c>
      <c r="C67" s="71"/>
      <c r="D67" s="71"/>
      <c r="E67" s="71"/>
      <c r="F67" s="72"/>
      <c r="G67" s="5"/>
    </row>
    <row r="68" spans="1:7" ht="15.6" thickBot="1">
      <c r="A68" s="5"/>
      <c r="B68" s="76"/>
      <c r="C68" s="77"/>
      <c r="D68" s="77"/>
      <c r="E68" s="77"/>
      <c r="F68" s="78"/>
      <c r="G68" s="5"/>
    </row>
    <row r="69" spans="1:7" ht="15.6" thickBot="1">
      <c r="A69" s="5"/>
      <c r="B69" s="65"/>
      <c r="C69" s="65"/>
      <c r="D69" s="65"/>
      <c r="E69" s="65"/>
      <c r="F69" s="65"/>
      <c r="G69" s="5"/>
    </row>
    <row r="70" spans="1:7" ht="35.4" thickBot="1">
      <c r="A70" s="5"/>
      <c r="B70" s="31" t="s">
        <v>406</v>
      </c>
      <c r="C70" s="32"/>
      <c r="D70" s="33"/>
      <c r="E70" s="33"/>
      <c r="F70" s="34"/>
      <c r="G70" s="5"/>
    </row>
    <row r="71" spans="1:7">
      <c r="A71" s="5"/>
      <c r="B71" s="67"/>
      <c r="C71" s="68"/>
      <c r="D71" s="68"/>
      <c r="E71" s="68"/>
      <c r="F71" s="69"/>
      <c r="G71" s="5"/>
    </row>
    <row r="72" spans="1:7">
      <c r="A72" s="5"/>
      <c r="B72" s="79" t="s">
        <v>407</v>
      </c>
      <c r="C72" s="71"/>
      <c r="D72" s="71"/>
      <c r="E72" s="71"/>
      <c r="F72" s="72"/>
      <c r="G72" s="5"/>
    </row>
    <row r="73" spans="1:7">
      <c r="A73" s="5"/>
      <c r="B73" s="70"/>
      <c r="C73" s="71"/>
      <c r="D73" s="71"/>
      <c r="E73" s="71"/>
      <c r="F73" s="72"/>
      <c r="G73" s="5"/>
    </row>
    <row r="74" spans="1:7">
      <c r="A74" s="5"/>
      <c r="B74" s="70" t="s">
        <v>408</v>
      </c>
      <c r="C74" s="71"/>
      <c r="D74" s="71"/>
      <c r="E74" s="71"/>
      <c r="F74" s="72"/>
      <c r="G74" s="5"/>
    </row>
    <row r="75" spans="1:7">
      <c r="A75" s="5"/>
      <c r="B75" s="70" t="s">
        <v>409</v>
      </c>
      <c r="C75" s="71"/>
      <c r="D75" s="71"/>
      <c r="E75" s="71"/>
      <c r="F75" s="72"/>
      <c r="G75" s="5"/>
    </row>
    <row r="76" spans="1:7">
      <c r="A76" s="5"/>
      <c r="B76" s="70"/>
      <c r="C76" s="71"/>
      <c r="D76" s="71"/>
      <c r="E76" s="71"/>
      <c r="F76" s="72"/>
      <c r="G76" s="5"/>
    </row>
    <row r="77" spans="1:7">
      <c r="A77" s="5"/>
      <c r="B77" s="70" t="s">
        <v>410</v>
      </c>
      <c r="C77" s="71"/>
      <c r="D77" s="71"/>
      <c r="E77" s="71"/>
      <c r="F77" s="72"/>
      <c r="G77" s="5"/>
    </row>
    <row r="78" spans="1:7">
      <c r="A78" s="5"/>
      <c r="B78" s="70"/>
      <c r="C78" s="71"/>
      <c r="D78" s="71"/>
      <c r="E78" s="71"/>
      <c r="F78" s="72"/>
      <c r="G78" s="5"/>
    </row>
    <row r="79" spans="1:7">
      <c r="A79" s="5"/>
      <c r="B79" s="80" t="s">
        <v>411</v>
      </c>
      <c r="C79" s="71"/>
      <c r="D79" s="71"/>
      <c r="E79" s="71"/>
      <c r="F79" s="72"/>
      <c r="G79" s="5"/>
    </row>
    <row r="80" spans="1:7">
      <c r="A80" s="5"/>
      <c r="B80" s="80" t="s">
        <v>412</v>
      </c>
      <c r="C80" s="71"/>
      <c r="D80" s="71"/>
      <c r="E80" s="71"/>
      <c r="F80" s="72"/>
      <c r="G80" s="5"/>
    </row>
    <row r="81" spans="1:7">
      <c r="A81" s="5"/>
      <c r="B81" s="70"/>
      <c r="C81" s="71"/>
      <c r="D81" s="71"/>
      <c r="E81" s="71"/>
      <c r="F81" s="72"/>
      <c r="G81" s="5"/>
    </row>
    <row r="82" spans="1:7">
      <c r="A82" s="5"/>
      <c r="B82" s="80" t="s">
        <v>413</v>
      </c>
      <c r="C82" s="71"/>
      <c r="D82" s="71"/>
      <c r="E82" s="71"/>
      <c r="F82" s="72"/>
      <c r="G82" s="5"/>
    </row>
    <row r="83" spans="1:7">
      <c r="A83" s="5"/>
      <c r="B83" s="80" t="s">
        <v>414</v>
      </c>
      <c r="C83" s="71"/>
      <c r="D83" s="71"/>
      <c r="E83" s="71"/>
      <c r="F83" s="72"/>
      <c r="G83" s="5"/>
    </row>
    <row r="84" spans="1:7">
      <c r="A84" s="5"/>
      <c r="B84" s="70"/>
      <c r="C84" s="71"/>
      <c r="D84" s="71"/>
      <c r="E84" s="71"/>
      <c r="F84" s="72"/>
      <c r="G84" s="5"/>
    </row>
    <row r="85" spans="1:7">
      <c r="A85" s="5"/>
      <c r="B85" s="80" t="s">
        <v>415</v>
      </c>
      <c r="C85" s="71"/>
      <c r="D85" s="71"/>
      <c r="E85" s="71"/>
      <c r="F85" s="72"/>
      <c r="G85" s="5"/>
    </row>
    <row r="86" spans="1:7">
      <c r="A86" s="5"/>
      <c r="B86" s="80" t="s">
        <v>416</v>
      </c>
      <c r="C86" s="71"/>
      <c r="D86" s="71"/>
      <c r="E86" s="71"/>
      <c r="F86" s="72"/>
      <c r="G86" s="5"/>
    </row>
    <row r="87" spans="1:7" ht="15.6" thickBot="1">
      <c r="A87" s="5"/>
      <c r="B87" s="81"/>
      <c r="C87" s="82"/>
      <c r="D87" s="82"/>
      <c r="E87" s="82"/>
      <c r="F87" s="83"/>
      <c r="G87" s="5"/>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121"/>
  <sheetViews>
    <sheetView showGridLines="0" showRowColHeaders="0" zoomScaleNormal="100" workbookViewId="0">
      <pane ySplit="2" topLeftCell="A3" activePane="bottomLeft" state="frozen"/>
      <selection activeCell="B3" sqref="B3"/>
      <selection pane="bottomLeft" activeCell="B3" sqref="B3:K3"/>
    </sheetView>
  </sheetViews>
  <sheetFormatPr defaultColWidth="0" defaultRowHeight="15" zeroHeight="1"/>
  <cols>
    <col min="1" max="1" width="5.08984375" style="23" customWidth="1"/>
    <col min="2" max="2" width="8.90625" style="23" customWidth="1"/>
    <col min="3" max="3" width="10.453125" style="23" customWidth="1"/>
    <col min="4" max="13" width="8.90625" style="23" customWidth="1"/>
    <col min="14" max="14" width="8.90625" style="23" hidden="1" customWidth="1"/>
    <col min="15" max="16384" width="8.90625" style="23" hidden="1"/>
  </cols>
  <sheetData>
    <row r="1" spans="1:13" ht="24" hidden="1" customHeight="1"/>
    <row r="2" spans="1:13" ht="17.399999999999999">
      <c r="A2" s="25"/>
      <c r="B2" s="113" t="s">
        <v>162</v>
      </c>
      <c r="C2" s="25"/>
      <c r="D2" s="25"/>
      <c r="E2" s="25"/>
      <c r="F2" s="25"/>
      <c r="G2" s="25"/>
      <c r="H2" s="25"/>
      <c r="I2" s="25"/>
      <c r="J2" s="25"/>
      <c r="K2" s="112" t="s">
        <v>473</v>
      </c>
      <c r="L2" s="25"/>
      <c r="M2" s="25"/>
    </row>
    <row r="3" spans="1:13" ht="62.25" customHeight="1">
      <c r="A3" s="88"/>
      <c r="B3" s="288" t="s">
        <v>450</v>
      </c>
      <c r="C3" s="288"/>
      <c r="D3" s="288"/>
      <c r="E3" s="288"/>
      <c r="F3" s="288"/>
      <c r="G3" s="288"/>
      <c r="H3" s="288"/>
      <c r="I3" s="288"/>
      <c r="J3" s="288"/>
      <c r="K3" s="288"/>
      <c r="L3" s="89"/>
      <c r="M3" s="90"/>
    </row>
    <row r="4" spans="1:13">
      <c r="B4" s="91" t="s">
        <v>205</v>
      </c>
      <c r="C4" s="91"/>
      <c r="D4" s="91"/>
      <c r="E4" s="91"/>
      <c r="F4" s="91"/>
      <c r="G4" s="91"/>
      <c r="H4" s="91"/>
      <c r="I4" s="91"/>
      <c r="J4" s="91"/>
      <c r="K4" s="91"/>
      <c r="L4" s="91"/>
      <c r="M4" s="91"/>
    </row>
    <row r="5" spans="1:13">
      <c r="B5" s="91" t="s">
        <v>208</v>
      </c>
      <c r="C5" s="91"/>
      <c r="D5" s="91"/>
      <c r="E5" s="91"/>
      <c r="F5" s="91"/>
      <c r="G5" s="91"/>
      <c r="H5" s="91"/>
      <c r="I5" s="91"/>
      <c r="J5" s="91"/>
      <c r="K5" s="91"/>
      <c r="L5" s="91"/>
      <c r="M5" s="91"/>
    </row>
    <row r="6" spans="1:13">
      <c r="B6" s="91" t="s">
        <v>207</v>
      </c>
      <c r="C6" s="91"/>
      <c r="D6" s="91"/>
      <c r="E6" s="91"/>
      <c r="F6" s="91"/>
      <c r="G6" s="91"/>
      <c r="H6" s="91"/>
      <c r="I6" s="91"/>
      <c r="J6" s="91"/>
      <c r="K6" s="91"/>
      <c r="L6" s="91"/>
      <c r="M6" s="91"/>
    </row>
    <row r="7" spans="1:13" ht="17.399999999999999">
      <c r="B7" s="92"/>
      <c r="C7" s="91"/>
      <c r="D7" s="91"/>
      <c r="E7" s="91"/>
      <c r="F7" s="91"/>
      <c r="G7" s="91"/>
      <c r="H7" s="91"/>
      <c r="I7" s="91"/>
      <c r="J7" s="91"/>
      <c r="K7" s="91"/>
      <c r="L7" s="91"/>
      <c r="M7" s="91"/>
    </row>
    <row r="8" spans="1:13" ht="15.6">
      <c r="B8" s="93" t="s">
        <v>206</v>
      </c>
      <c r="C8" s="94"/>
      <c r="D8" s="93" t="s">
        <v>198</v>
      </c>
      <c r="E8" s="94"/>
      <c r="F8" s="94"/>
      <c r="G8" s="94"/>
      <c r="H8" s="95"/>
      <c r="I8" s="95"/>
      <c r="J8" s="95"/>
      <c r="K8" s="95"/>
      <c r="L8" s="91"/>
      <c r="M8" s="91"/>
    </row>
    <row r="9" spans="1:13" ht="15.6">
      <c r="A9" s="96" t="s">
        <v>381</v>
      </c>
      <c r="B9" s="97" t="s">
        <v>377</v>
      </c>
      <c r="C9" s="98"/>
      <c r="D9" s="98" t="s">
        <v>385</v>
      </c>
      <c r="E9" s="98"/>
      <c r="F9" s="98"/>
      <c r="G9" s="98"/>
      <c r="H9" s="99"/>
      <c r="I9" s="99"/>
      <c r="J9" s="99"/>
      <c r="K9" s="99"/>
      <c r="L9" s="91"/>
      <c r="M9" s="91"/>
    </row>
    <row r="10" spans="1:13" ht="15.6">
      <c r="A10" s="96"/>
      <c r="B10" s="100" t="s">
        <v>378</v>
      </c>
      <c r="C10" s="101"/>
      <c r="D10" s="101" t="s">
        <v>209</v>
      </c>
      <c r="E10" s="101"/>
      <c r="F10" s="101"/>
      <c r="G10" s="101"/>
      <c r="H10" s="102"/>
      <c r="I10" s="102"/>
      <c r="J10" s="102"/>
      <c r="K10" s="102"/>
      <c r="L10" s="103"/>
      <c r="M10" s="91"/>
    </row>
    <row r="11" spans="1:13" ht="15.6">
      <c r="A11" s="96" t="s">
        <v>381</v>
      </c>
      <c r="B11" s="100" t="s">
        <v>323</v>
      </c>
      <c r="C11" s="101"/>
      <c r="D11" s="101" t="s">
        <v>384</v>
      </c>
      <c r="E11" s="101"/>
      <c r="F11" s="101"/>
      <c r="G11" s="101"/>
      <c r="H11" s="102"/>
      <c r="I11" s="102"/>
      <c r="J11" s="102"/>
      <c r="K11" s="102"/>
      <c r="L11" s="103"/>
      <c r="M11" s="91"/>
    </row>
    <row r="12" spans="1:13">
      <c r="B12" s="104" t="s">
        <v>216</v>
      </c>
      <c r="C12" s="105"/>
      <c r="D12" s="105" t="s">
        <v>199</v>
      </c>
      <c r="E12" s="105"/>
      <c r="F12" s="105"/>
      <c r="G12" s="105"/>
      <c r="H12" s="106"/>
      <c r="I12" s="106"/>
      <c r="J12" s="106"/>
      <c r="K12" s="106"/>
      <c r="L12" s="103"/>
      <c r="M12" s="91"/>
    </row>
    <row r="13" spans="1:13">
      <c r="B13" s="104" t="s">
        <v>191</v>
      </c>
      <c r="C13" s="105"/>
      <c r="D13" s="105" t="s">
        <v>210</v>
      </c>
      <c r="E13" s="105"/>
      <c r="F13" s="105"/>
      <c r="G13" s="105"/>
      <c r="H13" s="106"/>
      <c r="I13" s="106"/>
      <c r="J13" s="106"/>
      <c r="K13" s="106"/>
      <c r="L13" s="103"/>
      <c r="M13" s="91"/>
    </row>
    <row r="14" spans="1:13">
      <c r="B14" s="104" t="s">
        <v>192</v>
      </c>
      <c r="C14" s="105"/>
      <c r="D14" s="105" t="s">
        <v>211</v>
      </c>
      <c r="E14" s="105"/>
      <c r="F14" s="105"/>
      <c r="G14" s="105"/>
      <c r="H14" s="106"/>
      <c r="I14" s="106"/>
      <c r="J14" s="106"/>
      <c r="K14" s="106"/>
      <c r="L14" s="103"/>
      <c r="M14" s="91"/>
    </row>
    <row r="15" spans="1:13">
      <c r="B15" s="104" t="s">
        <v>193</v>
      </c>
      <c r="C15" s="105"/>
      <c r="D15" s="105" t="s">
        <v>212</v>
      </c>
      <c r="E15" s="105"/>
      <c r="F15" s="105"/>
      <c r="G15" s="105"/>
      <c r="H15" s="106"/>
      <c r="I15" s="106"/>
      <c r="J15" s="106"/>
      <c r="K15" s="106"/>
      <c r="L15" s="103"/>
      <c r="M15" s="91"/>
    </row>
    <row r="16" spans="1:13">
      <c r="B16" s="104" t="s">
        <v>194</v>
      </c>
      <c r="C16" s="105"/>
      <c r="D16" s="105" t="s">
        <v>200</v>
      </c>
      <c r="E16" s="105"/>
      <c r="F16" s="105"/>
      <c r="G16" s="105"/>
      <c r="H16" s="106"/>
      <c r="I16" s="106"/>
      <c r="J16" s="106"/>
      <c r="K16" s="106"/>
      <c r="L16" s="103"/>
      <c r="M16" s="91"/>
    </row>
    <row r="17" spans="1:13">
      <c r="B17" s="104" t="s">
        <v>195</v>
      </c>
      <c r="C17" s="105"/>
      <c r="D17" s="105" t="s">
        <v>219</v>
      </c>
      <c r="E17" s="105"/>
      <c r="F17" s="105"/>
      <c r="G17" s="105"/>
      <c r="H17" s="106"/>
      <c r="I17" s="106"/>
      <c r="J17" s="106"/>
      <c r="K17" s="106"/>
      <c r="L17" s="103"/>
      <c r="M17" s="91"/>
    </row>
    <row r="18" spans="1:13">
      <c r="B18" s="104" t="s">
        <v>197</v>
      </c>
      <c r="C18" s="105"/>
      <c r="D18" s="105" t="s">
        <v>272</v>
      </c>
      <c r="E18" s="105"/>
      <c r="F18" s="105"/>
      <c r="G18" s="105"/>
      <c r="H18" s="106"/>
      <c r="I18" s="106"/>
      <c r="J18" s="106"/>
      <c r="K18" s="106"/>
      <c r="L18" s="103"/>
      <c r="M18" s="91"/>
    </row>
    <row r="19" spans="1:13">
      <c r="B19" s="104" t="s">
        <v>107</v>
      </c>
      <c r="C19" s="105"/>
      <c r="D19" s="105" t="s">
        <v>201</v>
      </c>
      <c r="E19" s="105"/>
      <c r="F19" s="105"/>
      <c r="G19" s="105"/>
      <c r="H19" s="106"/>
      <c r="I19" s="106"/>
      <c r="J19" s="106"/>
      <c r="K19" s="106"/>
      <c r="L19" s="103"/>
      <c r="M19" s="91"/>
    </row>
    <row r="20" spans="1:13">
      <c r="B20" s="104" t="s">
        <v>109</v>
      </c>
      <c r="C20" s="105"/>
      <c r="D20" s="105" t="s">
        <v>202</v>
      </c>
      <c r="E20" s="105"/>
      <c r="F20" s="105"/>
      <c r="G20" s="105"/>
      <c r="H20" s="106"/>
      <c r="I20" s="106"/>
      <c r="J20" s="106"/>
      <c r="K20" s="106"/>
      <c r="L20" s="103"/>
      <c r="M20" s="91"/>
    </row>
    <row r="21" spans="1:13">
      <c r="B21" s="104" t="s">
        <v>112</v>
      </c>
      <c r="C21" s="105"/>
      <c r="D21" s="105" t="s">
        <v>203</v>
      </c>
      <c r="E21" s="105"/>
      <c r="F21" s="105"/>
      <c r="G21" s="105"/>
      <c r="H21" s="106"/>
      <c r="I21" s="106"/>
      <c r="J21" s="106"/>
      <c r="K21" s="106"/>
      <c r="L21" s="103"/>
      <c r="M21" s="91"/>
    </row>
    <row r="22" spans="1:13">
      <c r="B22" s="104" t="s">
        <v>21</v>
      </c>
      <c r="C22" s="105"/>
      <c r="D22" s="105" t="s">
        <v>204</v>
      </c>
      <c r="E22" s="105"/>
      <c r="F22" s="105"/>
      <c r="G22" s="105"/>
      <c r="H22" s="106"/>
      <c r="I22" s="106"/>
      <c r="J22" s="106"/>
      <c r="K22" s="106"/>
      <c r="L22" s="103"/>
      <c r="M22" s="91"/>
    </row>
    <row r="23" spans="1:13">
      <c r="B23" s="107" t="s">
        <v>196</v>
      </c>
      <c r="C23" s="108"/>
      <c r="D23" s="286" t="s">
        <v>217</v>
      </c>
      <c r="E23" s="286"/>
      <c r="F23" s="286"/>
      <c r="G23" s="286"/>
      <c r="H23" s="286"/>
      <c r="I23" s="286"/>
      <c r="J23" s="286"/>
      <c r="K23" s="286"/>
      <c r="L23" s="103"/>
      <c r="M23" s="91"/>
    </row>
    <row r="24" spans="1:13" ht="37.5" customHeight="1">
      <c r="B24" s="92"/>
      <c r="C24" s="91"/>
      <c r="D24" s="287"/>
      <c r="E24" s="287"/>
      <c r="F24" s="287"/>
      <c r="G24" s="287"/>
      <c r="H24" s="287"/>
      <c r="I24" s="287"/>
      <c r="J24" s="287"/>
      <c r="K24" s="287"/>
      <c r="L24" s="91"/>
      <c r="M24" s="91"/>
    </row>
    <row r="25" spans="1:13" ht="4.5" customHeight="1"/>
    <row r="26" spans="1:13" ht="15.6">
      <c r="B26" s="109" t="s">
        <v>163</v>
      </c>
    </row>
    <row r="27" spans="1:13" ht="36.75" customHeight="1">
      <c r="B27" s="285" t="s">
        <v>451</v>
      </c>
      <c r="C27" s="285"/>
      <c r="D27" s="285"/>
      <c r="E27" s="285"/>
      <c r="F27" s="285"/>
      <c r="G27" s="285"/>
      <c r="H27" s="285"/>
      <c r="I27" s="285"/>
      <c r="J27" s="285"/>
      <c r="K27" s="285"/>
      <c r="L27" s="285"/>
      <c r="M27" s="285"/>
    </row>
    <row r="28" spans="1:13">
      <c r="B28" s="23" t="s">
        <v>190</v>
      </c>
    </row>
    <row r="29" spans="1:13" ht="6.75" customHeight="1"/>
    <row r="30" spans="1:13" ht="15.6">
      <c r="A30" s="25"/>
      <c r="B30" s="112" t="s">
        <v>164</v>
      </c>
      <c r="C30" s="25"/>
      <c r="D30" s="25"/>
      <c r="E30" s="25"/>
      <c r="F30" s="25"/>
      <c r="G30" s="25"/>
      <c r="H30" s="25"/>
      <c r="I30" s="25"/>
      <c r="J30" s="25"/>
      <c r="K30" s="25"/>
      <c r="L30" s="25"/>
      <c r="M30" s="25"/>
    </row>
    <row r="31" spans="1:13">
      <c r="B31" s="23" t="s">
        <v>165</v>
      </c>
    </row>
    <row r="32" spans="1:13">
      <c r="B32" s="23" t="s">
        <v>166</v>
      </c>
    </row>
    <row r="33" spans="1:2" ht="22.5" customHeight="1">
      <c r="B33" s="109" t="s">
        <v>167</v>
      </c>
    </row>
    <row r="34" spans="1:2">
      <c r="A34" s="23">
        <v>1</v>
      </c>
      <c r="B34" s="23" t="s">
        <v>168</v>
      </c>
    </row>
    <row r="35" spans="1:2">
      <c r="A35" s="23">
        <v>2</v>
      </c>
      <c r="B35" s="23" t="s">
        <v>169</v>
      </c>
    </row>
    <row r="36" spans="1:2">
      <c r="A36" s="23">
        <v>3</v>
      </c>
      <c r="B36" s="23" t="s">
        <v>170</v>
      </c>
    </row>
    <row r="37" spans="1:2">
      <c r="A37" s="23">
        <v>4</v>
      </c>
      <c r="B37" s="23" t="s">
        <v>171</v>
      </c>
    </row>
    <row r="38" spans="1:2">
      <c r="A38" s="23">
        <v>5</v>
      </c>
      <c r="B38" s="23" t="s">
        <v>172</v>
      </c>
    </row>
    <row r="39" spans="1:2">
      <c r="A39" s="23">
        <v>6</v>
      </c>
      <c r="B39" s="23" t="s">
        <v>182</v>
      </c>
    </row>
    <row r="40" spans="1:2"/>
    <row r="41" spans="1:2"/>
    <row r="42" spans="1:2"/>
    <row r="43" spans="1:2"/>
    <row r="44" spans="1:2"/>
    <row r="45" spans="1:2"/>
    <row r="46" spans="1:2"/>
    <row r="47" spans="1:2"/>
    <row r="48" spans="1:2"/>
    <row r="49" spans="1:13"/>
    <row r="50" spans="1:13"/>
    <row r="51" spans="1:13"/>
    <row r="52" spans="1:13" ht="15.6">
      <c r="A52" s="65"/>
      <c r="B52" s="110" t="s">
        <v>174</v>
      </c>
      <c r="C52" s="65"/>
      <c r="D52" s="65"/>
      <c r="E52" s="65"/>
      <c r="F52" s="65"/>
      <c r="G52" s="65"/>
      <c r="H52" s="65"/>
      <c r="I52" s="65"/>
      <c r="J52" s="65"/>
      <c r="K52" s="65"/>
      <c r="L52" s="65"/>
      <c r="M52" s="65"/>
    </row>
    <row r="53" spans="1:13">
      <c r="B53" s="23" t="s">
        <v>173</v>
      </c>
    </row>
    <row r="54" spans="1:13">
      <c r="B54" s="23" t="s">
        <v>175</v>
      </c>
    </row>
    <row r="55" spans="1:13"/>
    <row r="56" spans="1:13" ht="15.6">
      <c r="B56" s="109" t="s">
        <v>176</v>
      </c>
    </row>
    <row r="57" spans="1:13">
      <c r="A57" s="23">
        <v>1</v>
      </c>
      <c r="B57" s="23" t="s">
        <v>177</v>
      </c>
    </row>
    <row r="58" spans="1:13">
      <c r="A58" s="23">
        <v>2</v>
      </c>
      <c r="B58" s="23" t="s">
        <v>178</v>
      </c>
    </row>
    <row r="59" spans="1:13">
      <c r="A59" s="23">
        <v>3</v>
      </c>
      <c r="B59" s="23" t="s">
        <v>179</v>
      </c>
    </row>
    <row r="60" spans="1:13">
      <c r="A60" s="23">
        <v>4</v>
      </c>
      <c r="B60" s="23" t="s">
        <v>180</v>
      </c>
    </row>
    <row r="61" spans="1:13">
      <c r="A61" s="23">
        <v>5</v>
      </c>
      <c r="B61" s="23" t="s">
        <v>181</v>
      </c>
    </row>
    <row r="62" spans="1:13"/>
    <row r="63" spans="1:13"/>
    <row r="64" spans="1:13"/>
    <row r="65" spans="1:13"/>
    <row r="66" spans="1:13"/>
    <row r="67" spans="1:13"/>
    <row r="68" spans="1:13"/>
    <row r="69" spans="1:13"/>
    <row r="70" spans="1:13"/>
    <row r="71" spans="1:13"/>
    <row r="72" spans="1:13"/>
    <row r="73" spans="1:13"/>
    <row r="74" spans="1:13"/>
    <row r="75" spans="1:13"/>
    <row r="76" spans="1:13" ht="60.75" customHeight="1">
      <c r="B76" s="285" t="s">
        <v>452</v>
      </c>
      <c r="C76" s="285"/>
      <c r="D76" s="285"/>
      <c r="E76" s="285"/>
      <c r="F76" s="285"/>
      <c r="G76" s="285"/>
      <c r="H76" s="285"/>
      <c r="I76" s="285"/>
      <c r="J76" s="285"/>
      <c r="K76" s="285"/>
      <c r="L76" s="285"/>
    </row>
    <row r="77" spans="1:13"/>
    <row r="78" spans="1:13"/>
    <row r="79" spans="1:13"/>
    <row r="80" spans="1:13" ht="15.6">
      <c r="A80" s="25"/>
      <c r="B80" s="112" t="s">
        <v>183</v>
      </c>
      <c r="C80" s="25"/>
      <c r="D80" s="25"/>
      <c r="E80" s="25"/>
      <c r="F80" s="25"/>
      <c r="G80" s="25"/>
      <c r="H80" s="25"/>
      <c r="I80" s="25"/>
      <c r="J80" s="25"/>
      <c r="K80" s="25"/>
      <c r="L80" s="25"/>
      <c r="M80" s="25"/>
    </row>
    <row r="81" spans="1:2">
      <c r="B81" s="23" t="s">
        <v>187</v>
      </c>
    </row>
    <row r="82" spans="1:2">
      <c r="B82" s="23" t="s">
        <v>184</v>
      </c>
    </row>
    <row r="83" spans="1:2"/>
    <row r="84" spans="1:2" ht="15.6">
      <c r="B84" s="109" t="s">
        <v>185</v>
      </c>
    </row>
    <row r="85" spans="1:2">
      <c r="A85" s="23">
        <v>1</v>
      </c>
      <c r="B85" s="23" t="s">
        <v>186</v>
      </c>
    </row>
    <row r="86" spans="1:2">
      <c r="A86" s="23">
        <v>2</v>
      </c>
      <c r="B86" s="23" t="s">
        <v>189</v>
      </c>
    </row>
    <row r="87" spans="1:2">
      <c r="A87" s="23">
        <v>3</v>
      </c>
      <c r="B87" s="23" t="s">
        <v>188</v>
      </c>
    </row>
    <row r="88" spans="1:2">
      <c r="A88" s="23">
        <v>4</v>
      </c>
      <c r="B88" s="23" t="s">
        <v>172</v>
      </c>
    </row>
    <row r="89" spans="1:2">
      <c r="A89" s="23">
        <v>5</v>
      </c>
      <c r="B89" s="23" t="s">
        <v>181</v>
      </c>
    </row>
    <row r="90" spans="1:2"/>
    <row r="91" spans="1:2"/>
    <row r="92" spans="1:2"/>
    <row r="93" spans="1:2"/>
    <row r="94" spans="1:2"/>
    <row r="95" spans="1:2"/>
    <row r="96" spans="1:2"/>
    <row r="97" spans="1:13"/>
    <row r="98" spans="1:13"/>
    <row r="99" spans="1:13"/>
    <row r="100" spans="1:13"/>
    <row r="101" spans="1:13" ht="43.5" customHeight="1"/>
    <row r="102" spans="1:13" ht="15.6">
      <c r="A102" s="25"/>
      <c r="B102" s="112" t="s">
        <v>240</v>
      </c>
      <c r="C102" s="25"/>
      <c r="D102" s="25"/>
      <c r="E102" s="25"/>
      <c r="F102" s="25"/>
      <c r="G102" s="25"/>
      <c r="H102" s="25"/>
      <c r="I102" s="25"/>
      <c r="J102" s="25"/>
      <c r="K102" s="25"/>
      <c r="L102" s="25"/>
      <c r="M102" s="25"/>
    </row>
    <row r="103" spans="1:13" ht="15.6">
      <c r="B103" s="23" t="s">
        <v>241</v>
      </c>
      <c r="D103" s="109"/>
    </row>
    <row r="104" spans="1:13">
      <c r="B104" s="23" t="s">
        <v>242</v>
      </c>
    </row>
    <row r="105" spans="1:13">
      <c r="B105" s="23" t="s">
        <v>246</v>
      </c>
      <c r="D105" s="23" t="s">
        <v>243</v>
      </c>
    </row>
    <row r="106" spans="1:13">
      <c r="B106" s="23" t="s">
        <v>247</v>
      </c>
      <c r="D106" s="23" t="s">
        <v>244</v>
      </c>
    </row>
    <row r="107" spans="1:13">
      <c r="D107" s="23" t="s">
        <v>245</v>
      </c>
    </row>
    <row r="108" spans="1:13"/>
    <row r="109" spans="1:13">
      <c r="B109" s="23" t="s">
        <v>248</v>
      </c>
    </row>
    <row r="110" spans="1:13"/>
    <row r="111" spans="1:13" ht="15.6">
      <c r="A111" s="25"/>
      <c r="B111" s="112" t="s">
        <v>249</v>
      </c>
      <c r="C111" s="25"/>
      <c r="D111" s="25"/>
      <c r="E111" s="25"/>
      <c r="F111" s="25"/>
      <c r="G111" s="25"/>
      <c r="H111" s="25"/>
      <c r="I111" s="25"/>
      <c r="J111" s="25"/>
      <c r="K111" s="25"/>
      <c r="L111" s="25"/>
      <c r="M111" s="25"/>
    </row>
    <row r="112" spans="1:13">
      <c r="B112" s="23" t="s">
        <v>250</v>
      </c>
    </row>
    <row r="113" spans="2:12">
      <c r="B113" s="23" t="s">
        <v>251</v>
      </c>
    </row>
    <row r="114" spans="2:12">
      <c r="B114" s="23" t="s">
        <v>252</v>
      </c>
    </row>
    <row r="115" spans="2:12"/>
    <row r="116" spans="2:12"/>
    <row r="117" spans="2:12"/>
    <row r="118" spans="2:12"/>
    <row r="119" spans="2:12"/>
    <row r="120" spans="2:12"/>
    <row r="121" spans="2:12">
      <c r="L121" s="111" t="s">
        <v>218</v>
      </c>
    </row>
  </sheetData>
  <mergeCells count="4">
    <mergeCell ref="B27:M27"/>
    <mergeCell ref="D23:K24"/>
    <mergeCell ref="B76:L76"/>
    <mergeCell ref="B3:K3"/>
  </mergeCells>
  <hyperlinks>
    <hyperlink ref="B10" location="'Enter Parameters'!A1" display="Enter Parameters"/>
    <hyperlink ref="B12" location="Dashboard!A1" display="Dashboard"/>
    <hyperlink ref="B13" location="'AIC1'!A1" display="AIC1"/>
    <hyperlink ref="B14" location="'AIC2'!A1" display="AIC2"/>
    <hyperlink ref="B15" location="'AIC3'!A1" display="AIC3"/>
    <hyperlink ref="B16" location="'Enquiry - Gateway'!A1" display="Enquiry - Gateway"/>
    <hyperlink ref="B17" location="Contacts!A1" display="Contacts"/>
    <hyperlink ref="B18" location="Client_Profile!A1" display="Client Profile"/>
    <hyperlink ref="B19" location="Ebefs!A1" display="Ebefs"/>
    <hyperlink ref="B20" location="LA!A1" display="LA"/>
    <hyperlink ref="B21" location="Constituency!A1" display="Constituency"/>
    <hyperlink ref="B22" location="Funder!A1" display="Funder"/>
    <hyperlink ref="B23" location="Outcomes!A1" display="Outcomes"/>
    <hyperlink ref="L121" location="Instructions!C3" display="Back to top"/>
    <hyperlink ref="B11" location="'Parameter Summary'!A1" display="Parameter Summary"/>
    <hyperlink ref="B9" location="'Understanding the data'!A1" display="Understanding the data"/>
  </hyperlinks>
  <pageMargins left="0.70866141732283472" right="0.70866141732283472" top="0.74803149606299213" bottom="0.74803149606299213" header="0.31496062992125984" footer="0.31496062992125984"/>
  <pageSetup paperSize="9" scale="59" fitToHeight="2" orientation="landscape" r:id="rId1"/>
  <headerFooter>
    <oddHeader>&amp;RPage &amp;P&amp;C&amp;A</oddHeader>
    <oddFooter>&amp;CPage &amp;P of &amp;N</oddFooter>
  </headerFooter>
  <rowBreaks count="1" manualBreakCount="1">
    <brk id="5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X50"/>
  <sheetViews>
    <sheetView showGridLines="0" showRowColHeaders="0" topLeftCell="A3" zoomScaleNormal="100" workbookViewId="0">
      <selection activeCell="D17" sqref="D17"/>
    </sheetView>
  </sheetViews>
  <sheetFormatPr defaultColWidth="0" defaultRowHeight="15" zeroHeight="1" outlineLevelCol="1"/>
  <cols>
    <col min="1" max="1" width="1.81640625" style="23" customWidth="1"/>
    <col min="2" max="2" width="52.453125" style="23" customWidth="1"/>
    <col min="3" max="3" width="40.453125" style="23" bestFit="1" customWidth="1"/>
    <col min="4" max="4" width="24.453125" style="23" customWidth="1"/>
    <col min="5" max="6" width="8.90625" style="23" hidden="1" customWidth="1"/>
    <col min="7" max="12" width="2.90625" style="23" hidden="1" customWidth="1"/>
    <col min="13" max="13" width="5.90625" style="23" hidden="1" customWidth="1" outlineLevel="1"/>
    <col min="14" max="14" width="38" style="23" hidden="1" customWidth="1" outlineLevel="1"/>
    <col min="15" max="15" width="14" style="23" hidden="1" customWidth="1" outlineLevel="1"/>
    <col min="16" max="16" width="10.54296875" style="23" hidden="1" customWidth="1" outlineLevel="1"/>
    <col min="17" max="17" width="10.81640625" style="23" bestFit="1" customWidth="1" collapsed="1"/>
    <col min="18" max="18" width="2" style="23" customWidth="1"/>
    <col min="19" max="16384" width="8.90625" style="23" hidden="1"/>
  </cols>
  <sheetData>
    <row r="1" spans="1:18" hidden="1">
      <c r="A1" s="23" t="s">
        <v>456</v>
      </c>
    </row>
    <row r="2" spans="1:18" hidden="1"/>
    <row r="3" spans="1:18" ht="27.75" customHeight="1">
      <c r="A3" s="114"/>
      <c r="B3" s="114"/>
      <c r="C3" s="114"/>
      <c r="D3" s="114"/>
      <c r="E3" s="114"/>
      <c r="F3" s="114"/>
      <c r="G3" s="114"/>
      <c r="H3" s="114"/>
      <c r="I3" s="114"/>
      <c r="J3" s="114"/>
      <c r="K3" s="114"/>
      <c r="L3" s="114"/>
      <c r="M3" s="114"/>
      <c r="N3" s="114"/>
      <c r="O3" s="114"/>
      <c r="P3" s="114"/>
      <c r="Q3" s="115"/>
      <c r="R3" s="114"/>
    </row>
    <row r="4" spans="1:18" ht="45">
      <c r="A4" s="114"/>
      <c r="B4" s="116" t="s">
        <v>391</v>
      </c>
      <c r="C4" s="114"/>
      <c r="D4" s="114"/>
      <c r="E4" s="114"/>
      <c r="F4" s="114"/>
      <c r="G4" s="114"/>
      <c r="H4" s="114"/>
      <c r="I4" s="114"/>
      <c r="J4" s="114"/>
      <c r="K4" s="114"/>
      <c r="L4" s="114"/>
      <c r="M4" s="114"/>
      <c r="N4" s="114"/>
      <c r="O4" s="114"/>
      <c r="P4" s="114"/>
      <c r="Q4" s="117" t="s">
        <v>330</v>
      </c>
      <c r="R4" s="114"/>
    </row>
    <row r="5" spans="1:18" ht="9.75" customHeight="1">
      <c r="A5" s="114"/>
      <c r="B5" s="116"/>
      <c r="C5" s="114"/>
      <c r="D5" s="114"/>
      <c r="E5" s="114"/>
      <c r="F5" s="114"/>
      <c r="G5" s="114"/>
      <c r="H5" s="114"/>
      <c r="I5" s="114"/>
      <c r="J5" s="114"/>
      <c r="K5" s="114"/>
      <c r="L5" s="114"/>
      <c r="M5" s="114"/>
      <c r="N5" s="114"/>
      <c r="O5" s="114"/>
      <c r="P5" s="114"/>
      <c r="Q5" s="114"/>
      <c r="R5" s="114"/>
    </row>
    <row r="6" spans="1:18">
      <c r="A6" s="114"/>
      <c r="B6" s="114" t="s">
        <v>392</v>
      </c>
      <c r="C6" s="114"/>
      <c r="D6" s="114"/>
      <c r="E6" s="114"/>
      <c r="F6" s="114"/>
      <c r="G6" s="114"/>
      <c r="H6" s="114"/>
      <c r="I6" s="114"/>
      <c r="J6" s="114"/>
      <c r="K6" s="114"/>
      <c r="L6" s="114"/>
      <c r="M6" s="114"/>
      <c r="N6" s="114"/>
      <c r="O6" s="114"/>
      <c r="P6" s="114"/>
      <c r="Q6" s="114"/>
      <c r="R6" s="114"/>
    </row>
    <row r="7" spans="1:18" hidden="1">
      <c r="A7" s="114"/>
      <c r="B7" s="114"/>
      <c r="C7" s="114"/>
      <c r="D7" s="114"/>
      <c r="E7" s="114"/>
      <c r="F7" s="114"/>
      <c r="G7" s="114"/>
      <c r="H7" s="114"/>
      <c r="I7" s="114"/>
      <c r="J7" s="114"/>
      <c r="K7" s="114"/>
      <c r="L7" s="114"/>
      <c r="M7" s="114"/>
      <c r="N7" s="114"/>
      <c r="O7" s="114"/>
      <c r="P7" s="114"/>
      <c r="Q7" s="114"/>
      <c r="R7" s="114"/>
    </row>
    <row r="8" spans="1:18" hidden="1">
      <c r="A8" s="71"/>
      <c r="B8" s="71"/>
      <c r="C8" s="71"/>
      <c r="E8" s="71"/>
      <c r="F8" s="71"/>
      <c r="G8" s="71"/>
      <c r="H8" s="71"/>
      <c r="I8" s="71"/>
      <c r="J8" s="71"/>
      <c r="K8" s="71"/>
      <c r="L8" s="71"/>
      <c r="M8" s="71"/>
      <c r="N8" s="71"/>
      <c r="O8" s="71"/>
      <c r="P8" s="71"/>
      <c r="Q8" s="71"/>
    </row>
    <row r="9" spans="1:18" hidden="1">
      <c r="A9" s="71"/>
      <c r="B9" s="71"/>
      <c r="C9" s="71"/>
      <c r="D9" s="71"/>
      <c r="E9" s="71"/>
      <c r="F9" s="71"/>
      <c r="G9" s="71"/>
      <c r="H9" s="71"/>
      <c r="I9" s="71"/>
      <c r="J9" s="71"/>
      <c r="K9" s="71"/>
      <c r="L9" s="71"/>
      <c r="M9" s="71"/>
      <c r="N9" s="71"/>
      <c r="O9" s="71"/>
      <c r="P9" s="71"/>
      <c r="Q9" s="71"/>
    </row>
    <row r="10" spans="1:18" hidden="1">
      <c r="A10" s="71"/>
      <c r="B10" s="71"/>
      <c r="C10" s="71"/>
      <c r="D10" s="71"/>
      <c r="E10" s="71"/>
      <c r="F10" s="71"/>
      <c r="G10" s="71"/>
      <c r="H10" s="71"/>
      <c r="I10" s="71"/>
      <c r="J10" s="71"/>
      <c r="K10" s="71"/>
      <c r="L10" s="71"/>
      <c r="M10" s="71"/>
      <c r="N10" s="71"/>
      <c r="O10" s="71"/>
      <c r="P10" s="71"/>
      <c r="Q10" s="71"/>
    </row>
    <row r="11" spans="1:18" ht="8.25" hidden="1" customHeight="1">
      <c r="A11" s="71"/>
      <c r="B11" s="71"/>
      <c r="C11" s="71"/>
      <c r="D11" s="71"/>
      <c r="E11" s="71"/>
      <c r="F11" s="71"/>
      <c r="G11" s="71"/>
      <c r="H11" s="71"/>
      <c r="I11" s="71"/>
      <c r="J11" s="71"/>
      <c r="K11" s="71"/>
      <c r="L11" s="71"/>
      <c r="M11" s="71"/>
      <c r="N11" s="71"/>
      <c r="O11" s="71"/>
      <c r="P11" s="71"/>
      <c r="Q11" s="71"/>
    </row>
    <row r="12" spans="1:18" hidden="1">
      <c r="A12" s="71"/>
      <c r="B12" s="71"/>
      <c r="C12" s="71"/>
      <c r="D12" s="71"/>
      <c r="E12" s="71"/>
      <c r="F12" s="71"/>
      <c r="G12" s="71"/>
      <c r="H12" s="71"/>
      <c r="I12" s="71"/>
      <c r="J12" s="71"/>
      <c r="K12" s="71"/>
      <c r="L12" s="71"/>
      <c r="M12" s="71"/>
      <c r="N12" s="71"/>
      <c r="O12" s="71"/>
      <c r="P12" s="71"/>
      <c r="Q12" s="71"/>
    </row>
    <row r="13" spans="1:18" hidden="1">
      <c r="A13" s="71"/>
      <c r="B13" s="71"/>
      <c r="C13" s="71"/>
      <c r="D13" s="71"/>
      <c r="E13" s="71"/>
      <c r="F13" s="71"/>
      <c r="G13" s="71"/>
      <c r="H13" s="71"/>
      <c r="I13" s="71"/>
      <c r="J13" s="71"/>
      <c r="K13" s="71"/>
      <c r="L13" s="71"/>
      <c r="M13" s="71"/>
      <c r="N13" s="71"/>
      <c r="O13" s="71"/>
      <c r="P13" s="71"/>
      <c r="Q13" s="71"/>
    </row>
    <row r="14" spans="1:18" hidden="1">
      <c r="A14" s="71"/>
      <c r="B14" s="71"/>
      <c r="C14" s="71"/>
      <c r="D14" s="71"/>
      <c r="E14" s="71"/>
      <c r="F14" s="71"/>
      <c r="G14" s="71"/>
      <c r="H14" s="71"/>
      <c r="I14" s="71"/>
      <c r="J14" s="71"/>
      <c r="K14" s="71"/>
      <c r="L14" s="71"/>
      <c r="M14" s="71"/>
      <c r="N14" s="71"/>
      <c r="O14" s="71"/>
      <c r="P14" s="71"/>
      <c r="Q14" s="71"/>
    </row>
    <row r="15" spans="1:18" ht="12.75" hidden="1" customHeight="1">
      <c r="A15" s="71"/>
      <c r="B15" s="71"/>
      <c r="C15" s="71"/>
      <c r="D15" s="71"/>
      <c r="E15" s="71"/>
      <c r="F15" s="71"/>
      <c r="G15" s="71"/>
      <c r="H15" s="71"/>
      <c r="I15" s="71"/>
      <c r="J15" s="71"/>
      <c r="K15" s="71"/>
      <c r="L15" s="71"/>
      <c r="M15" s="71"/>
      <c r="O15" s="71"/>
      <c r="P15" s="71"/>
      <c r="Q15" s="71"/>
    </row>
    <row r="16" spans="1:18" ht="15.6">
      <c r="A16" s="71"/>
      <c r="B16" s="71"/>
      <c r="C16" s="71"/>
      <c r="D16" s="71"/>
      <c r="E16" s="71"/>
      <c r="F16" s="71"/>
      <c r="G16" s="71"/>
      <c r="H16" s="71"/>
      <c r="I16" s="71"/>
      <c r="J16" s="71"/>
      <c r="K16" s="71"/>
      <c r="L16" s="71"/>
      <c r="M16" s="71"/>
      <c r="N16" s="118" t="s">
        <v>336</v>
      </c>
      <c r="O16" s="71"/>
      <c r="P16" s="71"/>
      <c r="Q16" s="71"/>
    </row>
    <row r="17" spans="1:24" ht="21">
      <c r="A17" s="71"/>
      <c r="B17" s="124" t="s">
        <v>453</v>
      </c>
      <c r="C17" s="247" t="s">
        <v>144</v>
      </c>
      <c r="D17" s="247" t="s" vm="959">
        <v>516</v>
      </c>
      <c r="E17" s="71"/>
      <c r="F17" s="71"/>
      <c r="G17" s="71"/>
      <c r="H17" s="71"/>
      <c r="I17" s="71"/>
      <c r="J17" s="71"/>
      <c r="K17" s="71"/>
      <c r="L17" s="71"/>
      <c r="M17" s="71" t="s">
        <v>332</v>
      </c>
      <c r="N17" s="71" t="s">
        <v>331</v>
      </c>
      <c r="O17" s="71"/>
      <c r="P17" s="71"/>
      <c r="Q17" s="71"/>
    </row>
    <row r="18" spans="1:24" ht="20.399999999999999">
      <c r="A18" s="71"/>
      <c r="B18" s="124"/>
      <c r="C18" s="248" t="s">
        <v>460</v>
      </c>
      <c r="D18" s="247" t="s" vm="949">
        <v>405</v>
      </c>
      <c r="E18" s="71"/>
      <c r="F18" s="71"/>
      <c r="G18" s="71"/>
      <c r="H18" s="71"/>
      <c r="I18" s="71"/>
      <c r="J18" s="71"/>
      <c r="K18" s="71"/>
      <c r="L18" s="71"/>
      <c r="M18" s="71" t="s">
        <v>332</v>
      </c>
      <c r="N18" s="71" t="s">
        <v>334</v>
      </c>
      <c r="O18" s="71"/>
      <c r="P18" s="71"/>
      <c r="Q18" s="71"/>
    </row>
    <row r="19" spans="1:24" ht="20.399999999999999">
      <c r="A19" s="71"/>
      <c r="B19" s="124"/>
      <c r="C19" s="247" t="s">
        <v>21</v>
      </c>
      <c r="D19" s="247" t="s" vm="941">
        <v>1</v>
      </c>
      <c r="E19" s="71"/>
      <c r="F19" s="71"/>
      <c r="G19" s="71"/>
      <c r="H19" s="71"/>
      <c r="I19" s="71"/>
      <c r="J19" s="71"/>
      <c r="K19" s="71"/>
      <c r="L19" s="71"/>
      <c r="M19" s="71" t="s">
        <v>332</v>
      </c>
      <c r="N19" s="71" t="s">
        <v>335</v>
      </c>
      <c r="O19" s="71"/>
      <c r="P19" s="71"/>
      <c r="Q19" s="71"/>
    </row>
    <row r="20" spans="1:24" ht="20.399999999999999" hidden="1">
      <c r="A20" s="71"/>
      <c r="B20" s="124"/>
      <c r="C20" s="128"/>
      <c r="D20" s="129"/>
      <c r="E20" s="71"/>
      <c r="F20" s="71"/>
      <c r="G20" s="71"/>
      <c r="H20" s="71"/>
      <c r="I20" s="71"/>
      <c r="J20" s="71"/>
      <c r="K20" s="71"/>
      <c r="L20" s="71"/>
      <c r="M20" s="71"/>
      <c r="N20" s="71"/>
      <c r="O20" s="71"/>
      <c r="P20" s="71"/>
      <c r="Q20" s="71"/>
    </row>
    <row r="21" spans="1:24" ht="20.399999999999999" hidden="1">
      <c r="A21" s="71"/>
      <c r="B21" s="124"/>
      <c r="C21" s="128"/>
      <c r="D21" s="129"/>
      <c r="E21" s="71"/>
      <c r="F21" s="71"/>
      <c r="G21" s="71"/>
      <c r="H21" s="71"/>
      <c r="I21" s="71"/>
      <c r="J21" s="71"/>
      <c r="K21" s="71"/>
      <c r="L21" s="71"/>
      <c r="M21" s="71"/>
      <c r="N21" s="71"/>
      <c r="O21" s="71"/>
      <c r="P21" s="71"/>
      <c r="Q21" s="71"/>
    </row>
    <row r="22" spans="1:24" ht="12" customHeight="1">
      <c r="A22" s="71"/>
      <c r="B22" s="124"/>
      <c r="C22" s="128"/>
      <c r="D22" s="129"/>
      <c r="E22" s="71"/>
      <c r="F22" s="71"/>
      <c r="G22" s="71"/>
      <c r="H22" s="71"/>
      <c r="I22" s="71"/>
      <c r="J22" s="71"/>
      <c r="K22" s="71"/>
      <c r="L22" s="71"/>
      <c r="M22" s="71"/>
      <c r="N22" s="71"/>
      <c r="O22" s="71"/>
      <c r="P22" s="71"/>
      <c r="Q22" s="71"/>
    </row>
    <row r="23" spans="1:24" ht="9" customHeight="1">
      <c r="A23" s="71"/>
      <c r="B23" s="124"/>
      <c r="C23" s="128"/>
      <c r="D23" s="129"/>
      <c r="E23" s="71"/>
      <c r="F23" s="71"/>
      <c r="G23" s="71"/>
      <c r="H23" s="71"/>
      <c r="I23" s="71"/>
      <c r="J23" s="71"/>
      <c r="K23" s="71"/>
      <c r="L23" s="71"/>
      <c r="M23" s="71"/>
      <c r="N23" s="71"/>
      <c r="O23" s="71"/>
      <c r="P23" s="71"/>
      <c r="Q23" s="71"/>
    </row>
    <row r="24" spans="1:24" ht="21">
      <c r="A24" s="71"/>
      <c r="B24" s="124" t="s">
        <v>454</v>
      </c>
      <c r="C24" s="237" t="s">
        <v>124</v>
      </c>
      <c r="D24" s="238" t="s" vm="950">
        <v>405</v>
      </c>
      <c r="E24" s="71"/>
      <c r="F24" s="71"/>
      <c r="G24" s="71"/>
      <c r="H24" s="71"/>
      <c r="I24" s="71"/>
      <c r="J24" s="71"/>
      <c r="K24" s="71"/>
      <c r="L24" s="71"/>
      <c r="M24" s="71" t="s">
        <v>332</v>
      </c>
      <c r="N24" s="71" t="s">
        <v>394</v>
      </c>
      <c r="O24" s="71"/>
      <c r="P24" s="71"/>
      <c r="Q24" s="71"/>
    </row>
    <row r="25" spans="1:24" ht="20.399999999999999">
      <c r="A25" s="71"/>
      <c r="B25" s="124"/>
      <c r="C25" s="237" t="s">
        <v>234</v>
      </c>
      <c r="D25" s="238" t="s" vm="942">
        <v>1</v>
      </c>
      <c r="E25" s="71"/>
      <c r="F25" s="71"/>
      <c r="G25" s="71"/>
      <c r="H25" s="71"/>
      <c r="I25" s="71"/>
      <c r="J25" s="71"/>
      <c r="K25" s="71"/>
      <c r="L25" s="71"/>
      <c r="M25" s="71" t="s">
        <v>332</v>
      </c>
      <c r="N25" s="71" t="s">
        <v>333</v>
      </c>
      <c r="O25" s="71"/>
      <c r="P25" s="71"/>
      <c r="Q25" s="71"/>
    </row>
    <row r="26" spans="1:24" ht="11.25" customHeight="1">
      <c r="A26" s="71"/>
      <c r="B26" s="124"/>
      <c r="C26" s="128"/>
      <c r="D26" s="129"/>
      <c r="E26" s="71"/>
      <c r="F26" s="71"/>
      <c r="G26" s="71"/>
      <c r="H26" s="71"/>
      <c r="I26" s="71"/>
      <c r="J26" s="71"/>
      <c r="K26" s="71"/>
      <c r="L26" s="71"/>
      <c r="M26" s="71"/>
      <c r="N26" s="71"/>
      <c r="O26" s="71"/>
      <c r="P26" s="71"/>
      <c r="Q26" s="71"/>
    </row>
    <row r="27" spans="1:24" ht="12" customHeight="1">
      <c r="A27" s="71"/>
      <c r="B27" s="124"/>
      <c r="F27" s="71"/>
      <c r="G27" s="71"/>
      <c r="H27" s="71"/>
      <c r="I27" s="71"/>
      <c r="J27" s="71"/>
      <c r="K27" s="71"/>
      <c r="L27" s="71"/>
      <c r="M27" s="71"/>
      <c r="N27" s="71"/>
      <c r="O27" s="71"/>
      <c r="P27" s="71"/>
      <c r="Q27" s="71"/>
    </row>
    <row r="28" spans="1:24" ht="21">
      <c r="A28" s="71"/>
      <c r="B28" s="124" t="s">
        <v>455</v>
      </c>
      <c r="F28" s="71"/>
      <c r="G28" s="71"/>
      <c r="H28" s="71"/>
      <c r="I28" s="71"/>
      <c r="J28" s="71"/>
      <c r="K28" s="71"/>
      <c r="L28" s="71"/>
      <c r="M28" s="71"/>
      <c r="N28" s="93" t="s">
        <v>393</v>
      </c>
      <c r="O28" s="94"/>
      <c r="P28" s="94"/>
      <c r="Q28" s="71"/>
    </row>
    <row r="29" spans="1:24">
      <c r="A29" s="71"/>
      <c r="B29" s="125"/>
      <c r="F29" s="71"/>
      <c r="G29" s="71"/>
      <c r="H29" s="71"/>
      <c r="I29" s="71"/>
      <c r="J29" s="71"/>
      <c r="K29" s="71"/>
      <c r="L29" s="71"/>
      <c r="M29" s="71"/>
      <c r="N29" s="291" t="s">
        <v>235</v>
      </c>
      <c r="O29" s="291"/>
      <c r="P29" s="291"/>
      <c r="Q29" s="119"/>
      <c r="R29" s="119"/>
      <c r="S29" s="119"/>
      <c r="T29" s="119"/>
      <c r="U29" s="119"/>
      <c r="V29" s="119"/>
      <c r="W29" s="119"/>
      <c r="X29" s="119"/>
    </row>
    <row r="30" spans="1:24">
      <c r="A30" s="71"/>
      <c r="B30" s="125"/>
      <c r="F30" s="71"/>
      <c r="G30" s="71"/>
      <c r="H30" s="71"/>
      <c r="I30" s="71"/>
      <c r="J30" s="71"/>
      <c r="K30" s="71"/>
      <c r="L30" s="71"/>
      <c r="M30" s="71"/>
      <c r="N30" s="289" t="s">
        <v>236</v>
      </c>
      <c r="O30" s="289"/>
      <c r="P30" s="289"/>
      <c r="Q30" s="119"/>
      <c r="R30" s="119"/>
      <c r="S30" s="119"/>
      <c r="T30" s="119"/>
      <c r="U30" s="119"/>
      <c r="V30" s="119"/>
      <c r="W30" s="119"/>
      <c r="X30" s="119"/>
    </row>
    <row r="31" spans="1:24">
      <c r="A31" s="71"/>
      <c r="B31" s="125"/>
      <c r="F31" s="71"/>
      <c r="G31" s="71"/>
      <c r="H31" s="71"/>
      <c r="I31" s="71"/>
      <c r="J31" s="71"/>
      <c r="K31" s="71"/>
      <c r="L31" s="71"/>
      <c r="M31" s="71"/>
      <c r="N31" s="119" t="s">
        <v>237</v>
      </c>
      <c r="O31" s="120"/>
      <c r="P31" s="120"/>
      <c r="Q31" s="120"/>
      <c r="R31" s="120"/>
      <c r="S31" s="120"/>
      <c r="T31" s="120"/>
      <c r="U31" s="120"/>
      <c r="V31" s="120"/>
      <c r="W31" s="120"/>
      <c r="X31" s="120"/>
    </row>
    <row r="32" spans="1:24">
      <c r="A32" s="71"/>
      <c r="B32" s="125"/>
      <c r="C32" s="71"/>
      <c r="F32" s="71"/>
      <c r="G32" s="71"/>
      <c r="H32" s="71"/>
      <c r="I32" s="71"/>
      <c r="J32" s="71"/>
      <c r="K32" s="71"/>
      <c r="L32" s="71"/>
      <c r="M32" s="71"/>
      <c r="N32" s="119"/>
      <c r="O32" s="120"/>
      <c r="P32" s="120"/>
      <c r="Q32" s="120"/>
      <c r="R32" s="120"/>
      <c r="S32" s="120"/>
      <c r="T32" s="120"/>
      <c r="U32" s="120"/>
      <c r="V32" s="120"/>
      <c r="W32" s="120"/>
      <c r="X32" s="120"/>
    </row>
    <row r="33" spans="1:24">
      <c r="A33" s="71"/>
      <c r="B33" s="71"/>
      <c r="C33" s="71"/>
      <c r="F33" s="71"/>
      <c r="G33" s="71"/>
      <c r="H33" s="71"/>
      <c r="I33" s="71"/>
      <c r="J33" s="71"/>
      <c r="K33" s="71"/>
      <c r="L33" s="71"/>
      <c r="M33" s="71"/>
      <c r="N33" s="289" t="s">
        <v>238</v>
      </c>
      <c r="O33" s="289"/>
      <c r="P33" s="289"/>
      <c r="Q33" s="119"/>
      <c r="R33" s="119"/>
      <c r="S33" s="119"/>
      <c r="T33" s="119"/>
      <c r="U33" s="119"/>
      <c r="V33" s="119"/>
      <c r="W33" s="119"/>
      <c r="X33" s="119"/>
    </row>
    <row r="34" spans="1:24">
      <c r="A34" s="71"/>
      <c r="B34" s="71"/>
      <c r="C34" s="71"/>
      <c r="F34" s="121"/>
      <c r="G34" s="121"/>
      <c r="H34" s="121"/>
      <c r="I34" s="121"/>
      <c r="J34" s="121"/>
      <c r="K34" s="121"/>
      <c r="L34" s="121"/>
      <c r="M34" s="71"/>
      <c r="N34" s="289" t="s">
        <v>239</v>
      </c>
      <c r="O34" s="289"/>
      <c r="P34" s="120"/>
      <c r="Q34" s="120"/>
      <c r="R34" s="120"/>
      <c r="S34" s="120"/>
      <c r="T34" s="120"/>
      <c r="U34" s="120"/>
      <c r="V34" s="120"/>
      <c r="W34" s="120"/>
      <c r="X34" s="120"/>
    </row>
    <row r="35" spans="1:24" ht="11.25" customHeight="1">
      <c r="A35" s="71"/>
      <c r="B35" s="71"/>
      <c r="C35" s="71"/>
      <c r="M35" s="71"/>
    </row>
    <row r="36" spans="1:24" ht="15.6">
      <c r="A36" s="71"/>
      <c r="B36" s="71"/>
      <c r="C36" s="71"/>
      <c r="M36" s="71"/>
      <c r="N36" s="122" t="s">
        <v>2</v>
      </c>
      <c r="O36" s="94"/>
      <c r="P36" s="94"/>
    </row>
    <row r="37" spans="1:24">
      <c r="A37" s="71"/>
      <c r="B37" s="71"/>
      <c r="C37" s="71"/>
      <c r="M37" s="71"/>
      <c r="N37" s="290" t="s">
        <v>337</v>
      </c>
    </row>
    <row r="38" spans="1:24">
      <c r="N38" s="287"/>
    </row>
    <row r="39" spans="1:24">
      <c r="N39" s="287"/>
    </row>
    <row r="40" spans="1:24">
      <c r="N40" s="287"/>
    </row>
    <row r="41" spans="1:24" hidden="1">
      <c r="N41" s="287"/>
    </row>
    <row r="42" spans="1:24" hidden="1"/>
    <row r="43" spans="1:24" hidden="1">
      <c r="Q43" s="123" t="s">
        <v>459</v>
      </c>
    </row>
    <row r="44" spans="1:24" hidden="1"/>
    <row r="45" spans="1:24" hidden="1"/>
    <row r="46" spans="1:24" hidden="1"/>
    <row r="47" spans="1:24" hidden="1"/>
    <row r="48" spans="1:24" hidden="1"/>
    <row r="49" hidden="1"/>
    <row r="50" hidden="1"/>
  </sheetData>
  <mergeCells count="5">
    <mergeCell ref="N34:O34"/>
    <mergeCell ref="N37:N41"/>
    <mergeCell ref="N29:P29"/>
    <mergeCell ref="N30:P30"/>
    <mergeCell ref="N33:P33"/>
  </mergeCells>
  <pageMargins left="0.70866141732283472" right="0.70866141732283472" top="0.74803149606299213" bottom="0.74803149606299213" header="0.31496062992125984" footer="0.31496062992125984"/>
  <pageSetup paperSize="9" scale="59" fitToHeight="2" orientation="landscape" r:id="rId3"/>
  <headerFooter>
    <oddHeader>&amp;RPage &amp;P&amp;C&amp;A</oddHeader>
    <oddFooter>&amp;CPage &amp;P of &amp;N</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L5063"/>
  <sheetViews>
    <sheetView showGridLines="0" showRowColHeaders="0" zoomScaleNormal="100" workbookViewId="0">
      <pane ySplit="7" topLeftCell="A8" activePane="bottomLeft" state="frozen"/>
      <selection activeCell="B3" sqref="B3"/>
      <selection pane="bottomLeft" activeCell="B10" sqref="B10"/>
    </sheetView>
  </sheetViews>
  <sheetFormatPr defaultColWidth="0" defaultRowHeight="15.6" zeroHeight="1"/>
  <cols>
    <col min="1" max="1" width="2" style="3" customWidth="1"/>
    <col min="2" max="2" width="34.6328125" style="3" customWidth="1"/>
    <col min="3" max="3" width="1.81640625" style="3" customWidth="1"/>
    <col min="4" max="4" width="15.1796875" style="3" customWidth="1"/>
    <col min="5" max="5" width="1.81640625" style="3" customWidth="1"/>
    <col min="6" max="6" width="23.453125" style="3" customWidth="1"/>
    <col min="7" max="7" width="2.81640625" style="3" customWidth="1"/>
    <col min="8" max="8" width="17.90625" style="3" customWidth="1"/>
    <col min="9" max="9" width="1.90625" style="3" customWidth="1"/>
    <col min="10" max="10" width="26.54296875" style="3" customWidth="1"/>
    <col min="11" max="11" width="8.90625" style="3" customWidth="1"/>
    <col min="12" max="12" width="0" style="3" hidden="1" customWidth="1"/>
    <col min="13" max="16384" width="8.90625" style="3" hidden="1"/>
  </cols>
  <sheetData>
    <row r="1" spans="1:12" ht="15.75" customHeight="1">
      <c r="A1" s="24"/>
      <c r="B1" s="292" t="s">
        <v>323</v>
      </c>
      <c r="C1" s="292"/>
      <c r="D1" s="292"/>
      <c r="E1" s="25"/>
      <c r="F1" s="25"/>
      <c r="G1" s="25"/>
      <c r="H1" s="25"/>
      <c r="I1" s="25"/>
      <c r="J1" s="25"/>
      <c r="K1" s="25"/>
      <c r="L1" s="17"/>
    </row>
    <row r="2" spans="1:12" ht="39" customHeight="1">
      <c r="A2" s="24"/>
      <c r="B2" s="292"/>
      <c r="C2" s="292"/>
      <c r="D2" s="292"/>
      <c r="E2" s="25"/>
      <c r="F2" s="25"/>
      <c r="G2" s="25"/>
      <c r="H2" s="25"/>
      <c r="I2" s="25"/>
      <c r="J2" s="25"/>
      <c r="K2" s="25"/>
      <c r="L2" s="17"/>
    </row>
    <row r="3" spans="1:12" s="18" customFormat="1" ht="14.4">
      <c r="B3" s="26" t="s">
        <v>329</v>
      </c>
      <c r="C3" s="27"/>
      <c r="D3" s="27"/>
      <c r="E3" s="27"/>
      <c r="F3" s="27"/>
      <c r="G3" s="27"/>
      <c r="H3" s="27"/>
      <c r="I3" s="27"/>
      <c r="J3" s="27"/>
      <c r="K3" s="27"/>
    </row>
    <row r="4" spans="1:12" s="18" customFormat="1" ht="14.4">
      <c r="B4" s="26" t="s">
        <v>328</v>
      </c>
      <c r="C4" s="27"/>
      <c r="D4" s="27"/>
      <c r="E4" s="27"/>
      <c r="F4" s="27"/>
      <c r="G4" s="27"/>
      <c r="H4" s="27"/>
      <c r="I4" s="27"/>
      <c r="J4" s="27"/>
      <c r="K4" s="27"/>
    </row>
    <row r="5" spans="1:12" s="18" customFormat="1" ht="14.4">
      <c r="B5" s="26" t="s">
        <v>327</v>
      </c>
      <c r="C5" s="27"/>
      <c r="D5" s="27"/>
      <c r="E5" s="27"/>
      <c r="F5" s="27"/>
      <c r="G5" s="27"/>
      <c r="H5" s="27"/>
      <c r="I5" s="27"/>
      <c r="J5" s="27"/>
      <c r="K5" s="27"/>
    </row>
    <row r="6" spans="1:12">
      <c r="B6" s="23"/>
      <c r="C6" s="23"/>
      <c r="D6" s="23"/>
      <c r="E6" s="23"/>
      <c r="F6" s="23"/>
      <c r="G6" s="23"/>
      <c r="H6" s="23"/>
      <c r="I6" s="23"/>
      <c r="J6" s="23"/>
      <c r="K6" s="23"/>
    </row>
    <row r="7" spans="1:12" s="16" customFormat="1" ht="21">
      <c r="B7" s="228" t="s">
        <v>316</v>
      </c>
      <c r="C7" s="28"/>
      <c r="D7" s="281" t="s">
        <v>20</v>
      </c>
      <c r="E7" s="28"/>
      <c r="F7" s="281" t="s">
        <v>114</v>
      </c>
      <c r="G7" s="28"/>
      <c r="H7" s="228" t="s">
        <v>124</v>
      </c>
      <c r="I7" s="28"/>
      <c r="J7" s="228" t="s">
        <v>338</v>
      </c>
      <c r="K7" s="28"/>
    </row>
    <row r="8" spans="1:12">
      <c r="B8" s="280" t="s">
        <v>516</v>
      </c>
      <c r="C8" s="23"/>
      <c r="D8" s="227" t="s">
        <v>405</v>
      </c>
      <c r="E8" s="23"/>
      <c r="F8" s="227" t="s">
        <v>113</v>
      </c>
      <c r="G8" s="23"/>
      <c r="H8" s="227" t="s">
        <v>405</v>
      </c>
      <c r="I8" s="23"/>
      <c r="J8" s="227" t="s">
        <v>317</v>
      </c>
      <c r="K8" s="23"/>
    </row>
    <row r="9" spans="1:12">
      <c r="B9" s="229" t="s">
        <v>1676</v>
      </c>
      <c r="C9" s="23"/>
      <c r="D9" s="229" t="s">
        <v>322</v>
      </c>
      <c r="E9" s="23"/>
      <c r="F9" s="227" t="s">
        <v>1403</v>
      </c>
      <c r="G9" s="23"/>
      <c r="H9" s="229" t="s">
        <v>322</v>
      </c>
      <c r="I9" s="23"/>
      <c r="J9" s="227" t="s">
        <v>514</v>
      </c>
      <c r="K9" s="23"/>
    </row>
    <row r="10" spans="1:12">
      <c r="B10"/>
      <c r="C10" s="23"/>
      <c r="D10" s="230" t="s">
        <v>324</v>
      </c>
      <c r="E10" s="23"/>
      <c r="F10" s="227" t="s">
        <v>507</v>
      </c>
      <c r="G10" s="23"/>
      <c r="H10" s="230" t="s">
        <v>324</v>
      </c>
      <c r="I10" s="23"/>
      <c r="J10" s="227" t="s">
        <v>441</v>
      </c>
      <c r="K10" s="23"/>
    </row>
    <row r="11" spans="1:12">
      <c r="B11"/>
      <c r="C11" s="23"/>
      <c r="D11" s="230" t="s">
        <v>325</v>
      </c>
      <c r="E11" s="23"/>
      <c r="F11" s="227" t="s">
        <v>1404</v>
      </c>
      <c r="G11" s="23"/>
      <c r="H11" s="230" t="s">
        <v>325</v>
      </c>
      <c r="I11" s="23"/>
      <c r="J11" s="227" t="s">
        <v>419</v>
      </c>
      <c r="K11" s="23"/>
    </row>
    <row r="12" spans="1:12">
      <c r="B12"/>
      <c r="C12" s="23"/>
      <c r="D12" s="230" t="s">
        <v>326</v>
      </c>
      <c r="E12" s="23"/>
      <c r="F12" s="227" t="s">
        <v>1405</v>
      </c>
      <c r="G12" s="23"/>
      <c r="H12" s="230" t="s">
        <v>326</v>
      </c>
      <c r="I12" s="23"/>
      <c r="J12" s="227" t="s">
        <v>471</v>
      </c>
      <c r="K12" s="23"/>
    </row>
    <row r="13" spans="1:12">
      <c r="B13"/>
      <c r="C13" s="23"/>
      <c r="D13" s="229" t="s">
        <v>386</v>
      </c>
      <c r="E13" s="23"/>
      <c r="F13" s="227" t="s">
        <v>14</v>
      </c>
      <c r="G13" s="23"/>
      <c r="H13" s="229" t="s">
        <v>386</v>
      </c>
      <c r="I13" s="23"/>
      <c r="J13" s="227" t="s">
        <v>318</v>
      </c>
      <c r="K13" s="23"/>
    </row>
    <row r="14" spans="1:12">
      <c r="B14"/>
      <c r="C14" s="23"/>
      <c r="D14" s="230" t="s">
        <v>387</v>
      </c>
      <c r="E14" s="23"/>
      <c r="F14" s="227" t="s">
        <v>1406</v>
      </c>
      <c r="G14" s="23"/>
      <c r="H14" s="230" t="s">
        <v>387</v>
      </c>
      <c r="I14" s="23"/>
      <c r="J14" s="227" t="s">
        <v>319</v>
      </c>
      <c r="K14" s="23"/>
    </row>
    <row r="15" spans="1:12">
      <c r="B15"/>
      <c r="C15" s="23"/>
      <c r="D15" s="230" t="s">
        <v>388</v>
      </c>
      <c r="E15" s="23"/>
      <c r="F15"/>
      <c r="G15" s="23"/>
      <c r="H15" s="230" t="s">
        <v>388</v>
      </c>
      <c r="I15" s="23"/>
      <c r="J15" s="227" t="s">
        <v>320</v>
      </c>
      <c r="K15" s="23"/>
    </row>
    <row r="16" spans="1:12">
      <c r="B16"/>
      <c r="C16" s="23"/>
      <c r="D16" s="230" t="s">
        <v>468</v>
      </c>
      <c r="E16" s="23"/>
      <c r="F16"/>
      <c r="G16" s="23"/>
      <c r="H16" s="230" t="s">
        <v>468</v>
      </c>
      <c r="I16" s="23"/>
      <c r="J16" s="227" t="s">
        <v>321</v>
      </c>
      <c r="K16" s="23"/>
    </row>
    <row r="17" spans="2:11">
      <c r="B17"/>
      <c r="C17" s="23"/>
      <c r="D17" s="229" t="s">
        <v>469</v>
      </c>
      <c r="E17" s="23"/>
      <c r="F17"/>
      <c r="G17" s="23"/>
      <c r="H17" s="229" t="s">
        <v>469</v>
      </c>
      <c r="I17" s="23"/>
      <c r="J17" s="227" t="s">
        <v>402</v>
      </c>
      <c r="K17" s="23"/>
    </row>
    <row r="18" spans="2:11">
      <c r="B18"/>
      <c r="C18" s="23"/>
      <c r="D18" s="230" t="s">
        <v>470</v>
      </c>
      <c r="E18" s="23"/>
      <c r="F18"/>
      <c r="G18" s="23"/>
      <c r="H18" s="230" t="s">
        <v>470</v>
      </c>
      <c r="I18" s="23"/>
      <c r="J18" s="227" t="s">
        <v>405</v>
      </c>
      <c r="K18" s="23"/>
    </row>
    <row r="19" spans="2:11">
      <c r="B19"/>
      <c r="C19" s="23"/>
      <c r="D19" s="230" t="s">
        <v>508</v>
      </c>
      <c r="E19" s="23"/>
      <c r="F19"/>
      <c r="G19" s="23"/>
      <c r="H19" s="230" t="s">
        <v>508</v>
      </c>
      <c r="I19" s="23"/>
      <c r="J19" s="227" t="s">
        <v>515</v>
      </c>
      <c r="K19" s="23"/>
    </row>
    <row r="20" spans="2:11">
      <c r="B20"/>
      <c r="C20" s="23"/>
      <c r="D20" s="230" t="s">
        <v>509</v>
      </c>
      <c r="E20" s="23"/>
      <c r="F20"/>
      <c r="G20" s="23"/>
      <c r="H20" s="230" t="s">
        <v>509</v>
      </c>
      <c r="I20" s="23"/>
      <c r="J20" s="23"/>
      <c r="K20" s="23"/>
    </row>
    <row r="21" spans="2:11">
      <c r="B21"/>
      <c r="C21" s="23"/>
      <c r="D21" s="229" t="s">
        <v>510</v>
      </c>
      <c r="E21" s="23"/>
      <c r="F21"/>
      <c r="G21" s="23"/>
      <c r="H21" s="229" t="s">
        <v>510</v>
      </c>
      <c r="I21" s="23"/>
      <c r="J21" s="23"/>
      <c r="K21" s="23"/>
    </row>
    <row r="22" spans="2:11">
      <c r="B22"/>
      <c r="C22" s="23"/>
      <c r="D22" s="230" t="s">
        <v>511</v>
      </c>
      <c r="E22" s="23"/>
      <c r="F22"/>
      <c r="G22" s="23"/>
      <c r="H22" s="230" t="s">
        <v>511</v>
      </c>
      <c r="I22" s="23"/>
      <c r="J22" s="23"/>
      <c r="K22" s="23"/>
    </row>
    <row r="23" spans="2:11">
      <c r="B23"/>
      <c r="C23" s="23"/>
      <c r="D23" s="230" t="s">
        <v>512</v>
      </c>
      <c r="E23" s="23"/>
      <c r="F23"/>
      <c r="G23" s="23"/>
      <c r="H23" s="230" t="s">
        <v>512</v>
      </c>
      <c r="I23" s="23"/>
      <c r="J23" s="23"/>
      <c r="K23" s="23"/>
    </row>
    <row r="24" spans="2:11">
      <c r="B24"/>
      <c r="C24" s="23"/>
      <c r="D24" s="230" t="s">
        <v>513</v>
      </c>
      <c r="E24" s="23"/>
      <c r="F24"/>
      <c r="G24" s="23"/>
      <c r="H24" s="230" t="s">
        <v>513</v>
      </c>
      <c r="I24" s="23"/>
      <c r="J24" s="23"/>
      <c r="K24" s="23"/>
    </row>
    <row r="25" spans="2:11">
      <c r="B25"/>
      <c r="C25" s="23"/>
      <c r="D25" s="23"/>
      <c r="E25" s="23"/>
      <c r="F25"/>
      <c r="G25" s="23"/>
      <c r="H25" s="23"/>
      <c r="I25" s="23"/>
      <c r="J25" s="23"/>
      <c r="K25" s="23"/>
    </row>
    <row r="26" spans="2:11">
      <c r="B26"/>
      <c r="C26" s="23"/>
      <c r="D26" s="23"/>
      <c r="E26" s="23"/>
      <c r="F26"/>
      <c r="G26" s="23"/>
      <c r="H26" s="23"/>
      <c r="I26" s="23"/>
      <c r="J26" s="23"/>
      <c r="K26" s="23"/>
    </row>
    <row r="27" spans="2:11">
      <c r="B27"/>
      <c r="C27" s="23"/>
      <c r="D27" s="23"/>
      <c r="E27" s="23"/>
      <c r="F27"/>
      <c r="G27" s="23"/>
      <c r="H27" s="23"/>
      <c r="I27" s="23"/>
      <c r="J27" s="23"/>
      <c r="K27" s="23"/>
    </row>
    <row r="28" spans="2:11">
      <c r="B28"/>
      <c r="C28" s="23"/>
      <c r="D28" s="23"/>
      <c r="E28" s="23"/>
      <c r="F28"/>
      <c r="G28" s="23"/>
      <c r="H28" s="23"/>
      <c r="I28" s="23"/>
      <c r="J28" s="23"/>
      <c r="K28" s="23"/>
    </row>
    <row r="29" spans="2:11">
      <c r="B29"/>
      <c r="C29" s="23"/>
      <c r="D29" s="23"/>
      <c r="E29" s="23"/>
      <c r="F29"/>
      <c r="G29" s="23"/>
      <c r="H29" s="23"/>
      <c r="I29" s="23"/>
      <c r="J29" s="23"/>
      <c r="K29" s="23"/>
    </row>
    <row r="30" spans="2:11">
      <c r="B30"/>
      <c r="C30" s="23"/>
      <c r="D30" s="23"/>
      <c r="E30" s="23"/>
      <c r="F30"/>
      <c r="G30" s="23"/>
      <c r="H30" s="23"/>
      <c r="I30" s="23"/>
      <c r="J30" s="23"/>
      <c r="K30" s="23"/>
    </row>
    <row r="31" spans="2:11">
      <c r="B31"/>
      <c r="C31" s="23"/>
      <c r="D31" s="23"/>
      <c r="E31" s="23"/>
      <c r="F31"/>
      <c r="G31" s="23"/>
      <c r="H31" s="23"/>
      <c r="I31" s="23"/>
      <c r="J31" s="23"/>
      <c r="K31" s="23"/>
    </row>
    <row r="32" spans="2:11">
      <c r="B32"/>
      <c r="C32" s="23"/>
      <c r="D32" s="23"/>
      <c r="E32" s="23"/>
      <c r="F32"/>
      <c r="G32" s="23"/>
      <c r="H32" s="23"/>
      <c r="I32" s="23"/>
      <c r="J32" s="23"/>
      <c r="K32" s="23"/>
    </row>
    <row r="33" spans="2:11">
      <c r="B33"/>
      <c r="C33" s="23"/>
      <c r="D33" s="23"/>
      <c r="E33" s="23"/>
      <c r="F33"/>
      <c r="G33" s="23"/>
      <c r="H33" s="23"/>
      <c r="I33" s="23"/>
      <c r="J33" s="23"/>
      <c r="K33" s="23"/>
    </row>
    <row r="34" spans="2:11">
      <c r="B34"/>
      <c r="C34" s="23"/>
      <c r="D34" s="23"/>
      <c r="E34" s="23"/>
      <c r="F34"/>
      <c r="G34" s="23"/>
      <c r="H34" s="23"/>
      <c r="I34" s="23"/>
      <c r="J34" s="23"/>
      <c r="K34" s="23"/>
    </row>
    <row r="35" spans="2:11">
      <c r="B35"/>
      <c r="C35" s="23"/>
      <c r="D35" s="23"/>
      <c r="E35" s="23"/>
      <c r="F35"/>
      <c r="G35" s="23"/>
      <c r="H35" s="23"/>
      <c r="I35" s="23"/>
      <c r="J35" s="23"/>
      <c r="K35" s="23"/>
    </row>
    <row r="36" spans="2:11">
      <c r="B36"/>
      <c r="C36" s="23"/>
      <c r="D36" s="23"/>
      <c r="E36" s="23"/>
      <c r="F36"/>
      <c r="G36" s="23"/>
      <c r="H36" s="23"/>
      <c r="I36" s="23"/>
      <c r="J36" s="23"/>
      <c r="K36" s="23"/>
    </row>
    <row r="37" spans="2:11">
      <c r="B37"/>
      <c r="C37" s="23"/>
      <c r="D37" s="23"/>
      <c r="E37" s="23"/>
      <c r="F37"/>
      <c r="G37" s="23"/>
      <c r="H37" s="23"/>
      <c r="I37" s="23"/>
      <c r="J37" s="23"/>
      <c r="K37" s="23"/>
    </row>
    <row r="38" spans="2:11">
      <c r="B38"/>
      <c r="C38" s="23"/>
      <c r="D38" s="23"/>
      <c r="E38" s="23"/>
      <c r="F38"/>
      <c r="G38" s="23"/>
      <c r="H38" s="23"/>
      <c r="I38" s="23"/>
      <c r="J38" s="23"/>
      <c r="K38" s="23"/>
    </row>
    <row r="39" spans="2:11">
      <c r="B39"/>
      <c r="C39" s="23"/>
      <c r="D39" s="23"/>
      <c r="E39" s="23"/>
      <c r="F39"/>
      <c r="G39" s="23"/>
      <c r="H39" s="23"/>
      <c r="I39" s="23"/>
      <c r="J39" s="23"/>
      <c r="K39" s="23"/>
    </row>
    <row r="40" spans="2:11">
      <c r="B40"/>
      <c r="C40" s="23"/>
      <c r="D40" s="23"/>
      <c r="E40" s="23"/>
      <c r="F40"/>
      <c r="G40" s="23"/>
      <c r="H40" s="23"/>
      <c r="I40" s="23"/>
      <c r="J40" s="23"/>
      <c r="K40" s="23"/>
    </row>
    <row r="41" spans="2:11">
      <c r="B41"/>
      <c r="C41" s="23"/>
      <c r="D41" s="23"/>
      <c r="E41" s="23"/>
      <c r="F41"/>
      <c r="G41" s="23"/>
      <c r="H41" s="23"/>
      <c r="I41" s="23"/>
      <c r="J41" s="23"/>
      <c r="K41" s="23"/>
    </row>
    <row r="42" spans="2:11">
      <c r="B42"/>
      <c r="C42" s="23"/>
      <c r="D42" s="23"/>
      <c r="E42" s="23"/>
      <c r="F42"/>
      <c r="G42" s="23"/>
      <c r="H42" s="23"/>
      <c r="I42" s="23"/>
      <c r="J42" s="23"/>
      <c r="K42" s="23"/>
    </row>
    <row r="43" spans="2:11">
      <c r="B43"/>
      <c r="C43" s="23"/>
      <c r="D43" s="23"/>
      <c r="E43" s="23"/>
      <c r="F43"/>
      <c r="G43" s="23"/>
      <c r="H43" s="23"/>
      <c r="I43" s="23"/>
      <c r="J43" s="23"/>
      <c r="K43" s="23"/>
    </row>
    <row r="44" spans="2:11">
      <c r="B44"/>
      <c r="C44" s="23"/>
      <c r="D44" s="23"/>
      <c r="E44" s="23"/>
      <c r="F44"/>
      <c r="G44" s="23"/>
      <c r="H44" s="23"/>
      <c r="I44" s="23"/>
      <c r="J44" s="23"/>
      <c r="K44" s="23"/>
    </row>
    <row r="45" spans="2:11">
      <c r="B45"/>
      <c r="C45" s="23"/>
      <c r="D45" s="23"/>
      <c r="E45" s="23"/>
      <c r="F45"/>
      <c r="G45" s="23"/>
      <c r="H45" s="23"/>
      <c r="I45" s="23"/>
      <c r="J45" s="23"/>
      <c r="K45" s="23"/>
    </row>
    <row r="46" spans="2:11">
      <c r="B46"/>
      <c r="C46" s="23"/>
      <c r="D46" s="23"/>
      <c r="E46" s="23"/>
      <c r="F46"/>
      <c r="G46" s="23"/>
      <c r="H46" s="23"/>
      <c r="I46" s="23"/>
      <c r="J46" s="23"/>
      <c r="K46" s="23"/>
    </row>
    <row r="47" spans="2:11">
      <c r="B47"/>
      <c r="C47" s="23"/>
      <c r="D47" s="23"/>
      <c r="E47" s="23"/>
      <c r="F47"/>
      <c r="G47" s="23"/>
      <c r="H47" s="23"/>
      <c r="I47" s="23"/>
      <c r="J47" s="23"/>
      <c r="K47" s="23"/>
    </row>
    <row r="48" spans="2:11">
      <c r="B48"/>
      <c r="C48" s="23"/>
      <c r="D48" s="23"/>
      <c r="E48" s="23"/>
      <c r="F48"/>
      <c r="G48" s="23"/>
      <c r="H48" s="23"/>
      <c r="I48" s="23"/>
      <c r="J48" s="23"/>
      <c r="K48" s="23"/>
    </row>
    <row r="49" spans="2:11">
      <c r="B49"/>
      <c r="C49" s="23"/>
      <c r="D49" s="23"/>
      <c r="E49" s="23"/>
      <c r="F49"/>
      <c r="G49" s="23"/>
      <c r="H49" s="23"/>
      <c r="I49" s="23"/>
      <c r="J49" s="23"/>
      <c r="K49" s="23"/>
    </row>
    <row r="50" spans="2:11">
      <c r="B50"/>
      <c r="C50" s="23"/>
      <c r="D50" s="23"/>
      <c r="E50" s="23"/>
      <c r="F50"/>
      <c r="G50" s="23"/>
      <c r="H50" s="23"/>
      <c r="I50" s="23"/>
      <c r="J50" s="23"/>
      <c r="K50" s="23"/>
    </row>
    <row r="51" spans="2:11">
      <c r="B51"/>
      <c r="C51" s="23"/>
      <c r="D51" s="23"/>
      <c r="E51" s="23"/>
      <c r="F51"/>
      <c r="G51" s="23"/>
      <c r="H51" s="23"/>
      <c r="I51" s="23"/>
      <c r="J51" s="23"/>
      <c r="K51" s="23"/>
    </row>
    <row r="52" spans="2:11">
      <c r="B52"/>
      <c r="C52" s="23"/>
      <c r="D52" s="23"/>
      <c r="E52" s="23"/>
      <c r="F52"/>
      <c r="G52" s="23"/>
      <c r="H52" s="23"/>
      <c r="I52" s="23"/>
      <c r="J52" s="23"/>
      <c r="K52" s="23"/>
    </row>
    <row r="53" spans="2:11">
      <c r="B53"/>
      <c r="C53" s="23"/>
      <c r="D53" s="23"/>
      <c r="E53" s="23"/>
      <c r="F53"/>
      <c r="G53" s="23"/>
      <c r="H53" s="23"/>
      <c r="I53" s="23"/>
      <c r="J53" s="23"/>
      <c r="K53" s="23"/>
    </row>
    <row r="54" spans="2:11">
      <c r="B54"/>
      <c r="C54" s="23"/>
      <c r="D54" s="23"/>
      <c r="E54" s="23"/>
      <c r="F54"/>
      <c r="G54" s="23"/>
      <c r="H54" s="23"/>
      <c r="I54" s="23"/>
      <c r="J54" s="23"/>
      <c r="K54" s="23"/>
    </row>
    <row r="55" spans="2:11">
      <c r="B55"/>
      <c r="C55" s="23"/>
      <c r="D55" s="23"/>
      <c r="E55" s="23"/>
      <c r="F55"/>
      <c r="G55" s="23"/>
      <c r="H55" s="23"/>
      <c r="I55" s="23"/>
      <c r="J55" s="23"/>
      <c r="K55" s="23"/>
    </row>
    <row r="56" spans="2:11">
      <c r="B56"/>
      <c r="C56" s="23"/>
      <c r="D56" s="23"/>
      <c r="E56" s="23"/>
      <c r="F56"/>
      <c r="G56" s="23"/>
      <c r="H56" s="23"/>
      <c r="I56" s="23"/>
      <c r="J56" s="23"/>
      <c r="K56" s="23"/>
    </row>
    <row r="57" spans="2:11">
      <c r="B57"/>
      <c r="C57" s="23"/>
      <c r="D57" s="23"/>
      <c r="E57" s="23"/>
      <c r="F57"/>
      <c r="G57" s="23"/>
      <c r="H57" s="23"/>
      <c r="I57" s="23"/>
      <c r="J57" s="23"/>
      <c r="K57" s="23"/>
    </row>
    <row r="58" spans="2:11">
      <c r="B58"/>
      <c r="C58" s="23"/>
      <c r="D58" s="23"/>
      <c r="E58" s="23"/>
      <c r="F58"/>
      <c r="G58" s="23"/>
      <c r="H58" s="23"/>
      <c r="I58" s="23"/>
      <c r="J58" s="23"/>
      <c r="K58" s="23"/>
    </row>
    <row r="59" spans="2:11">
      <c r="B59"/>
      <c r="C59" s="23"/>
      <c r="D59" s="23"/>
      <c r="E59" s="23"/>
      <c r="F59"/>
      <c r="G59" s="23"/>
      <c r="H59" s="23"/>
      <c r="I59" s="23"/>
      <c r="J59" s="23"/>
      <c r="K59" s="23"/>
    </row>
    <row r="60" spans="2:11">
      <c r="B60"/>
      <c r="C60" s="23"/>
      <c r="D60" s="23"/>
      <c r="E60" s="23"/>
      <c r="F60"/>
      <c r="G60" s="23"/>
      <c r="H60" s="23"/>
      <c r="I60" s="23"/>
      <c r="J60" s="23"/>
      <c r="K60" s="23"/>
    </row>
    <row r="61" spans="2:11">
      <c r="B61"/>
      <c r="C61" s="23"/>
      <c r="D61" s="23"/>
      <c r="E61" s="23"/>
      <c r="F61"/>
      <c r="G61" s="23"/>
      <c r="H61" s="23"/>
      <c r="I61" s="23"/>
      <c r="J61" s="23"/>
      <c r="K61" s="23"/>
    </row>
    <row r="62" spans="2:11">
      <c r="B62"/>
      <c r="C62" s="23"/>
      <c r="D62" s="23"/>
      <c r="E62" s="23"/>
      <c r="F62"/>
      <c r="G62" s="23"/>
      <c r="H62" s="23"/>
      <c r="I62" s="23"/>
      <c r="J62" s="23"/>
      <c r="K62" s="23"/>
    </row>
    <row r="63" spans="2:11">
      <c r="B63"/>
      <c r="C63" s="23"/>
      <c r="D63" s="23"/>
      <c r="E63" s="23"/>
      <c r="F63"/>
      <c r="G63" s="23"/>
      <c r="H63" s="23"/>
      <c r="I63" s="23"/>
      <c r="J63" s="23"/>
      <c r="K63" s="23"/>
    </row>
    <row r="64" spans="2:11">
      <c r="B64"/>
      <c r="C64" s="23"/>
      <c r="D64" s="23"/>
      <c r="E64" s="23"/>
      <c r="F64"/>
      <c r="G64" s="23"/>
      <c r="H64" s="23"/>
      <c r="I64" s="23"/>
      <c r="J64" s="23"/>
      <c r="K64" s="23"/>
    </row>
    <row r="65" spans="2:11">
      <c r="B65"/>
      <c r="C65" s="23"/>
      <c r="D65" s="23"/>
      <c r="E65" s="23"/>
      <c r="F65"/>
      <c r="G65" s="23"/>
      <c r="H65" s="23"/>
      <c r="I65" s="23"/>
      <c r="J65" s="23"/>
      <c r="K65" s="23"/>
    </row>
    <row r="66" spans="2:11">
      <c r="B66"/>
      <c r="C66" s="23"/>
      <c r="D66" s="23"/>
      <c r="E66" s="23"/>
      <c r="F66"/>
      <c r="G66" s="23"/>
      <c r="H66" s="23"/>
      <c r="I66" s="23"/>
      <c r="J66" s="23"/>
      <c r="K66" s="23"/>
    </row>
    <row r="67" spans="2:11">
      <c r="B67"/>
      <c r="C67" s="23"/>
      <c r="D67" s="23"/>
      <c r="E67" s="23"/>
      <c r="F67"/>
      <c r="G67" s="23"/>
      <c r="H67" s="23"/>
      <c r="I67" s="23"/>
      <c r="J67" s="23"/>
      <c r="K67" s="23"/>
    </row>
    <row r="68" spans="2:11">
      <c r="B68"/>
      <c r="C68" s="23"/>
      <c r="D68" s="23"/>
      <c r="E68" s="23"/>
      <c r="F68"/>
      <c r="G68" s="23"/>
      <c r="H68" s="23"/>
      <c r="I68" s="23"/>
      <c r="J68" s="23"/>
      <c r="K68" s="23"/>
    </row>
    <row r="69" spans="2:11">
      <c r="B69"/>
      <c r="C69" s="23"/>
      <c r="D69" s="23"/>
      <c r="E69" s="23"/>
      <c r="F69"/>
      <c r="G69" s="23"/>
      <c r="H69" s="23"/>
      <c r="I69" s="23"/>
      <c r="J69" s="23"/>
      <c r="K69" s="23"/>
    </row>
    <row r="70" spans="2:11">
      <c r="B70"/>
      <c r="C70" s="23"/>
      <c r="D70" s="23"/>
      <c r="E70" s="23"/>
      <c r="F70" s="23"/>
      <c r="G70" s="23"/>
      <c r="H70" s="23"/>
      <c r="I70" s="23"/>
      <c r="J70" s="23"/>
      <c r="K70" s="23"/>
    </row>
    <row r="71" spans="2:11">
      <c r="B71"/>
      <c r="C71" s="23"/>
      <c r="D71" s="23"/>
      <c r="E71" s="23"/>
      <c r="F71" s="23"/>
      <c r="G71" s="23"/>
      <c r="H71" s="23"/>
      <c r="I71" s="23"/>
      <c r="J71" s="23"/>
      <c r="K71" s="23"/>
    </row>
    <row r="72" spans="2:11">
      <c r="B72"/>
      <c r="C72" s="23"/>
      <c r="D72" s="23"/>
      <c r="E72" s="23"/>
      <c r="F72" s="23"/>
      <c r="G72" s="23"/>
      <c r="H72" s="23"/>
      <c r="I72" s="23"/>
      <c r="J72" s="23"/>
      <c r="K72" s="23"/>
    </row>
    <row r="73" spans="2:11">
      <c r="B73"/>
      <c r="C73" s="23"/>
      <c r="D73" s="23"/>
      <c r="E73" s="23"/>
      <c r="F73" s="23"/>
      <c r="G73" s="23"/>
      <c r="H73" s="23"/>
      <c r="I73" s="23"/>
      <c r="J73" s="23"/>
      <c r="K73" s="23"/>
    </row>
    <row r="74" spans="2:11">
      <c r="B74"/>
      <c r="C74" s="23"/>
      <c r="D74" s="23"/>
      <c r="E74" s="23"/>
      <c r="F74" s="23"/>
      <c r="G74" s="23"/>
      <c r="H74" s="23"/>
      <c r="I74" s="23"/>
      <c r="J74" s="23"/>
      <c r="K74" s="23"/>
    </row>
    <row r="75" spans="2:11">
      <c r="B75"/>
      <c r="C75" s="23"/>
      <c r="D75" s="23"/>
      <c r="E75" s="23"/>
      <c r="F75" s="23"/>
      <c r="G75" s="23"/>
      <c r="H75" s="23"/>
      <c r="I75" s="23"/>
      <c r="J75" s="23"/>
      <c r="K75" s="23"/>
    </row>
    <row r="76" spans="2:11">
      <c r="B76"/>
      <c r="C76" s="23"/>
      <c r="D76" s="23"/>
      <c r="E76" s="23"/>
      <c r="F76" s="23"/>
      <c r="G76" s="23"/>
      <c r="H76" s="23"/>
      <c r="I76" s="23"/>
      <c r="J76" s="23"/>
      <c r="K76" s="23"/>
    </row>
    <row r="77" spans="2:11">
      <c r="B77"/>
      <c r="C77" s="23"/>
      <c r="D77" s="23"/>
      <c r="E77" s="23"/>
      <c r="F77" s="23"/>
      <c r="G77" s="23"/>
      <c r="H77" s="23"/>
      <c r="I77" s="23"/>
      <c r="J77" s="23"/>
      <c r="K77" s="23"/>
    </row>
    <row r="78" spans="2:11">
      <c r="B78"/>
      <c r="C78" s="23"/>
      <c r="D78" s="23"/>
      <c r="E78" s="23"/>
      <c r="F78" s="23"/>
      <c r="G78" s="23"/>
      <c r="H78" s="23"/>
      <c r="I78" s="23"/>
      <c r="J78" s="23"/>
      <c r="K78" s="23"/>
    </row>
    <row r="79" spans="2:11">
      <c r="B79"/>
      <c r="C79" s="23"/>
      <c r="D79" s="23"/>
      <c r="E79" s="23"/>
      <c r="F79" s="23"/>
      <c r="G79" s="23"/>
      <c r="H79" s="23"/>
      <c r="I79" s="23"/>
      <c r="J79" s="23"/>
      <c r="K79" s="23"/>
    </row>
    <row r="80" spans="2:11">
      <c r="B80"/>
      <c r="C80" s="23"/>
      <c r="D80" s="23"/>
      <c r="E80" s="23"/>
      <c r="F80" s="23"/>
      <c r="G80" s="23"/>
      <c r="H80" s="23"/>
      <c r="I80" s="23"/>
      <c r="J80" s="23"/>
      <c r="K80" s="23"/>
    </row>
    <row r="81" spans="2:11">
      <c r="B81"/>
      <c r="C81" s="23"/>
      <c r="D81" s="23"/>
      <c r="E81" s="23"/>
      <c r="F81" s="23"/>
      <c r="G81" s="23"/>
      <c r="H81" s="23"/>
      <c r="I81" s="23"/>
      <c r="J81" s="23"/>
      <c r="K81" s="23"/>
    </row>
    <row r="82" spans="2:11">
      <c r="B82"/>
      <c r="C82" s="23"/>
      <c r="D82" s="23"/>
      <c r="E82" s="23"/>
      <c r="F82" s="23"/>
      <c r="G82" s="23"/>
      <c r="H82" s="23"/>
      <c r="I82" s="23"/>
      <c r="J82" s="23"/>
      <c r="K82" s="23"/>
    </row>
    <row r="83" spans="2:11">
      <c r="B83"/>
      <c r="C83" s="23"/>
      <c r="D83" s="23"/>
      <c r="E83" s="23"/>
      <c r="F83" s="23"/>
      <c r="G83" s="23"/>
      <c r="H83" s="23"/>
      <c r="I83" s="23"/>
      <c r="J83" s="23"/>
      <c r="K83" s="23"/>
    </row>
    <row r="84" spans="2:11">
      <c r="B84"/>
      <c r="C84" s="23"/>
      <c r="D84" s="23"/>
      <c r="E84" s="23"/>
      <c r="F84" s="23"/>
      <c r="G84" s="23"/>
      <c r="H84" s="23"/>
      <c r="I84" s="23"/>
      <c r="J84" s="23"/>
      <c r="K84" s="23"/>
    </row>
    <row r="85" spans="2:11">
      <c r="B85"/>
      <c r="C85" s="23"/>
      <c r="D85" s="23"/>
      <c r="E85" s="23"/>
      <c r="F85" s="23"/>
      <c r="G85" s="23"/>
      <c r="H85" s="23"/>
      <c r="I85" s="23"/>
      <c r="J85" s="23"/>
      <c r="K85" s="23"/>
    </row>
    <row r="86" spans="2:11">
      <c r="B86"/>
      <c r="C86" s="23"/>
      <c r="D86" s="23"/>
      <c r="E86" s="23"/>
      <c r="F86" s="23"/>
      <c r="G86" s="23"/>
      <c r="H86" s="23"/>
      <c r="I86" s="23"/>
      <c r="J86" s="23"/>
      <c r="K86" s="23"/>
    </row>
    <row r="87" spans="2:11">
      <c r="B87"/>
      <c r="C87" s="23"/>
      <c r="D87" s="23"/>
      <c r="E87" s="23"/>
      <c r="F87" s="23"/>
      <c r="G87" s="23"/>
      <c r="H87" s="23"/>
      <c r="I87" s="23"/>
      <c r="J87" s="23"/>
      <c r="K87" s="23"/>
    </row>
    <row r="88" spans="2:11">
      <c r="B88"/>
      <c r="C88" s="23"/>
      <c r="D88" s="23"/>
      <c r="E88" s="23"/>
      <c r="F88" s="23"/>
      <c r="G88" s="23"/>
      <c r="H88" s="23"/>
      <c r="I88" s="23"/>
      <c r="J88" s="23"/>
      <c r="K88" s="23"/>
    </row>
    <row r="89" spans="2:11">
      <c r="B89"/>
      <c r="C89" s="23"/>
      <c r="D89" s="23"/>
      <c r="E89" s="23"/>
      <c r="F89" s="23"/>
      <c r="G89" s="23"/>
      <c r="H89" s="23"/>
      <c r="I89" s="23"/>
      <c r="J89" s="23"/>
      <c r="K89" s="23"/>
    </row>
    <row r="90" spans="2:11">
      <c r="B90"/>
      <c r="C90" s="23"/>
      <c r="D90" s="23"/>
      <c r="E90" s="23"/>
      <c r="F90" s="23"/>
      <c r="G90" s="23"/>
      <c r="H90" s="23"/>
      <c r="I90" s="23"/>
      <c r="J90" s="23"/>
      <c r="K90" s="23"/>
    </row>
    <row r="91" spans="2:11">
      <c r="B91"/>
      <c r="C91" s="23"/>
      <c r="D91" s="23"/>
      <c r="E91" s="23"/>
      <c r="F91" s="23"/>
      <c r="G91" s="23"/>
      <c r="H91" s="23"/>
      <c r="I91" s="23"/>
      <c r="J91" s="23"/>
      <c r="K91" s="23"/>
    </row>
    <row r="92" spans="2:11">
      <c r="B92"/>
      <c r="C92" s="23"/>
      <c r="D92" s="23"/>
      <c r="E92" s="23"/>
      <c r="F92" s="23"/>
      <c r="G92" s="23"/>
      <c r="H92" s="23"/>
      <c r="I92" s="23"/>
      <c r="J92" s="23"/>
      <c r="K92" s="23"/>
    </row>
    <row r="93" spans="2:11">
      <c r="B93"/>
      <c r="C93" s="23"/>
      <c r="D93" s="23"/>
      <c r="E93" s="23"/>
      <c r="F93" s="23"/>
      <c r="G93" s="23"/>
      <c r="H93" s="23"/>
      <c r="I93" s="23"/>
      <c r="J93" s="23"/>
      <c r="K93" s="23"/>
    </row>
    <row r="94" spans="2:11">
      <c r="B94"/>
      <c r="C94" s="23"/>
      <c r="D94" s="23"/>
      <c r="E94" s="23"/>
      <c r="F94" s="23"/>
      <c r="G94" s="23"/>
      <c r="H94" s="23"/>
      <c r="I94" s="23"/>
      <c r="J94" s="23"/>
      <c r="K94" s="23"/>
    </row>
    <row r="95" spans="2:11">
      <c r="B95"/>
      <c r="C95" s="23"/>
      <c r="D95" s="23"/>
      <c r="E95" s="23"/>
      <c r="F95" s="23"/>
      <c r="G95" s="23"/>
      <c r="H95" s="23"/>
      <c r="I95" s="23"/>
      <c r="J95" s="23"/>
      <c r="K95" s="23"/>
    </row>
    <row r="96" spans="2:11">
      <c r="B96"/>
      <c r="C96" s="23"/>
      <c r="D96" s="23"/>
      <c r="E96" s="23"/>
      <c r="F96" s="23"/>
      <c r="G96" s="23"/>
      <c r="H96" s="23"/>
      <c r="I96" s="23"/>
      <c r="J96" s="23"/>
      <c r="K96" s="23"/>
    </row>
    <row r="97" spans="2:11">
      <c r="B97"/>
      <c r="C97" s="23"/>
      <c r="D97" s="23"/>
      <c r="E97" s="23"/>
      <c r="F97" s="23"/>
      <c r="G97" s="23"/>
      <c r="H97" s="23"/>
      <c r="I97" s="23"/>
      <c r="J97" s="23"/>
      <c r="K97" s="23"/>
    </row>
    <row r="98" spans="2:11">
      <c r="B98"/>
      <c r="C98" s="23"/>
      <c r="D98" s="23"/>
      <c r="E98" s="23"/>
      <c r="F98" s="23"/>
      <c r="G98" s="23"/>
      <c r="H98" s="23"/>
      <c r="I98" s="23"/>
      <c r="J98" s="23"/>
      <c r="K98" s="23"/>
    </row>
    <row r="99" spans="2:11">
      <c r="B99"/>
      <c r="C99" s="23"/>
      <c r="D99" s="23"/>
      <c r="E99" s="23"/>
      <c r="F99" s="23"/>
      <c r="G99" s="23"/>
      <c r="H99" s="23"/>
      <c r="I99" s="23"/>
      <c r="J99" s="23"/>
      <c r="K99" s="23"/>
    </row>
    <row r="100" spans="2:11">
      <c r="B100"/>
      <c r="C100" s="23"/>
      <c r="D100" s="23"/>
      <c r="E100" s="23"/>
      <c r="F100" s="23"/>
      <c r="G100" s="23"/>
      <c r="H100" s="23"/>
      <c r="I100" s="23"/>
      <c r="J100" s="23"/>
      <c r="K100" s="23"/>
    </row>
    <row r="101" spans="2:11">
      <c r="B101"/>
      <c r="C101" s="23"/>
      <c r="D101" s="23"/>
      <c r="E101" s="23"/>
      <c r="F101" s="23"/>
      <c r="G101" s="23"/>
      <c r="H101" s="23"/>
      <c r="I101" s="23"/>
      <c r="J101" s="23"/>
      <c r="K101" s="23"/>
    </row>
    <row r="102" spans="2:11">
      <c r="B102"/>
      <c r="C102" s="23"/>
      <c r="D102" s="23"/>
      <c r="E102" s="23"/>
      <c r="F102" s="23"/>
      <c r="G102" s="23"/>
      <c r="H102" s="23"/>
      <c r="I102" s="23"/>
      <c r="J102" s="23"/>
      <c r="K102" s="23"/>
    </row>
    <row r="103" spans="2:11">
      <c r="B103"/>
      <c r="C103" s="23"/>
      <c r="D103" s="23"/>
      <c r="E103" s="23"/>
      <c r="F103" s="23"/>
      <c r="G103" s="23"/>
      <c r="H103" s="23"/>
      <c r="I103" s="23"/>
      <c r="J103" s="23"/>
      <c r="K103" s="23"/>
    </row>
    <row r="104" spans="2:11">
      <c r="B104"/>
      <c r="C104" s="23"/>
      <c r="D104" s="23"/>
      <c r="E104" s="23"/>
      <c r="F104" s="23"/>
      <c r="G104" s="23"/>
      <c r="H104" s="23"/>
      <c r="I104" s="23"/>
      <c r="J104" s="23"/>
      <c r="K104" s="23"/>
    </row>
    <row r="105" spans="2:11">
      <c r="B105"/>
      <c r="C105" s="23"/>
      <c r="D105" s="23"/>
      <c r="E105" s="23"/>
      <c r="F105" s="23"/>
      <c r="G105" s="23"/>
      <c r="H105" s="23"/>
      <c r="I105" s="23"/>
      <c r="J105" s="23"/>
      <c r="K105" s="23"/>
    </row>
    <row r="106" spans="2:11">
      <c r="B106"/>
      <c r="C106" s="23"/>
      <c r="D106" s="23"/>
      <c r="E106" s="23"/>
      <c r="F106" s="23"/>
      <c r="G106" s="23"/>
      <c r="H106" s="23"/>
      <c r="I106" s="23"/>
      <c r="J106" s="23"/>
      <c r="K106" s="23"/>
    </row>
    <row r="107" spans="2:11">
      <c r="B107"/>
      <c r="C107" s="23"/>
      <c r="D107" s="23"/>
      <c r="E107" s="23"/>
      <c r="F107" s="23"/>
      <c r="G107" s="23"/>
      <c r="H107" s="23"/>
      <c r="I107" s="23"/>
      <c r="J107" s="23"/>
      <c r="K107" s="23"/>
    </row>
    <row r="108" spans="2:11">
      <c r="B108"/>
      <c r="C108" s="23"/>
      <c r="D108" s="23"/>
      <c r="E108" s="23"/>
      <c r="F108" s="23"/>
      <c r="G108" s="23"/>
      <c r="H108" s="23"/>
      <c r="I108" s="23"/>
      <c r="J108" s="23"/>
      <c r="K108" s="23"/>
    </row>
    <row r="109" spans="2:11">
      <c r="B109"/>
      <c r="C109" s="23"/>
      <c r="D109" s="23"/>
      <c r="E109" s="23"/>
      <c r="F109" s="23"/>
      <c r="G109" s="23"/>
      <c r="H109" s="23"/>
      <c r="I109" s="23"/>
      <c r="J109" s="23"/>
      <c r="K109" s="23"/>
    </row>
    <row r="110" spans="2:11">
      <c r="B110"/>
      <c r="C110" s="23"/>
      <c r="D110" s="23"/>
      <c r="E110" s="23"/>
      <c r="F110" s="23"/>
      <c r="G110" s="23"/>
      <c r="H110" s="23"/>
      <c r="I110" s="23"/>
      <c r="J110" s="23"/>
      <c r="K110" s="23"/>
    </row>
    <row r="111" spans="2:11">
      <c r="B111"/>
      <c r="C111" s="23"/>
      <c r="D111" s="23"/>
      <c r="E111" s="23"/>
      <c r="F111" s="23"/>
      <c r="G111" s="23"/>
      <c r="H111" s="23"/>
      <c r="I111" s="23"/>
      <c r="J111" s="23"/>
      <c r="K111" s="23"/>
    </row>
    <row r="112" spans="2:11">
      <c r="B112"/>
      <c r="C112" s="23"/>
      <c r="D112" s="23"/>
      <c r="E112" s="23"/>
      <c r="F112" s="23"/>
      <c r="G112" s="23"/>
      <c r="H112" s="23"/>
      <c r="I112" s="23"/>
      <c r="J112" s="23"/>
      <c r="K112" s="23"/>
    </row>
    <row r="113" spans="2:11">
      <c r="B113"/>
      <c r="C113" s="23"/>
      <c r="D113" s="23"/>
      <c r="E113" s="23"/>
      <c r="F113" s="23"/>
      <c r="G113" s="23"/>
      <c r="H113" s="23"/>
      <c r="I113" s="23"/>
      <c r="J113" s="23"/>
      <c r="K113" s="23"/>
    </row>
    <row r="114" spans="2:11">
      <c r="B114"/>
      <c r="C114" s="23"/>
      <c r="D114" s="23"/>
      <c r="E114" s="23"/>
      <c r="F114" s="23"/>
      <c r="G114" s="23"/>
      <c r="H114" s="23"/>
      <c r="I114" s="23"/>
      <c r="J114" s="23"/>
      <c r="K114" s="23"/>
    </row>
    <row r="115" spans="2:11">
      <c r="B115"/>
      <c r="C115" s="23"/>
      <c r="D115" s="23"/>
      <c r="E115" s="23"/>
      <c r="F115" s="23"/>
      <c r="G115" s="23"/>
      <c r="H115" s="23"/>
      <c r="I115" s="23"/>
      <c r="J115" s="23"/>
      <c r="K115" s="23"/>
    </row>
    <row r="116" spans="2:11">
      <c r="B116"/>
      <c r="C116" s="23"/>
      <c r="D116" s="23"/>
      <c r="E116" s="23"/>
      <c r="F116" s="23"/>
      <c r="G116" s="23"/>
      <c r="H116" s="23"/>
      <c r="I116" s="23"/>
      <c r="J116" s="23"/>
      <c r="K116" s="23"/>
    </row>
    <row r="117" spans="2:11">
      <c r="B117"/>
      <c r="C117" s="23"/>
      <c r="D117" s="23"/>
      <c r="E117" s="23"/>
      <c r="F117" s="23"/>
      <c r="G117" s="23"/>
      <c r="H117" s="23"/>
      <c r="I117" s="23"/>
      <c r="J117" s="23"/>
      <c r="K117" s="23"/>
    </row>
    <row r="118" spans="2:11">
      <c r="B118"/>
      <c r="C118" s="23"/>
      <c r="D118" s="23"/>
      <c r="E118" s="23"/>
      <c r="F118" s="23"/>
      <c r="G118" s="23"/>
      <c r="H118" s="23"/>
      <c r="I118" s="23"/>
      <c r="J118" s="23"/>
      <c r="K118" s="23"/>
    </row>
    <row r="119" spans="2:11">
      <c r="B119"/>
      <c r="C119" s="23"/>
      <c r="D119" s="23"/>
      <c r="E119" s="23"/>
      <c r="F119" s="23"/>
      <c r="G119" s="23"/>
      <c r="H119" s="23"/>
      <c r="I119" s="23"/>
      <c r="J119" s="23"/>
      <c r="K119" s="23"/>
    </row>
    <row r="120" spans="2:11">
      <c r="B120"/>
      <c r="C120" s="23"/>
      <c r="D120" s="23"/>
      <c r="E120" s="23"/>
      <c r="F120" s="23"/>
      <c r="G120" s="23"/>
      <c r="H120" s="23"/>
      <c r="I120" s="23"/>
      <c r="J120" s="23"/>
      <c r="K120" s="23"/>
    </row>
    <row r="121" spans="2:11">
      <c r="B121"/>
      <c r="C121" s="23"/>
      <c r="D121" s="23"/>
      <c r="E121" s="23"/>
      <c r="F121" s="23"/>
      <c r="G121" s="23"/>
      <c r="H121" s="23"/>
      <c r="I121" s="23"/>
      <c r="J121" s="23"/>
      <c r="K121" s="23"/>
    </row>
    <row r="122" spans="2:11">
      <c r="B122"/>
      <c r="C122" s="23"/>
      <c r="D122" s="23"/>
      <c r="E122" s="23"/>
      <c r="F122" s="23"/>
      <c r="G122" s="23"/>
      <c r="H122" s="23"/>
      <c r="I122" s="23"/>
      <c r="J122" s="23"/>
      <c r="K122" s="23"/>
    </row>
    <row r="123" spans="2:11">
      <c r="B123"/>
      <c r="C123" s="23"/>
      <c r="D123" s="23"/>
      <c r="E123" s="23"/>
      <c r="F123" s="23"/>
      <c r="G123" s="23"/>
      <c r="H123" s="23"/>
      <c r="I123" s="23"/>
      <c r="J123" s="23"/>
      <c r="K123" s="23"/>
    </row>
    <row r="124" spans="2:11">
      <c r="B124"/>
      <c r="C124" s="23"/>
      <c r="D124" s="23"/>
      <c r="E124" s="23"/>
      <c r="F124" s="23"/>
      <c r="G124" s="23"/>
      <c r="H124" s="23"/>
      <c r="I124" s="23"/>
      <c r="J124" s="23"/>
      <c r="K124" s="23"/>
    </row>
    <row r="125" spans="2:11">
      <c r="B125"/>
      <c r="C125" s="23"/>
      <c r="D125" s="23"/>
      <c r="E125" s="23"/>
      <c r="F125" s="23"/>
      <c r="G125" s="23"/>
      <c r="H125" s="23"/>
      <c r="I125" s="23"/>
      <c r="J125" s="23"/>
      <c r="K125" s="23"/>
    </row>
    <row r="126" spans="2:11">
      <c r="B126"/>
      <c r="C126" s="23"/>
      <c r="D126" s="23"/>
      <c r="E126" s="23"/>
      <c r="F126" s="23"/>
      <c r="G126" s="23"/>
      <c r="H126" s="23"/>
      <c r="I126" s="23"/>
      <c r="J126" s="23"/>
      <c r="K126" s="23"/>
    </row>
    <row r="127" spans="2:11">
      <c r="B127"/>
      <c r="C127" s="23"/>
      <c r="D127" s="23"/>
      <c r="E127" s="23"/>
      <c r="F127" s="23"/>
      <c r="G127" s="23"/>
      <c r="H127" s="23"/>
      <c r="I127" s="23"/>
      <c r="J127" s="23"/>
      <c r="K127" s="23"/>
    </row>
    <row r="128" spans="2:11">
      <c r="B128"/>
      <c r="C128" s="23"/>
      <c r="D128" s="23"/>
      <c r="E128" s="23"/>
      <c r="F128" s="23"/>
      <c r="G128" s="23"/>
      <c r="H128" s="23"/>
      <c r="I128" s="23"/>
      <c r="J128" s="23"/>
      <c r="K128" s="23"/>
    </row>
    <row r="129" spans="2:11">
      <c r="B129"/>
      <c r="C129" s="23"/>
      <c r="D129" s="23"/>
      <c r="E129" s="23"/>
      <c r="F129" s="23"/>
      <c r="G129" s="23"/>
      <c r="H129" s="23"/>
      <c r="I129" s="23"/>
      <c r="J129" s="23"/>
      <c r="K129" s="23"/>
    </row>
    <row r="130" spans="2:11">
      <c r="B130"/>
      <c r="C130" s="23"/>
      <c r="D130" s="23"/>
      <c r="E130" s="23"/>
      <c r="F130" s="23"/>
      <c r="G130" s="23"/>
      <c r="H130" s="23"/>
      <c r="I130" s="23"/>
      <c r="J130" s="23"/>
      <c r="K130" s="23"/>
    </row>
    <row r="131" spans="2:11">
      <c r="B131"/>
      <c r="C131" s="23"/>
      <c r="D131" s="23"/>
      <c r="E131" s="23"/>
      <c r="F131" s="23"/>
      <c r="G131" s="23"/>
      <c r="H131" s="23"/>
      <c r="I131" s="23"/>
      <c r="J131" s="23"/>
      <c r="K131" s="23"/>
    </row>
    <row r="132" spans="2:11">
      <c r="B132"/>
      <c r="C132" s="23"/>
      <c r="D132" s="23"/>
      <c r="E132" s="23"/>
      <c r="F132" s="23"/>
      <c r="G132" s="23"/>
      <c r="H132" s="23"/>
      <c r="I132" s="23"/>
      <c r="J132" s="23"/>
      <c r="K132" s="23"/>
    </row>
    <row r="133" spans="2:11">
      <c r="B133"/>
      <c r="C133" s="23"/>
      <c r="D133" s="23"/>
      <c r="E133" s="23"/>
      <c r="F133" s="23"/>
      <c r="G133" s="23"/>
      <c r="H133" s="23"/>
      <c r="I133" s="23"/>
      <c r="J133" s="23"/>
      <c r="K133" s="23"/>
    </row>
    <row r="134" spans="2:11">
      <c r="B134"/>
      <c r="C134" s="23"/>
      <c r="D134" s="23"/>
      <c r="E134" s="23"/>
      <c r="F134" s="23"/>
      <c r="G134" s="23"/>
      <c r="H134" s="23"/>
      <c r="I134" s="23"/>
      <c r="J134" s="23"/>
      <c r="K134" s="23"/>
    </row>
    <row r="135" spans="2:11">
      <c r="B135"/>
      <c r="C135" s="23"/>
      <c r="D135" s="23"/>
      <c r="E135" s="23"/>
      <c r="F135" s="23"/>
      <c r="G135" s="23"/>
      <c r="H135" s="23"/>
      <c r="I135" s="23"/>
      <c r="J135" s="23"/>
      <c r="K135" s="23"/>
    </row>
    <row r="136" spans="2:11">
      <c r="B136"/>
      <c r="C136" s="23"/>
      <c r="D136" s="23"/>
      <c r="E136" s="23"/>
      <c r="F136" s="23"/>
      <c r="G136" s="23"/>
      <c r="H136" s="23"/>
      <c r="I136" s="23"/>
      <c r="J136" s="23"/>
      <c r="K136" s="23"/>
    </row>
    <row r="137" spans="2:11">
      <c r="B137"/>
      <c r="C137" s="23"/>
      <c r="D137" s="23"/>
      <c r="E137" s="23"/>
      <c r="F137" s="23"/>
      <c r="G137" s="23"/>
      <c r="H137" s="23"/>
      <c r="I137" s="23"/>
      <c r="J137" s="23"/>
      <c r="K137" s="23"/>
    </row>
    <row r="138" spans="2:11">
      <c r="B138"/>
      <c r="C138" s="23"/>
      <c r="D138" s="23"/>
      <c r="E138" s="23"/>
      <c r="F138" s="23"/>
      <c r="G138" s="23"/>
      <c r="H138" s="23"/>
      <c r="I138" s="23"/>
      <c r="J138" s="23"/>
      <c r="K138" s="23"/>
    </row>
    <row r="139" spans="2:11">
      <c r="B139"/>
      <c r="C139" s="23"/>
      <c r="D139" s="23"/>
      <c r="E139" s="23"/>
      <c r="F139" s="23"/>
      <c r="G139" s="23"/>
      <c r="H139" s="23"/>
      <c r="I139" s="23"/>
      <c r="J139" s="23"/>
      <c r="K139" s="23"/>
    </row>
    <row r="140" spans="2:11">
      <c r="B140"/>
      <c r="C140" s="23"/>
      <c r="D140" s="23"/>
      <c r="E140" s="23"/>
      <c r="F140" s="23"/>
      <c r="G140" s="23"/>
      <c r="H140" s="23"/>
      <c r="I140" s="23"/>
      <c r="J140" s="23"/>
      <c r="K140" s="23"/>
    </row>
    <row r="141" spans="2:11">
      <c r="B141"/>
      <c r="C141" s="23"/>
      <c r="D141" s="23"/>
      <c r="E141" s="23"/>
      <c r="F141" s="23"/>
      <c r="G141" s="23"/>
      <c r="H141" s="23"/>
      <c r="I141" s="23"/>
      <c r="J141" s="23"/>
      <c r="K141" s="23"/>
    </row>
    <row r="142" spans="2:11">
      <c r="B142"/>
      <c r="C142" s="23"/>
      <c r="D142" s="23"/>
      <c r="E142" s="23"/>
      <c r="F142" s="23"/>
      <c r="G142" s="23"/>
      <c r="H142" s="23"/>
      <c r="I142" s="23"/>
      <c r="J142" s="23"/>
      <c r="K142" s="23"/>
    </row>
    <row r="143" spans="2:11">
      <c r="B143"/>
      <c r="C143" s="23"/>
      <c r="D143" s="23"/>
      <c r="E143" s="23"/>
      <c r="F143" s="23"/>
      <c r="G143" s="23"/>
      <c r="H143" s="23"/>
      <c r="I143" s="23"/>
      <c r="J143" s="23"/>
      <c r="K143" s="23"/>
    </row>
    <row r="144" spans="2:11">
      <c r="B144"/>
      <c r="C144" s="23"/>
      <c r="D144" s="23"/>
      <c r="E144" s="23"/>
      <c r="F144" s="23"/>
      <c r="G144" s="23"/>
      <c r="H144" s="23"/>
      <c r="I144" s="23"/>
      <c r="J144" s="23"/>
      <c r="K144" s="23"/>
    </row>
    <row r="145" spans="2:11">
      <c r="B145"/>
      <c r="C145" s="23"/>
      <c r="D145" s="23"/>
      <c r="E145" s="23"/>
      <c r="F145" s="23"/>
      <c r="G145" s="23"/>
      <c r="H145" s="23"/>
      <c r="I145" s="23"/>
      <c r="J145" s="23"/>
      <c r="K145" s="23"/>
    </row>
    <row r="146" spans="2:11">
      <c r="B146"/>
      <c r="C146" s="23"/>
      <c r="D146" s="23"/>
      <c r="E146" s="23"/>
      <c r="F146" s="23"/>
      <c r="G146" s="23"/>
      <c r="H146" s="23"/>
      <c r="I146" s="23"/>
      <c r="J146" s="23"/>
      <c r="K146" s="23"/>
    </row>
    <row r="147" spans="2:11">
      <c r="B147"/>
      <c r="C147" s="23"/>
      <c r="D147" s="23"/>
      <c r="E147" s="23"/>
      <c r="F147" s="23"/>
      <c r="G147" s="23"/>
      <c r="H147" s="23"/>
      <c r="I147" s="23"/>
      <c r="J147" s="23"/>
      <c r="K147" s="23"/>
    </row>
    <row r="148" spans="2:11">
      <c r="B148"/>
      <c r="C148" s="23"/>
      <c r="D148" s="23"/>
      <c r="E148" s="23"/>
      <c r="F148" s="23"/>
      <c r="G148" s="23"/>
      <c r="H148" s="23"/>
      <c r="I148" s="23"/>
      <c r="J148" s="23"/>
      <c r="K148" s="23"/>
    </row>
    <row r="149" spans="2:11">
      <c r="B149"/>
      <c r="C149" s="23"/>
      <c r="D149" s="23"/>
      <c r="E149" s="23"/>
      <c r="F149" s="23"/>
      <c r="G149" s="23"/>
      <c r="H149" s="23"/>
      <c r="I149" s="23"/>
      <c r="J149" s="23"/>
      <c r="K149" s="23"/>
    </row>
    <row r="150" spans="2:11">
      <c r="B150"/>
      <c r="C150" s="23"/>
      <c r="D150" s="23"/>
      <c r="E150" s="23"/>
      <c r="F150" s="23"/>
      <c r="G150" s="23"/>
      <c r="H150" s="23"/>
      <c r="I150" s="23"/>
      <c r="J150" s="23"/>
      <c r="K150" s="23"/>
    </row>
    <row r="151" spans="2:11">
      <c r="B151"/>
      <c r="C151" s="23"/>
      <c r="D151" s="23"/>
      <c r="E151" s="23"/>
      <c r="F151" s="23"/>
      <c r="G151" s="23"/>
      <c r="H151" s="23"/>
      <c r="I151" s="23"/>
      <c r="J151" s="23"/>
      <c r="K151" s="23"/>
    </row>
    <row r="152" spans="2:11">
      <c r="B152"/>
      <c r="C152" s="23"/>
      <c r="D152" s="23"/>
      <c r="E152" s="23"/>
      <c r="F152" s="23"/>
      <c r="G152" s="23"/>
      <c r="H152" s="23"/>
      <c r="I152" s="23"/>
      <c r="J152" s="23"/>
      <c r="K152" s="23"/>
    </row>
    <row r="153" spans="2:11">
      <c r="B153"/>
      <c r="C153" s="23"/>
      <c r="D153" s="23"/>
      <c r="E153" s="23"/>
      <c r="F153" s="23"/>
      <c r="G153" s="23"/>
      <c r="H153" s="23"/>
      <c r="I153" s="23"/>
      <c r="J153" s="23"/>
      <c r="K153" s="23"/>
    </row>
    <row r="154" spans="2:11">
      <c r="B154"/>
      <c r="C154" s="23"/>
      <c r="D154" s="23"/>
      <c r="E154" s="23"/>
      <c r="F154" s="23"/>
      <c r="G154" s="23"/>
      <c r="H154" s="23"/>
      <c r="I154" s="23"/>
      <c r="J154" s="23"/>
      <c r="K154" s="23"/>
    </row>
    <row r="155" spans="2:11">
      <c r="B155"/>
      <c r="C155" s="23"/>
      <c r="D155" s="23"/>
      <c r="E155" s="23"/>
      <c r="F155" s="23"/>
      <c r="G155" s="23"/>
      <c r="H155" s="23"/>
      <c r="I155" s="23"/>
      <c r="J155" s="23"/>
      <c r="K155" s="23"/>
    </row>
    <row r="156" spans="2:11">
      <c r="B156"/>
      <c r="C156" s="23"/>
      <c r="D156" s="23"/>
      <c r="E156" s="23"/>
      <c r="F156" s="23"/>
      <c r="G156" s="23"/>
      <c r="H156" s="23"/>
      <c r="I156" s="23"/>
      <c r="J156" s="23"/>
      <c r="K156" s="23"/>
    </row>
    <row r="157" spans="2:11">
      <c r="B157"/>
      <c r="C157" s="23"/>
      <c r="D157" s="23"/>
      <c r="E157" s="23"/>
      <c r="F157" s="23"/>
      <c r="G157" s="23"/>
      <c r="H157" s="23"/>
      <c r="I157" s="23"/>
      <c r="J157" s="23"/>
      <c r="K157" s="23"/>
    </row>
    <row r="158" spans="2:11">
      <c r="B158"/>
      <c r="C158" s="23"/>
      <c r="D158" s="23"/>
      <c r="E158" s="23"/>
      <c r="F158" s="23"/>
      <c r="G158" s="23"/>
      <c r="H158" s="23"/>
      <c r="I158" s="23"/>
      <c r="J158" s="23"/>
      <c r="K158" s="23"/>
    </row>
    <row r="159" spans="2:11">
      <c r="B159"/>
      <c r="C159" s="23"/>
      <c r="D159" s="23"/>
      <c r="E159" s="23"/>
      <c r="F159" s="23"/>
      <c r="G159" s="23"/>
      <c r="H159" s="23"/>
      <c r="I159" s="23"/>
      <c r="J159" s="23"/>
      <c r="K159" s="23"/>
    </row>
    <row r="160" spans="2:11">
      <c r="B160"/>
      <c r="C160" s="23"/>
      <c r="D160" s="23"/>
      <c r="E160" s="23"/>
      <c r="F160" s="23"/>
      <c r="G160" s="23"/>
      <c r="H160" s="23"/>
      <c r="I160" s="23"/>
      <c r="J160" s="23"/>
      <c r="K160" s="23"/>
    </row>
    <row r="161" spans="2:11">
      <c r="B161"/>
      <c r="C161" s="23"/>
      <c r="D161" s="23"/>
      <c r="E161" s="23"/>
      <c r="F161" s="23"/>
      <c r="G161" s="23"/>
      <c r="H161" s="23"/>
      <c r="I161" s="23"/>
      <c r="J161" s="23"/>
      <c r="K161" s="23"/>
    </row>
    <row r="162" spans="2:11">
      <c r="B162"/>
      <c r="C162" s="23"/>
      <c r="D162" s="23"/>
      <c r="E162" s="23"/>
      <c r="F162" s="23"/>
      <c r="G162" s="23"/>
      <c r="H162" s="23"/>
      <c r="I162" s="23"/>
      <c r="J162" s="23"/>
      <c r="K162" s="23"/>
    </row>
    <row r="163" spans="2:11">
      <c r="B163"/>
      <c r="C163" s="23"/>
      <c r="D163" s="23"/>
      <c r="E163" s="23"/>
      <c r="F163" s="23"/>
      <c r="G163" s="23"/>
      <c r="H163" s="23"/>
      <c r="I163" s="23"/>
      <c r="J163" s="23"/>
      <c r="K163" s="23"/>
    </row>
    <row r="164" spans="2:11">
      <c r="B164"/>
      <c r="C164" s="23"/>
      <c r="D164" s="23"/>
      <c r="E164" s="23"/>
      <c r="F164" s="23"/>
      <c r="G164" s="23"/>
      <c r="H164" s="23"/>
      <c r="I164" s="23"/>
      <c r="J164" s="23"/>
      <c r="K164" s="23"/>
    </row>
    <row r="165" spans="2:11">
      <c r="B165"/>
      <c r="C165" s="23"/>
      <c r="D165" s="23"/>
      <c r="E165" s="23"/>
      <c r="F165" s="23"/>
      <c r="G165" s="23"/>
      <c r="H165" s="23"/>
      <c r="I165" s="23"/>
      <c r="J165" s="23"/>
      <c r="K165" s="23"/>
    </row>
    <row r="166" spans="2:11">
      <c r="B166"/>
      <c r="C166" s="23"/>
      <c r="D166" s="23"/>
      <c r="E166" s="23"/>
      <c r="F166" s="23"/>
      <c r="G166" s="23"/>
      <c r="H166" s="23"/>
      <c r="I166" s="23"/>
      <c r="J166" s="23"/>
      <c r="K166" s="23"/>
    </row>
    <row r="167" spans="2:11">
      <c r="B167"/>
      <c r="C167" s="23"/>
      <c r="D167" s="23"/>
      <c r="E167" s="23"/>
      <c r="F167" s="23"/>
      <c r="G167" s="23"/>
      <c r="H167" s="23"/>
      <c r="I167" s="23"/>
      <c r="J167" s="23"/>
      <c r="K167" s="23"/>
    </row>
    <row r="168" spans="2:11">
      <c r="B168"/>
      <c r="C168" s="23"/>
      <c r="D168" s="23"/>
      <c r="E168" s="23"/>
      <c r="F168" s="23"/>
      <c r="G168" s="23"/>
      <c r="H168" s="23"/>
      <c r="I168" s="23"/>
      <c r="J168" s="23"/>
      <c r="K168" s="23"/>
    </row>
    <row r="169" spans="2:11">
      <c r="B169"/>
      <c r="C169" s="23"/>
      <c r="D169" s="23"/>
      <c r="E169" s="23"/>
      <c r="F169" s="23"/>
      <c r="G169" s="23"/>
      <c r="H169" s="23"/>
      <c r="I169" s="23"/>
      <c r="J169" s="23"/>
      <c r="K169" s="23"/>
    </row>
    <row r="170" spans="2:11">
      <c r="B170"/>
      <c r="C170" s="23"/>
      <c r="D170" s="23"/>
      <c r="E170" s="23"/>
      <c r="F170" s="23"/>
      <c r="G170" s="23"/>
      <c r="H170" s="23"/>
      <c r="I170" s="23"/>
      <c r="J170" s="23"/>
      <c r="K170" s="23"/>
    </row>
    <row r="171" spans="2:11">
      <c r="B171"/>
      <c r="C171" s="23"/>
      <c r="D171" s="23"/>
      <c r="E171" s="23"/>
      <c r="F171" s="23"/>
      <c r="G171" s="23"/>
      <c r="H171" s="23"/>
      <c r="I171" s="23"/>
      <c r="J171" s="23"/>
      <c r="K171" s="23"/>
    </row>
    <row r="172" spans="2:11">
      <c r="B172"/>
      <c r="C172" s="23"/>
      <c r="D172" s="23"/>
      <c r="E172" s="23"/>
      <c r="F172" s="23"/>
      <c r="G172" s="23"/>
      <c r="H172" s="23"/>
      <c r="I172" s="23"/>
      <c r="J172" s="23"/>
      <c r="K172" s="23"/>
    </row>
    <row r="173" spans="2:11">
      <c r="B173"/>
      <c r="C173" s="23"/>
      <c r="D173" s="23"/>
      <c r="E173" s="23"/>
      <c r="F173" s="23"/>
      <c r="G173" s="23"/>
      <c r="H173" s="23"/>
      <c r="I173" s="23"/>
      <c r="J173" s="23"/>
      <c r="K173" s="23"/>
    </row>
    <row r="174" spans="2:11">
      <c r="B174"/>
      <c r="C174" s="23"/>
      <c r="D174" s="23"/>
      <c r="E174" s="23"/>
      <c r="F174" s="23"/>
      <c r="G174" s="23"/>
      <c r="H174" s="23"/>
      <c r="I174" s="23"/>
      <c r="J174" s="23"/>
      <c r="K174" s="23"/>
    </row>
    <row r="175" spans="2:11">
      <c r="B175"/>
      <c r="C175" s="23"/>
      <c r="D175" s="23"/>
      <c r="E175" s="23"/>
      <c r="F175" s="23"/>
      <c r="G175" s="23"/>
      <c r="H175" s="23"/>
      <c r="I175" s="23"/>
      <c r="J175" s="23"/>
      <c r="K175" s="23"/>
    </row>
    <row r="176" spans="2:11">
      <c r="B176"/>
      <c r="C176" s="23"/>
      <c r="D176" s="23"/>
      <c r="E176" s="23"/>
      <c r="F176" s="23"/>
      <c r="G176" s="23"/>
      <c r="H176" s="23"/>
      <c r="I176" s="23"/>
      <c r="J176" s="23"/>
      <c r="K176" s="23"/>
    </row>
    <row r="177" spans="2:11">
      <c r="B177"/>
      <c r="C177" s="23"/>
      <c r="D177" s="23"/>
      <c r="E177" s="23"/>
      <c r="F177" s="23"/>
      <c r="G177" s="23"/>
      <c r="H177" s="23"/>
      <c r="I177" s="23"/>
      <c r="J177" s="23"/>
      <c r="K177" s="23"/>
    </row>
    <row r="178" spans="2:11">
      <c r="B178"/>
      <c r="C178" s="23"/>
      <c r="D178" s="23"/>
      <c r="E178" s="23"/>
      <c r="F178" s="23"/>
      <c r="G178" s="23"/>
      <c r="H178" s="23"/>
      <c r="I178" s="23"/>
      <c r="J178" s="23"/>
      <c r="K178" s="23"/>
    </row>
    <row r="179" spans="2:11">
      <c r="B179"/>
      <c r="C179" s="23"/>
      <c r="D179" s="23"/>
      <c r="E179" s="23"/>
      <c r="F179" s="23"/>
      <c r="G179" s="23"/>
      <c r="H179" s="23"/>
      <c r="I179" s="23"/>
      <c r="J179" s="23"/>
      <c r="K179" s="23"/>
    </row>
    <row r="180" spans="2:11">
      <c r="B180"/>
      <c r="C180" s="23"/>
      <c r="D180" s="23"/>
      <c r="E180" s="23"/>
      <c r="F180" s="23"/>
      <c r="G180" s="23"/>
      <c r="H180" s="23"/>
      <c r="I180" s="23"/>
      <c r="J180" s="23"/>
      <c r="K180" s="23"/>
    </row>
    <row r="181" spans="2:11">
      <c r="B181"/>
      <c r="C181" s="23"/>
      <c r="D181" s="23"/>
      <c r="E181" s="23"/>
      <c r="F181" s="23"/>
      <c r="G181" s="23"/>
      <c r="H181" s="23"/>
      <c r="I181" s="23"/>
      <c r="J181" s="23"/>
      <c r="K181" s="23"/>
    </row>
    <row r="182" spans="2:11">
      <c r="B182"/>
      <c r="C182" s="23"/>
      <c r="D182" s="23"/>
      <c r="E182" s="23"/>
      <c r="F182" s="23"/>
      <c r="G182" s="23"/>
      <c r="H182" s="23"/>
      <c r="I182" s="23"/>
      <c r="J182" s="23"/>
      <c r="K182" s="23"/>
    </row>
    <row r="183" spans="2:11">
      <c r="B183"/>
      <c r="C183" s="23"/>
      <c r="D183" s="23"/>
      <c r="E183" s="23"/>
      <c r="F183" s="23"/>
      <c r="G183" s="23"/>
      <c r="H183" s="23"/>
      <c r="I183" s="23"/>
      <c r="J183" s="23"/>
      <c r="K183" s="23"/>
    </row>
    <row r="184" spans="2:11">
      <c r="B184"/>
      <c r="C184" s="23"/>
      <c r="D184" s="23"/>
      <c r="E184" s="23"/>
      <c r="F184" s="23"/>
      <c r="G184" s="23"/>
      <c r="H184" s="23"/>
      <c r="I184" s="23"/>
      <c r="J184" s="23"/>
      <c r="K184" s="23"/>
    </row>
    <row r="185" spans="2:11">
      <c r="B185"/>
      <c r="C185" s="23"/>
      <c r="D185" s="23"/>
      <c r="E185" s="23"/>
      <c r="F185" s="23"/>
      <c r="G185" s="23"/>
      <c r="H185" s="23"/>
      <c r="I185" s="23"/>
      <c r="J185" s="23"/>
      <c r="K185" s="23"/>
    </row>
    <row r="186" spans="2:11">
      <c r="B186"/>
      <c r="C186" s="23"/>
      <c r="D186" s="23"/>
      <c r="E186" s="23"/>
      <c r="F186" s="23"/>
      <c r="G186" s="23"/>
      <c r="H186" s="23"/>
      <c r="I186" s="23"/>
      <c r="J186" s="23"/>
      <c r="K186" s="23"/>
    </row>
    <row r="187" spans="2:11">
      <c r="B187"/>
      <c r="C187" s="23"/>
      <c r="D187" s="23"/>
      <c r="E187" s="23"/>
      <c r="F187" s="23"/>
      <c r="G187" s="23"/>
      <c r="H187" s="23"/>
      <c r="I187" s="23"/>
      <c r="J187" s="23"/>
      <c r="K187" s="23"/>
    </row>
    <row r="188" spans="2:11">
      <c r="B188"/>
      <c r="C188" s="23"/>
      <c r="D188" s="23"/>
      <c r="E188" s="23"/>
      <c r="F188" s="23"/>
      <c r="G188" s="23"/>
      <c r="H188" s="23"/>
      <c r="I188" s="23"/>
      <c r="J188" s="23"/>
      <c r="K188" s="23"/>
    </row>
    <row r="189" spans="2:11">
      <c r="B189"/>
      <c r="C189" s="23"/>
      <c r="D189" s="23"/>
      <c r="E189" s="23"/>
      <c r="F189" s="23"/>
      <c r="G189" s="23"/>
      <c r="H189" s="23"/>
      <c r="I189" s="23"/>
      <c r="J189" s="23"/>
      <c r="K189" s="23"/>
    </row>
    <row r="190" spans="2:11">
      <c r="B190"/>
      <c r="C190" s="23"/>
      <c r="D190" s="23"/>
      <c r="E190" s="23"/>
      <c r="F190" s="23"/>
      <c r="G190" s="23"/>
      <c r="H190" s="23"/>
      <c r="I190" s="23"/>
      <c r="J190" s="23"/>
      <c r="K190" s="23"/>
    </row>
    <row r="191" spans="2:11">
      <c r="B191"/>
      <c r="C191" s="23"/>
      <c r="D191" s="23"/>
      <c r="E191" s="23"/>
      <c r="F191" s="23"/>
      <c r="G191" s="23"/>
      <c r="H191" s="23"/>
      <c r="I191" s="23"/>
      <c r="J191" s="23"/>
      <c r="K191" s="23"/>
    </row>
    <row r="192" spans="2:11">
      <c r="B192"/>
      <c r="C192" s="23"/>
      <c r="D192" s="23"/>
      <c r="E192" s="23"/>
      <c r="F192" s="23"/>
      <c r="G192" s="23"/>
      <c r="H192" s="23"/>
      <c r="I192" s="23"/>
      <c r="J192" s="23"/>
      <c r="K192" s="23"/>
    </row>
    <row r="193" spans="2:11">
      <c r="B193"/>
      <c r="C193" s="23"/>
      <c r="D193" s="23"/>
      <c r="E193" s="23"/>
      <c r="F193" s="23"/>
      <c r="G193" s="23"/>
      <c r="H193" s="23"/>
      <c r="I193" s="23"/>
      <c r="J193" s="23"/>
      <c r="K193" s="23"/>
    </row>
    <row r="194" spans="2:11">
      <c r="B194"/>
      <c r="C194" s="23"/>
      <c r="D194" s="23"/>
      <c r="E194" s="23"/>
      <c r="F194" s="23"/>
      <c r="G194" s="23"/>
      <c r="H194" s="23"/>
      <c r="I194" s="23"/>
      <c r="J194" s="23"/>
      <c r="K194" s="23"/>
    </row>
    <row r="195" spans="2:11">
      <c r="B195"/>
      <c r="C195" s="23"/>
      <c r="D195" s="23"/>
      <c r="E195" s="23"/>
      <c r="F195" s="23"/>
      <c r="G195" s="23"/>
      <c r="H195" s="23"/>
      <c r="I195" s="23"/>
      <c r="J195" s="23"/>
      <c r="K195" s="23"/>
    </row>
    <row r="196" spans="2:11">
      <c r="B196"/>
      <c r="C196" s="23"/>
      <c r="D196" s="23"/>
      <c r="E196" s="23"/>
      <c r="F196" s="23"/>
      <c r="G196" s="23"/>
      <c r="H196" s="23"/>
      <c r="I196" s="23"/>
      <c r="J196" s="23"/>
      <c r="K196" s="23"/>
    </row>
    <row r="197" spans="2:11">
      <c r="B197"/>
      <c r="C197" s="23"/>
      <c r="D197" s="23"/>
      <c r="E197" s="23"/>
      <c r="F197" s="23"/>
      <c r="G197" s="23"/>
      <c r="H197" s="23"/>
      <c r="I197" s="23"/>
      <c r="J197" s="23"/>
      <c r="K197" s="23"/>
    </row>
    <row r="198" spans="2:11">
      <c r="B198"/>
      <c r="C198" s="23"/>
      <c r="D198" s="23"/>
      <c r="E198" s="23"/>
      <c r="F198" s="23"/>
      <c r="G198" s="23"/>
      <c r="H198" s="23"/>
      <c r="I198" s="23"/>
      <c r="J198" s="23"/>
      <c r="K198" s="23"/>
    </row>
    <row r="199" spans="2:11">
      <c r="B199"/>
      <c r="C199" s="23"/>
      <c r="D199" s="23"/>
      <c r="E199" s="23"/>
      <c r="F199" s="23"/>
      <c r="G199" s="23"/>
      <c r="H199" s="23"/>
      <c r="I199" s="23"/>
      <c r="J199" s="23"/>
      <c r="K199" s="23"/>
    </row>
    <row r="200" spans="2:11">
      <c r="B200"/>
      <c r="C200" s="23"/>
      <c r="D200" s="23"/>
      <c r="E200" s="23"/>
      <c r="F200" s="23"/>
      <c r="G200" s="23"/>
      <c r="H200" s="23"/>
      <c r="I200" s="23"/>
      <c r="J200" s="23"/>
      <c r="K200" s="23"/>
    </row>
    <row r="201" spans="2:11">
      <c r="B201"/>
      <c r="C201" s="23"/>
      <c r="D201" s="23"/>
      <c r="E201" s="23"/>
      <c r="F201" s="23"/>
      <c r="G201" s="23"/>
      <c r="H201" s="23"/>
      <c r="I201" s="23"/>
      <c r="J201" s="23"/>
      <c r="K201" s="23"/>
    </row>
    <row r="202" spans="2:11">
      <c r="B202"/>
      <c r="C202" s="23"/>
      <c r="D202" s="23"/>
      <c r="E202" s="23"/>
      <c r="F202" s="23"/>
      <c r="G202" s="23"/>
      <c r="H202" s="23"/>
      <c r="I202" s="23"/>
      <c r="J202" s="23"/>
      <c r="K202" s="23"/>
    </row>
    <row r="203" spans="2:11">
      <c r="B203"/>
      <c r="C203" s="23"/>
      <c r="D203" s="23"/>
      <c r="E203" s="23"/>
      <c r="F203" s="23"/>
      <c r="G203" s="23"/>
      <c r="H203" s="23"/>
      <c r="I203" s="23"/>
      <c r="J203" s="23"/>
      <c r="K203" s="23"/>
    </row>
    <row r="204" spans="2:11">
      <c r="B204"/>
      <c r="C204" s="23"/>
      <c r="D204" s="23"/>
      <c r="E204" s="23"/>
      <c r="F204" s="23"/>
      <c r="G204" s="23"/>
      <c r="H204" s="23"/>
      <c r="I204" s="23"/>
      <c r="J204" s="23"/>
      <c r="K204" s="23"/>
    </row>
    <row r="205" spans="2:11">
      <c r="B205"/>
      <c r="C205" s="23"/>
      <c r="D205" s="23"/>
      <c r="E205" s="23"/>
      <c r="F205" s="23"/>
      <c r="G205" s="23"/>
      <c r="H205" s="23"/>
      <c r="I205" s="23"/>
      <c r="J205" s="23"/>
      <c r="K205" s="23"/>
    </row>
    <row r="206" spans="2:11">
      <c r="B206"/>
      <c r="C206" s="23"/>
      <c r="D206" s="23"/>
      <c r="E206" s="23"/>
      <c r="F206" s="23"/>
      <c r="G206" s="23"/>
      <c r="H206" s="23"/>
      <c r="I206" s="23"/>
      <c r="J206" s="23"/>
      <c r="K206" s="23"/>
    </row>
    <row r="207" spans="2:11">
      <c r="B207"/>
      <c r="C207" s="23"/>
      <c r="D207" s="23"/>
      <c r="E207" s="23"/>
      <c r="F207" s="23"/>
      <c r="G207" s="23"/>
      <c r="H207" s="23"/>
      <c r="I207" s="23"/>
      <c r="J207" s="23"/>
      <c r="K207" s="23"/>
    </row>
    <row r="208" spans="2:11">
      <c r="B208"/>
      <c r="C208" s="23"/>
      <c r="D208" s="23"/>
      <c r="E208" s="23"/>
      <c r="F208" s="23"/>
      <c r="G208" s="23"/>
      <c r="H208" s="23"/>
      <c r="I208" s="23"/>
      <c r="J208" s="23"/>
      <c r="K208" s="23"/>
    </row>
    <row r="209" spans="2:11">
      <c r="B209"/>
      <c r="C209" s="23"/>
      <c r="D209" s="23"/>
      <c r="E209" s="23"/>
      <c r="F209" s="23"/>
      <c r="G209" s="23"/>
      <c r="H209" s="23"/>
      <c r="I209" s="23"/>
      <c r="J209" s="23"/>
      <c r="K209" s="23"/>
    </row>
    <row r="210" spans="2:11">
      <c r="B210"/>
      <c r="C210" s="23"/>
      <c r="D210" s="23"/>
      <c r="E210" s="23"/>
      <c r="F210" s="23"/>
      <c r="G210" s="23"/>
      <c r="H210" s="23"/>
      <c r="I210" s="23"/>
      <c r="J210" s="23"/>
      <c r="K210" s="23"/>
    </row>
    <row r="211" spans="2:11">
      <c r="B211"/>
      <c r="C211" s="23"/>
      <c r="D211" s="23"/>
      <c r="E211" s="23"/>
      <c r="F211" s="23"/>
      <c r="G211" s="23"/>
      <c r="H211" s="23"/>
      <c r="I211" s="23"/>
      <c r="J211" s="23"/>
      <c r="K211" s="23"/>
    </row>
    <row r="212" spans="2:11">
      <c r="B212"/>
      <c r="C212" s="23"/>
      <c r="D212" s="23"/>
      <c r="E212" s="23"/>
      <c r="F212" s="23"/>
      <c r="G212" s="23"/>
      <c r="H212" s="23"/>
      <c r="I212" s="23"/>
      <c r="J212" s="23"/>
      <c r="K212" s="23"/>
    </row>
    <row r="213" spans="2:11">
      <c r="B213"/>
      <c r="C213" s="23"/>
      <c r="D213" s="23"/>
      <c r="E213" s="23"/>
      <c r="F213" s="23"/>
      <c r="G213" s="23"/>
      <c r="H213" s="23"/>
      <c r="I213" s="23"/>
      <c r="J213" s="23"/>
      <c r="K213" s="23"/>
    </row>
    <row r="214" spans="2:11">
      <c r="B214"/>
      <c r="C214" s="23"/>
      <c r="D214" s="23"/>
      <c r="E214" s="23"/>
      <c r="F214" s="23"/>
      <c r="G214" s="23"/>
      <c r="H214" s="23"/>
      <c r="I214" s="23"/>
      <c r="J214" s="23"/>
      <c r="K214" s="23"/>
    </row>
    <row r="215" spans="2:11">
      <c r="B215"/>
      <c r="C215" s="23"/>
      <c r="D215" s="23"/>
      <c r="E215" s="23"/>
      <c r="F215" s="23"/>
      <c r="G215" s="23"/>
      <c r="H215" s="23"/>
      <c r="I215" s="23"/>
      <c r="J215" s="23"/>
      <c r="K215" s="23"/>
    </row>
    <row r="216" spans="2:11">
      <c r="B216"/>
      <c r="C216" s="23"/>
      <c r="D216" s="23"/>
      <c r="E216" s="23"/>
      <c r="F216" s="23"/>
      <c r="G216" s="23"/>
      <c r="H216" s="23"/>
      <c r="I216" s="23"/>
      <c r="J216" s="23"/>
      <c r="K216" s="23"/>
    </row>
    <row r="217" spans="2:11">
      <c r="B217"/>
      <c r="C217" s="23"/>
      <c r="D217" s="23"/>
      <c r="E217" s="23"/>
      <c r="F217" s="23"/>
      <c r="G217" s="23"/>
      <c r="H217" s="23"/>
      <c r="I217" s="23"/>
      <c r="J217" s="23"/>
      <c r="K217" s="23"/>
    </row>
    <row r="218" spans="2:11">
      <c r="B218"/>
      <c r="C218" s="23"/>
      <c r="D218" s="23"/>
      <c r="E218" s="23"/>
      <c r="F218" s="23"/>
      <c r="G218" s="23"/>
      <c r="H218" s="23"/>
      <c r="I218" s="23"/>
      <c r="J218" s="23"/>
      <c r="K218" s="23"/>
    </row>
    <row r="219" spans="2:11">
      <c r="B219"/>
      <c r="C219" s="23"/>
      <c r="D219" s="23"/>
      <c r="E219" s="23"/>
      <c r="F219" s="23"/>
      <c r="G219" s="23"/>
      <c r="H219" s="23"/>
      <c r="I219" s="23"/>
      <c r="J219" s="23"/>
      <c r="K219" s="23"/>
    </row>
    <row r="220" spans="2:11">
      <c r="B220"/>
      <c r="C220" s="23"/>
      <c r="D220" s="23"/>
      <c r="E220" s="23"/>
      <c r="F220" s="23"/>
      <c r="G220" s="23"/>
      <c r="H220" s="23"/>
      <c r="I220" s="23"/>
      <c r="J220" s="23"/>
      <c r="K220" s="23"/>
    </row>
    <row r="221" spans="2:11">
      <c r="B221"/>
      <c r="C221" s="23"/>
      <c r="D221" s="23"/>
      <c r="E221" s="23"/>
      <c r="F221" s="23"/>
      <c r="G221" s="23"/>
      <c r="H221" s="23"/>
      <c r="I221" s="23"/>
      <c r="J221" s="23"/>
      <c r="K221" s="23"/>
    </row>
    <row r="222" spans="2:11">
      <c r="B222"/>
      <c r="C222" s="23"/>
      <c r="D222" s="23"/>
      <c r="E222" s="23"/>
      <c r="F222" s="23"/>
      <c r="G222" s="23"/>
      <c r="H222" s="23"/>
      <c r="I222" s="23"/>
      <c r="J222" s="23"/>
      <c r="K222" s="23"/>
    </row>
    <row r="223" spans="2:11">
      <c r="B223"/>
      <c r="C223" s="23"/>
      <c r="D223" s="23"/>
      <c r="E223" s="23"/>
      <c r="F223" s="23"/>
      <c r="G223" s="23"/>
      <c r="H223" s="23"/>
      <c r="I223" s="23"/>
      <c r="J223" s="23"/>
      <c r="K223" s="23"/>
    </row>
    <row r="224" spans="2:11">
      <c r="B224"/>
      <c r="C224" s="23"/>
      <c r="D224" s="23"/>
      <c r="E224" s="23"/>
      <c r="F224" s="23"/>
      <c r="G224" s="23"/>
      <c r="H224" s="23"/>
      <c r="I224" s="23"/>
      <c r="J224" s="23"/>
      <c r="K224" s="23"/>
    </row>
    <row r="225" spans="2:11">
      <c r="B225"/>
      <c r="C225" s="23"/>
      <c r="D225" s="23"/>
      <c r="E225" s="23"/>
      <c r="F225" s="23"/>
      <c r="G225" s="23"/>
      <c r="H225" s="23"/>
      <c r="I225" s="23"/>
      <c r="J225" s="23"/>
      <c r="K225" s="23"/>
    </row>
    <row r="226" spans="2:11">
      <c r="B226"/>
      <c r="C226" s="23"/>
      <c r="D226" s="23"/>
      <c r="E226" s="23"/>
      <c r="F226" s="23"/>
      <c r="G226" s="23"/>
      <c r="H226" s="23"/>
      <c r="I226" s="23"/>
      <c r="J226" s="23"/>
      <c r="K226" s="23"/>
    </row>
    <row r="227" spans="2:11">
      <c r="B227"/>
      <c r="C227" s="23"/>
      <c r="D227" s="23"/>
      <c r="E227" s="23"/>
      <c r="F227" s="23"/>
      <c r="G227" s="23"/>
      <c r="H227" s="23"/>
      <c r="I227" s="23"/>
      <c r="J227" s="23"/>
      <c r="K227" s="23"/>
    </row>
    <row r="228" spans="2:11">
      <c r="B228"/>
      <c r="C228" s="23"/>
      <c r="D228" s="23"/>
      <c r="E228" s="23"/>
      <c r="F228" s="23"/>
      <c r="G228" s="23"/>
      <c r="H228" s="23"/>
      <c r="I228" s="23"/>
      <c r="J228" s="23"/>
      <c r="K228" s="23"/>
    </row>
    <row r="229" spans="2:11">
      <c r="B229"/>
      <c r="C229" s="23"/>
      <c r="D229" s="23"/>
      <c r="E229" s="23"/>
      <c r="F229" s="23"/>
      <c r="G229" s="23"/>
      <c r="H229" s="23"/>
      <c r="I229" s="23"/>
      <c r="J229" s="23"/>
      <c r="K229" s="23"/>
    </row>
    <row r="230" spans="2:11">
      <c r="B230"/>
      <c r="C230" s="23"/>
      <c r="D230" s="23"/>
      <c r="E230" s="23"/>
      <c r="F230" s="23"/>
      <c r="G230" s="23"/>
      <c r="H230" s="23"/>
      <c r="I230" s="23"/>
      <c r="J230" s="23"/>
      <c r="K230" s="23"/>
    </row>
    <row r="231" spans="2:11">
      <c r="B231"/>
      <c r="C231" s="23"/>
      <c r="D231" s="23"/>
      <c r="E231" s="23"/>
      <c r="F231" s="23"/>
      <c r="G231" s="23"/>
      <c r="H231" s="23"/>
      <c r="I231" s="23"/>
      <c r="J231" s="23"/>
      <c r="K231" s="23"/>
    </row>
    <row r="232" spans="2:11">
      <c r="B232"/>
      <c r="C232" s="23"/>
      <c r="D232" s="23"/>
      <c r="E232" s="23"/>
      <c r="F232" s="23"/>
      <c r="G232" s="23"/>
      <c r="H232" s="23"/>
      <c r="I232" s="23"/>
      <c r="J232" s="23"/>
      <c r="K232" s="23"/>
    </row>
    <row r="233" spans="2:11">
      <c r="B233"/>
      <c r="C233" s="23"/>
      <c r="D233" s="23"/>
      <c r="E233" s="23"/>
      <c r="F233" s="23"/>
      <c r="G233" s="23"/>
      <c r="H233" s="23"/>
      <c r="I233" s="23"/>
      <c r="J233" s="23"/>
      <c r="K233" s="23"/>
    </row>
    <row r="234" spans="2:11">
      <c r="B234"/>
      <c r="C234" s="23"/>
      <c r="D234" s="23"/>
      <c r="E234" s="23"/>
      <c r="F234" s="23"/>
      <c r="G234" s="23"/>
      <c r="H234" s="23"/>
      <c r="I234" s="23"/>
      <c r="J234" s="23"/>
      <c r="K234" s="23"/>
    </row>
    <row r="235" spans="2:11">
      <c r="B235"/>
      <c r="C235" s="23"/>
      <c r="D235" s="23"/>
      <c r="E235" s="23"/>
      <c r="F235" s="23"/>
      <c r="G235" s="23"/>
      <c r="H235" s="23"/>
      <c r="I235" s="23"/>
      <c r="J235" s="23"/>
      <c r="K235" s="23"/>
    </row>
    <row r="236" spans="2:11">
      <c r="B236"/>
      <c r="C236" s="23"/>
      <c r="D236" s="23"/>
      <c r="E236" s="23"/>
      <c r="F236" s="23"/>
      <c r="G236" s="23"/>
      <c r="H236" s="23"/>
      <c r="I236" s="23"/>
      <c r="J236" s="23"/>
      <c r="K236" s="23"/>
    </row>
    <row r="237" spans="2:11">
      <c r="B237"/>
      <c r="C237" s="23"/>
      <c r="D237" s="23"/>
      <c r="E237" s="23"/>
      <c r="F237" s="23"/>
      <c r="G237" s="23"/>
      <c r="H237" s="23"/>
      <c r="I237" s="23"/>
      <c r="J237" s="23"/>
      <c r="K237" s="23"/>
    </row>
    <row r="238" spans="2:11">
      <c r="B238"/>
      <c r="C238" s="23"/>
      <c r="D238" s="23"/>
      <c r="E238" s="23"/>
      <c r="F238" s="23"/>
      <c r="G238" s="23"/>
      <c r="H238" s="23"/>
      <c r="I238" s="23"/>
      <c r="J238" s="23"/>
      <c r="K238" s="23"/>
    </row>
    <row r="239" spans="2:11">
      <c r="B239"/>
      <c r="C239" s="23"/>
      <c r="D239" s="23"/>
      <c r="E239" s="23"/>
      <c r="F239" s="23"/>
      <c r="G239" s="23"/>
      <c r="H239" s="23"/>
      <c r="I239" s="23"/>
      <c r="J239" s="23"/>
      <c r="K239" s="23"/>
    </row>
    <row r="240" spans="2:11">
      <c r="B240"/>
      <c r="C240" s="23"/>
      <c r="D240" s="23"/>
      <c r="E240" s="23"/>
      <c r="F240" s="23"/>
      <c r="G240" s="23"/>
      <c r="H240" s="23"/>
      <c r="I240" s="23"/>
      <c r="J240" s="23"/>
      <c r="K240" s="23"/>
    </row>
    <row r="241" spans="2:11">
      <c r="B241"/>
      <c r="C241" s="23"/>
      <c r="D241" s="23"/>
      <c r="E241" s="23"/>
      <c r="F241" s="23"/>
      <c r="G241" s="23"/>
      <c r="H241" s="23"/>
      <c r="I241" s="23"/>
      <c r="J241" s="23"/>
      <c r="K241" s="23"/>
    </row>
    <row r="242" spans="2:11">
      <c r="B242"/>
      <c r="C242" s="23"/>
      <c r="D242" s="23"/>
      <c r="E242" s="23"/>
      <c r="F242" s="23"/>
      <c r="G242" s="23"/>
      <c r="H242" s="23"/>
      <c r="I242" s="23"/>
      <c r="J242" s="23"/>
      <c r="K242" s="23"/>
    </row>
    <row r="243" spans="2:11">
      <c r="B243"/>
      <c r="C243" s="23"/>
      <c r="D243" s="23"/>
      <c r="E243" s="23"/>
      <c r="F243" s="23"/>
      <c r="G243" s="23"/>
      <c r="H243" s="23"/>
      <c r="I243" s="23"/>
      <c r="J243" s="23"/>
      <c r="K243" s="23"/>
    </row>
    <row r="244" spans="2:11">
      <c r="B244"/>
      <c r="C244" s="23"/>
      <c r="D244" s="23"/>
      <c r="E244" s="23"/>
      <c r="F244" s="23"/>
      <c r="G244" s="23"/>
      <c r="H244" s="23"/>
      <c r="I244" s="23"/>
      <c r="J244" s="23"/>
      <c r="K244" s="23"/>
    </row>
    <row r="245" spans="2:11">
      <c r="B245"/>
      <c r="C245" s="23"/>
      <c r="D245" s="23"/>
      <c r="E245" s="23"/>
      <c r="F245" s="23"/>
      <c r="G245" s="23"/>
      <c r="H245" s="23"/>
      <c r="I245" s="23"/>
      <c r="J245" s="23"/>
      <c r="K245" s="23"/>
    </row>
    <row r="246" spans="2:11">
      <c r="B246"/>
      <c r="C246" s="23"/>
      <c r="D246" s="23"/>
      <c r="E246" s="23"/>
      <c r="F246" s="23"/>
      <c r="G246" s="23"/>
      <c r="H246" s="23"/>
      <c r="I246" s="23"/>
      <c r="J246" s="23"/>
      <c r="K246" s="23"/>
    </row>
    <row r="247" spans="2:11">
      <c r="B247"/>
      <c r="C247" s="23"/>
      <c r="D247" s="23"/>
      <c r="E247" s="23"/>
      <c r="F247" s="23"/>
      <c r="G247" s="23"/>
      <c r="H247" s="23"/>
      <c r="I247" s="23"/>
      <c r="J247" s="23"/>
      <c r="K247" s="23"/>
    </row>
    <row r="248" spans="2:11">
      <c r="B248"/>
      <c r="C248" s="23"/>
      <c r="D248" s="23"/>
      <c r="E248" s="23"/>
      <c r="F248" s="23"/>
      <c r="G248" s="23"/>
      <c r="H248" s="23"/>
      <c r="I248" s="23"/>
      <c r="J248" s="23"/>
      <c r="K248" s="23"/>
    </row>
    <row r="249" spans="2:11">
      <c r="B249"/>
      <c r="C249" s="23"/>
      <c r="D249" s="23"/>
      <c r="E249" s="23"/>
      <c r="F249" s="23"/>
      <c r="G249" s="23"/>
      <c r="H249" s="23"/>
      <c r="I249" s="23"/>
      <c r="J249" s="23"/>
      <c r="K249" s="23"/>
    </row>
    <row r="250" spans="2:11">
      <c r="B250"/>
      <c r="C250" s="23"/>
      <c r="D250" s="23"/>
      <c r="E250" s="23"/>
      <c r="F250" s="23"/>
      <c r="G250" s="23"/>
      <c r="H250" s="23"/>
      <c r="I250" s="23"/>
      <c r="J250" s="23"/>
      <c r="K250" s="23"/>
    </row>
    <row r="251" spans="2:11">
      <c r="B251"/>
      <c r="C251" s="23"/>
      <c r="D251" s="23"/>
      <c r="E251" s="23"/>
      <c r="F251" s="23"/>
      <c r="G251" s="23"/>
      <c r="H251" s="23"/>
      <c r="I251" s="23"/>
      <c r="J251" s="23"/>
      <c r="K251" s="23"/>
    </row>
    <row r="252" spans="2:11">
      <c r="B252"/>
      <c r="C252" s="23"/>
      <c r="D252" s="23"/>
      <c r="E252" s="23"/>
      <c r="F252" s="23"/>
      <c r="G252" s="23"/>
      <c r="H252" s="23"/>
      <c r="I252" s="23"/>
      <c r="J252" s="23"/>
      <c r="K252" s="23"/>
    </row>
    <row r="253" spans="2:11">
      <c r="B253"/>
      <c r="C253" s="23"/>
      <c r="D253" s="23"/>
      <c r="E253" s="23"/>
      <c r="F253" s="23"/>
      <c r="G253" s="23"/>
      <c r="H253" s="23"/>
      <c r="I253" s="23"/>
      <c r="J253" s="23"/>
      <c r="K253" s="23"/>
    </row>
    <row r="254" spans="2:11">
      <c r="B254"/>
      <c r="C254" s="23"/>
      <c r="D254" s="23"/>
      <c r="E254" s="23"/>
      <c r="F254" s="23"/>
      <c r="G254" s="23"/>
      <c r="H254" s="23"/>
      <c r="I254" s="23"/>
      <c r="J254" s="23"/>
      <c r="K254" s="23"/>
    </row>
    <row r="255" spans="2:11">
      <c r="B255"/>
      <c r="C255" s="23"/>
      <c r="D255" s="23"/>
      <c r="E255" s="23"/>
      <c r="F255" s="23"/>
      <c r="G255" s="23"/>
      <c r="H255" s="23"/>
      <c r="I255" s="23"/>
      <c r="J255" s="23"/>
      <c r="K255" s="23"/>
    </row>
    <row r="256" spans="2:11">
      <c r="B256"/>
      <c r="C256" s="23"/>
      <c r="D256" s="23"/>
      <c r="E256" s="23"/>
      <c r="F256" s="23"/>
      <c r="G256" s="23"/>
      <c r="H256" s="23"/>
      <c r="I256" s="23"/>
      <c r="J256" s="23"/>
      <c r="K256" s="23"/>
    </row>
    <row r="257" spans="2:11">
      <c r="B257"/>
      <c r="C257" s="23"/>
      <c r="D257" s="23"/>
      <c r="E257" s="23"/>
      <c r="F257" s="23"/>
      <c r="G257" s="23"/>
      <c r="H257" s="23"/>
      <c r="I257" s="23"/>
      <c r="J257" s="23"/>
      <c r="K257" s="23"/>
    </row>
    <row r="258" spans="2:11">
      <c r="B258"/>
      <c r="C258" s="23"/>
      <c r="D258" s="23"/>
      <c r="E258" s="23"/>
      <c r="F258" s="23"/>
      <c r="G258" s="23"/>
      <c r="H258" s="23"/>
      <c r="I258" s="23"/>
      <c r="J258" s="23"/>
      <c r="K258" s="23"/>
    </row>
    <row r="259" spans="2:11">
      <c r="B259"/>
      <c r="C259" s="23"/>
      <c r="D259" s="23"/>
      <c r="E259" s="23"/>
      <c r="F259" s="23"/>
      <c r="G259" s="23"/>
      <c r="H259" s="23"/>
      <c r="I259" s="23"/>
      <c r="J259" s="23"/>
      <c r="K259" s="23"/>
    </row>
    <row r="260" spans="2:11">
      <c r="B260"/>
      <c r="C260" s="23"/>
      <c r="D260" s="23"/>
      <c r="E260" s="23"/>
      <c r="F260" s="23"/>
      <c r="G260" s="23"/>
      <c r="H260" s="23"/>
      <c r="I260" s="23"/>
      <c r="J260" s="23"/>
      <c r="K260" s="23"/>
    </row>
    <row r="261" spans="2:11">
      <c r="B261"/>
      <c r="C261" s="23"/>
      <c r="D261" s="23"/>
      <c r="E261" s="23"/>
      <c r="F261" s="23"/>
      <c r="G261" s="23"/>
      <c r="H261" s="23"/>
      <c r="I261" s="23"/>
      <c r="J261" s="23"/>
      <c r="K261" s="23"/>
    </row>
    <row r="262" spans="2:11">
      <c r="B262"/>
      <c r="C262" s="23"/>
      <c r="D262" s="23"/>
      <c r="E262" s="23"/>
      <c r="F262" s="23"/>
      <c r="G262" s="23"/>
      <c r="H262" s="23"/>
      <c r="I262" s="23"/>
      <c r="J262" s="23"/>
      <c r="K262" s="23"/>
    </row>
    <row r="263" spans="2:11">
      <c r="B263"/>
      <c r="C263" s="23"/>
      <c r="D263" s="23"/>
      <c r="E263" s="23"/>
      <c r="F263" s="23"/>
      <c r="G263" s="23"/>
      <c r="H263" s="23"/>
      <c r="I263" s="23"/>
      <c r="J263" s="23"/>
      <c r="K263" s="23"/>
    </row>
    <row r="264" spans="2:11">
      <c r="B264"/>
      <c r="C264" s="23"/>
      <c r="D264" s="23"/>
      <c r="E264" s="23"/>
      <c r="F264" s="23"/>
      <c r="G264" s="23"/>
      <c r="H264" s="23"/>
      <c r="I264" s="23"/>
      <c r="J264" s="23"/>
      <c r="K264" s="23"/>
    </row>
    <row r="265" spans="2:11">
      <c r="B265"/>
      <c r="C265" s="23"/>
      <c r="D265" s="23"/>
      <c r="E265" s="23"/>
      <c r="F265" s="23"/>
      <c r="G265" s="23"/>
      <c r="H265" s="23"/>
      <c r="I265" s="23"/>
      <c r="J265" s="23"/>
      <c r="K265" s="23"/>
    </row>
    <row r="266" spans="2:11">
      <c r="B266"/>
      <c r="C266" s="23"/>
      <c r="D266" s="23"/>
      <c r="E266" s="23"/>
      <c r="F266" s="23"/>
      <c r="G266" s="23"/>
      <c r="H266" s="23"/>
      <c r="I266" s="23"/>
      <c r="J266" s="23"/>
      <c r="K266" s="23"/>
    </row>
    <row r="267" spans="2:11">
      <c r="B267"/>
      <c r="C267" s="23"/>
      <c r="D267" s="23"/>
      <c r="E267" s="23"/>
      <c r="F267" s="23"/>
      <c r="G267" s="23"/>
      <c r="H267" s="23"/>
      <c r="I267" s="23"/>
      <c r="J267" s="23"/>
      <c r="K267" s="23"/>
    </row>
    <row r="268" spans="2:11">
      <c r="B268"/>
      <c r="C268" s="23"/>
      <c r="D268" s="23"/>
      <c r="E268" s="23"/>
      <c r="F268" s="23"/>
      <c r="G268" s="23"/>
      <c r="H268" s="23"/>
      <c r="I268" s="23"/>
      <c r="J268" s="23"/>
      <c r="K268" s="23"/>
    </row>
    <row r="269" spans="2:11">
      <c r="B269"/>
      <c r="C269" s="23"/>
      <c r="D269" s="23"/>
      <c r="E269" s="23"/>
      <c r="F269" s="23"/>
      <c r="G269" s="23"/>
      <c r="H269" s="23"/>
      <c r="I269" s="23"/>
      <c r="J269" s="23"/>
      <c r="K269" s="23"/>
    </row>
    <row r="270" spans="2:11">
      <c r="B270"/>
      <c r="C270" s="23"/>
      <c r="D270" s="23"/>
      <c r="E270" s="23"/>
      <c r="F270" s="23"/>
      <c r="G270" s="23"/>
      <c r="H270" s="23"/>
      <c r="I270" s="23"/>
      <c r="J270" s="23"/>
      <c r="K270" s="23"/>
    </row>
    <row r="271" spans="2:11">
      <c r="B271"/>
      <c r="C271" s="23"/>
      <c r="D271" s="23"/>
      <c r="E271" s="23"/>
      <c r="F271" s="23"/>
      <c r="G271" s="23"/>
      <c r="H271" s="23"/>
      <c r="I271" s="23"/>
      <c r="J271" s="23"/>
      <c r="K271" s="23"/>
    </row>
    <row r="272" spans="2:11">
      <c r="B272"/>
      <c r="C272" s="23"/>
      <c r="D272" s="23"/>
      <c r="E272" s="23"/>
      <c r="F272" s="23"/>
      <c r="G272" s="23"/>
      <c r="H272" s="23"/>
      <c r="I272" s="23"/>
      <c r="J272" s="23"/>
      <c r="K272" s="23"/>
    </row>
    <row r="273" spans="2:11">
      <c r="B273"/>
      <c r="C273" s="23"/>
      <c r="D273" s="23"/>
      <c r="E273" s="23"/>
      <c r="F273" s="23"/>
      <c r="G273" s="23"/>
      <c r="H273" s="23"/>
      <c r="I273" s="23"/>
      <c r="J273" s="23"/>
      <c r="K273" s="23"/>
    </row>
    <row r="274" spans="2:11">
      <c r="B274"/>
      <c r="C274" s="23"/>
      <c r="D274" s="23"/>
      <c r="E274" s="23"/>
      <c r="F274" s="23"/>
      <c r="G274" s="23"/>
      <c r="H274" s="23"/>
      <c r="I274" s="23"/>
      <c r="J274" s="23"/>
      <c r="K274" s="23"/>
    </row>
    <row r="275" spans="2:11">
      <c r="B275"/>
      <c r="C275" s="23"/>
      <c r="D275" s="23"/>
      <c r="E275" s="23"/>
      <c r="F275" s="23"/>
      <c r="G275" s="23"/>
      <c r="H275" s="23"/>
      <c r="I275" s="23"/>
      <c r="J275" s="23"/>
      <c r="K275" s="23"/>
    </row>
    <row r="276" spans="2:11">
      <c r="B276"/>
      <c r="C276" s="23"/>
      <c r="D276" s="23"/>
      <c r="E276" s="23"/>
      <c r="F276" s="23"/>
      <c r="G276" s="23"/>
      <c r="H276" s="23"/>
      <c r="I276" s="23"/>
      <c r="J276" s="23"/>
      <c r="K276" s="23"/>
    </row>
    <row r="277" spans="2:11">
      <c r="B277"/>
      <c r="C277" s="23"/>
      <c r="D277" s="23"/>
      <c r="E277" s="23"/>
      <c r="F277" s="23"/>
      <c r="G277" s="23"/>
      <c r="H277" s="23"/>
      <c r="I277" s="23"/>
      <c r="J277" s="23"/>
      <c r="K277" s="23"/>
    </row>
    <row r="278" spans="2:11">
      <c r="B278"/>
      <c r="C278" s="23"/>
      <c r="D278" s="23"/>
      <c r="E278" s="23"/>
      <c r="F278" s="23"/>
      <c r="G278" s="23"/>
      <c r="H278" s="23"/>
      <c r="I278" s="23"/>
      <c r="J278" s="23"/>
      <c r="K278" s="23"/>
    </row>
    <row r="279" spans="2:11">
      <c r="B279"/>
      <c r="C279" s="23"/>
      <c r="D279" s="23"/>
      <c r="E279" s="23"/>
      <c r="F279" s="23"/>
      <c r="G279" s="23"/>
      <c r="H279" s="23"/>
      <c r="I279" s="23"/>
      <c r="J279" s="23"/>
      <c r="K279" s="23"/>
    </row>
    <row r="280" spans="2:11">
      <c r="B280"/>
      <c r="C280" s="23"/>
      <c r="D280" s="23"/>
      <c r="E280" s="23"/>
      <c r="F280" s="23"/>
      <c r="G280" s="23"/>
      <c r="H280" s="23"/>
      <c r="I280" s="23"/>
      <c r="J280" s="23"/>
      <c r="K280" s="23"/>
    </row>
    <row r="281" spans="2:11">
      <c r="B281"/>
      <c r="C281" s="23"/>
      <c r="D281" s="23"/>
      <c r="E281" s="23"/>
      <c r="F281" s="23"/>
      <c r="G281" s="23"/>
      <c r="H281" s="23"/>
      <c r="I281" s="23"/>
      <c r="J281" s="23"/>
      <c r="K281" s="23"/>
    </row>
    <row r="282" spans="2:11">
      <c r="B282"/>
      <c r="C282" s="23"/>
      <c r="D282" s="23"/>
      <c r="E282" s="23"/>
      <c r="F282" s="23"/>
      <c r="G282" s="23"/>
      <c r="H282" s="23"/>
      <c r="I282" s="23"/>
      <c r="J282" s="23"/>
      <c r="K282" s="23"/>
    </row>
    <row r="283" spans="2:11">
      <c r="B283"/>
      <c r="C283" s="23"/>
      <c r="D283" s="23"/>
      <c r="E283" s="23"/>
      <c r="F283" s="23"/>
      <c r="G283" s="23"/>
      <c r="H283" s="23"/>
      <c r="I283" s="23"/>
      <c r="J283" s="23"/>
      <c r="K283" s="23"/>
    </row>
    <row r="284" spans="2:11">
      <c r="B284"/>
      <c r="C284" s="23"/>
      <c r="D284" s="23"/>
      <c r="E284" s="23"/>
      <c r="F284" s="23"/>
      <c r="G284" s="23"/>
      <c r="H284" s="23"/>
      <c r="I284" s="23"/>
      <c r="J284" s="23"/>
      <c r="K284" s="23"/>
    </row>
    <row r="285" spans="2:11">
      <c r="B285"/>
      <c r="C285" s="23"/>
      <c r="D285" s="23"/>
      <c r="E285" s="23"/>
      <c r="F285" s="23"/>
      <c r="G285" s="23"/>
      <c r="H285" s="23"/>
      <c r="I285" s="23"/>
      <c r="J285" s="23"/>
      <c r="K285" s="23"/>
    </row>
    <row r="286" spans="2:11">
      <c r="B286"/>
      <c r="C286" s="23"/>
      <c r="D286" s="23"/>
      <c r="E286" s="23"/>
      <c r="F286" s="23"/>
      <c r="G286" s="23"/>
      <c r="H286" s="23"/>
      <c r="I286" s="23"/>
      <c r="J286" s="23"/>
      <c r="K286" s="23"/>
    </row>
    <row r="287" spans="2:11">
      <c r="B287"/>
      <c r="C287" s="23"/>
      <c r="D287" s="23"/>
      <c r="E287" s="23"/>
      <c r="F287" s="23"/>
      <c r="G287" s="23"/>
      <c r="H287" s="23"/>
      <c r="I287" s="23"/>
      <c r="J287" s="23"/>
      <c r="K287" s="23"/>
    </row>
    <row r="288" spans="2:11">
      <c r="B288"/>
      <c r="C288" s="23"/>
      <c r="D288" s="23"/>
      <c r="E288" s="23"/>
      <c r="F288" s="23"/>
      <c r="G288" s="23"/>
      <c r="H288" s="23"/>
      <c r="I288" s="23"/>
      <c r="J288" s="23"/>
      <c r="K288" s="23"/>
    </row>
    <row r="289" spans="2:11">
      <c r="B289"/>
      <c r="C289" s="23"/>
      <c r="D289" s="23"/>
      <c r="E289" s="23"/>
      <c r="F289" s="23"/>
      <c r="G289" s="23"/>
      <c r="H289" s="23"/>
      <c r="I289" s="23"/>
      <c r="J289" s="23"/>
      <c r="K289" s="23"/>
    </row>
    <row r="290" spans="2:11">
      <c r="B290"/>
      <c r="C290" s="23"/>
      <c r="D290" s="23"/>
      <c r="E290" s="23"/>
      <c r="F290" s="23"/>
      <c r="G290" s="23"/>
      <c r="H290" s="23"/>
      <c r="I290" s="23"/>
      <c r="J290" s="23"/>
      <c r="K290" s="23"/>
    </row>
    <row r="291" spans="2:11">
      <c r="B291"/>
      <c r="C291" s="23"/>
      <c r="D291" s="23"/>
      <c r="E291" s="23"/>
      <c r="F291" s="23"/>
      <c r="G291" s="23"/>
      <c r="H291" s="23"/>
      <c r="I291" s="23"/>
      <c r="J291" s="23"/>
      <c r="K291" s="23"/>
    </row>
    <row r="292" spans="2:11">
      <c r="B292"/>
      <c r="C292" s="23"/>
      <c r="D292" s="23"/>
      <c r="E292" s="23"/>
      <c r="F292" s="23"/>
      <c r="G292" s="23"/>
      <c r="H292" s="23"/>
      <c r="I292" s="23"/>
      <c r="J292" s="23"/>
      <c r="K292" s="23"/>
    </row>
    <row r="293" spans="2:11">
      <c r="B293"/>
      <c r="C293" s="23"/>
      <c r="D293" s="23"/>
      <c r="E293" s="23"/>
      <c r="F293" s="23"/>
      <c r="G293" s="23"/>
      <c r="H293" s="23"/>
      <c r="I293" s="23"/>
      <c r="J293" s="23"/>
      <c r="K293" s="23"/>
    </row>
    <row r="294" spans="2:11">
      <c r="B294"/>
      <c r="C294" s="23"/>
      <c r="D294" s="23"/>
      <c r="E294" s="23"/>
      <c r="F294" s="23"/>
      <c r="G294" s="23"/>
      <c r="H294" s="23"/>
      <c r="I294" s="23"/>
      <c r="J294" s="23"/>
      <c r="K294" s="23"/>
    </row>
    <row r="295" spans="2:11">
      <c r="B295"/>
      <c r="C295" s="23"/>
      <c r="D295" s="23"/>
      <c r="E295" s="23"/>
      <c r="F295" s="23"/>
      <c r="G295" s="23"/>
      <c r="H295" s="23"/>
      <c r="I295" s="23"/>
      <c r="J295" s="23"/>
      <c r="K295" s="23"/>
    </row>
    <row r="296" spans="2:11">
      <c r="B296"/>
      <c r="C296" s="23"/>
      <c r="D296" s="23"/>
      <c r="E296" s="23"/>
      <c r="F296" s="23"/>
      <c r="G296" s="23"/>
      <c r="H296" s="23"/>
      <c r="I296" s="23"/>
      <c r="J296" s="23"/>
      <c r="K296" s="23"/>
    </row>
    <row r="297" spans="2:11">
      <c r="B297"/>
      <c r="C297" s="23"/>
      <c r="D297" s="23"/>
      <c r="E297" s="23"/>
      <c r="F297" s="23"/>
      <c r="G297" s="23"/>
      <c r="H297" s="23"/>
      <c r="I297" s="23"/>
      <c r="J297" s="23"/>
      <c r="K297" s="23"/>
    </row>
    <row r="298" spans="2:11">
      <c r="B298"/>
      <c r="C298" s="23"/>
      <c r="D298" s="23"/>
      <c r="E298" s="23"/>
      <c r="F298" s="23"/>
      <c r="G298" s="23"/>
      <c r="H298" s="23"/>
      <c r="I298" s="23"/>
      <c r="J298" s="23"/>
      <c r="K298" s="23"/>
    </row>
    <row r="299" spans="2:11">
      <c r="B299"/>
      <c r="C299" s="23"/>
      <c r="D299" s="23"/>
      <c r="E299" s="23"/>
      <c r="F299" s="23"/>
      <c r="G299" s="23"/>
      <c r="H299" s="23"/>
      <c r="I299" s="23"/>
      <c r="J299" s="23"/>
      <c r="K299" s="23"/>
    </row>
    <row r="300" spans="2:11">
      <c r="B300"/>
      <c r="C300" s="23"/>
      <c r="D300" s="23"/>
      <c r="E300" s="23"/>
      <c r="F300" s="23"/>
      <c r="G300" s="23"/>
      <c r="H300" s="23"/>
      <c r="I300" s="23"/>
      <c r="J300" s="23"/>
      <c r="K300" s="23"/>
    </row>
    <row r="301" spans="2:11">
      <c r="B301"/>
      <c r="C301" s="23"/>
      <c r="D301" s="23"/>
      <c r="E301" s="23"/>
      <c r="F301" s="23"/>
      <c r="G301" s="23"/>
      <c r="H301" s="23"/>
      <c r="I301" s="23"/>
      <c r="J301" s="23"/>
      <c r="K301" s="23"/>
    </row>
    <row r="302" spans="2:11">
      <c r="B302"/>
      <c r="C302" s="23"/>
      <c r="D302" s="23"/>
      <c r="E302" s="23"/>
      <c r="F302" s="23"/>
      <c r="G302" s="23"/>
      <c r="H302" s="23"/>
      <c r="I302" s="23"/>
      <c r="J302" s="23"/>
      <c r="K302" s="23"/>
    </row>
    <row r="303" spans="2:11">
      <c r="B303"/>
      <c r="C303" s="23"/>
      <c r="D303" s="23"/>
      <c r="E303" s="23"/>
      <c r="F303" s="23"/>
      <c r="G303" s="23"/>
      <c r="H303" s="23"/>
      <c r="I303" s="23"/>
      <c r="J303" s="23"/>
      <c r="K303" s="23"/>
    </row>
    <row r="304" spans="2:11">
      <c r="B304"/>
      <c r="C304" s="23"/>
      <c r="D304" s="23"/>
      <c r="E304" s="23"/>
      <c r="F304" s="23"/>
      <c r="G304" s="23"/>
      <c r="H304" s="23"/>
      <c r="I304" s="23"/>
      <c r="J304" s="23"/>
      <c r="K304" s="23"/>
    </row>
    <row r="305" spans="2:11">
      <c r="B305"/>
      <c r="C305" s="23"/>
      <c r="D305" s="23"/>
      <c r="E305" s="23"/>
      <c r="F305" s="23"/>
      <c r="G305" s="23"/>
      <c r="H305" s="23"/>
      <c r="I305" s="23"/>
      <c r="J305" s="23"/>
      <c r="K305" s="23"/>
    </row>
    <row r="306" spans="2:11">
      <c r="B306"/>
      <c r="C306" s="23"/>
      <c r="D306" s="23"/>
      <c r="E306" s="23"/>
      <c r="F306" s="23"/>
      <c r="G306" s="23"/>
      <c r="H306" s="23"/>
      <c r="I306" s="23"/>
      <c r="J306" s="23"/>
      <c r="K306" s="23"/>
    </row>
    <row r="307" spans="2:11">
      <c r="B307"/>
      <c r="C307" s="23"/>
      <c r="D307" s="23"/>
      <c r="E307" s="23"/>
      <c r="F307" s="23"/>
      <c r="G307" s="23"/>
      <c r="H307" s="23"/>
      <c r="I307" s="23"/>
      <c r="J307" s="23"/>
      <c r="K307" s="23"/>
    </row>
    <row r="308" spans="2:11">
      <c r="B308"/>
      <c r="C308" s="23"/>
      <c r="D308" s="23"/>
      <c r="E308" s="23"/>
      <c r="F308" s="23"/>
      <c r="G308" s="23"/>
      <c r="H308" s="23"/>
      <c r="I308" s="23"/>
      <c r="J308" s="23"/>
      <c r="K308" s="23"/>
    </row>
    <row r="309" spans="2:11">
      <c r="B309"/>
      <c r="C309" s="23"/>
      <c r="D309" s="23"/>
      <c r="E309" s="23"/>
      <c r="F309" s="23"/>
      <c r="G309" s="23"/>
      <c r="H309" s="23"/>
      <c r="I309" s="23"/>
      <c r="J309" s="23"/>
      <c r="K309" s="23"/>
    </row>
    <row r="310" spans="2:11">
      <c r="B310"/>
      <c r="C310" s="23"/>
      <c r="D310" s="23"/>
      <c r="E310" s="23"/>
      <c r="F310" s="23"/>
      <c r="G310" s="23"/>
      <c r="H310" s="23"/>
      <c r="I310" s="23"/>
      <c r="J310" s="23"/>
      <c r="K310" s="23"/>
    </row>
    <row r="311" spans="2:11">
      <c r="B311"/>
      <c r="C311" s="23"/>
      <c r="D311" s="23"/>
      <c r="E311" s="23"/>
      <c r="F311" s="23"/>
      <c r="G311" s="23"/>
      <c r="H311" s="23"/>
      <c r="I311" s="23"/>
      <c r="J311" s="23"/>
      <c r="K311" s="23"/>
    </row>
    <row r="312" spans="2:11">
      <c r="B312"/>
      <c r="C312" s="23"/>
      <c r="D312" s="23"/>
      <c r="E312" s="23"/>
      <c r="F312" s="23"/>
      <c r="G312" s="23"/>
      <c r="H312" s="23"/>
      <c r="I312" s="23"/>
      <c r="J312" s="23"/>
      <c r="K312" s="23"/>
    </row>
    <row r="313" spans="2:11">
      <c r="B313"/>
      <c r="C313" s="23"/>
      <c r="D313" s="23"/>
      <c r="E313" s="23"/>
      <c r="F313" s="23"/>
      <c r="G313" s="23"/>
      <c r="H313" s="23"/>
      <c r="I313" s="23"/>
      <c r="J313" s="23"/>
      <c r="K313" s="23"/>
    </row>
    <row r="314" spans="2:11">
      <c r="B314"/>
      <c r="C314" s="23"/>
      <c r="D314" s="23"/>
      <c r="E314" s="23"/>
      <c r="F314" s="23"/>
      <c r="G314" s="23"/>
      <c r="H314" s="23"/>
      <c r="I314" s="23"/>
      <c r="J314" s="23"/>
      <c r="K314" s="23"/>
    </row>
    <row r="315" spans="2:11">
      <c r="B315"/>
      <c r="C315" s="23"/>
      <c r="D315" s="23"/>
      <c r="E315" s="23"/>
      <c r="F315" s="23"/>
      <c r="G315" s="23"/>
      <c r="H315" s="23"/>
      <c r="I315" s="23"/>
      <c r="J315" s="23"/>
      <c r="K315" s="23"/>
    </row>
    <row r="316" spans="2:11">
      <c r="B316"/>
      <c r="C316" s="23"/>
      <c r="D316" s="23"/>
      <c r="E316" s="23"/>
      <c r="F316" s="23"/>
      <c r="G316" s="23"/>
      <c r="H316" s="23"/>
      <c r="I316" s="23"/>
      <c r="J316" s="23"/>
      <c r="K316" s="23"/>
    </row>
    <row r="317" spans="2:11">
      <c r="B317"/>
      <c r="C317" s="23"/>
      <c r="D317" s="23"/>
      <c r="E317" s="23"/>
      <c r="F317" s="23"/>
      <c r="G317" s="23"/>
      <c r="H317" s="23"/>
      <c r="I317" s="23"/>
      <c r="J317" s="23"/>
      <c r="K317" s="23"/>
    </row>
    <row r="318" spans="2:11">
      <c r="B318"/>
      <c r="C318" s="23"/>
      <c r="D318" s="23"/>
      <c r="E318" s="23"/>
      <c r="F318" s="23"/>
      <c r="G318" s="23"/>
      <c r="H318" s="23"/>
      <c r="I318" s="23"/>
      <c r="J318" s="23"/>
      <c r="K318" s="23"/>
    </row>
    <row r="319" spans="2:11">
      <c r="B319"/>
      <c r="C319" s="23"/>
      <c r="D319" s="23"/>
      <c r="E319" s="23"/>
      <c r="F319" s="23"/>
      <c r="G319" s="23"/>
      <c r="H319" s="23"/>
      <c r="I319" s="23"/>
      <c r="J319" s="23"/>
      <c r="K319" s="23"/>
    </row>
    <row r="320" spans="2:11">
      <c r="B320"/>
      <c r="C320" s="23"/>
      <c r="D320" s="23"/>
      <c r="E320" s="23"/>
      <c r="F320" s="23"/>
      <c r="G320" s="23"/>
      <c r="H320" s="23"/>
      <c r="I320" s="23"/>
      <c r="J320" s="23"/>
      <c r="K320" s="23"/>
    </row>
    <row r="321" spans="2:11">
      <c r="B321"/>
      <c r="C321" s="23"/>
      <c r="D321" s="23"/>
      <c r="E321" s="23"/>
      <c r="F321" s="23"/>
      <c r="G321" s="23"/>
      <c r="H321" s="23"/>
      <c r="I321" s="23"/>
      <c r="J321" s="23"/>
      <c r="K321" s="23"/>
    </row>
    <row r="322" spans="2:11">
      <c r="B322"/>
      <c r="C322" s="23"/>
      <c r="D322" s="23"/>
      <c r="E322" s="23"/>
      <c r="F322" s="23"/>
      <c r="G322" s="23"/>
      <c r="H322" s="23"/>
      <c r="I322" s="23"/>
      <c r="J322" s="23"/>
      <c r="K322" s="23"/>
    </row>
    <row r="323" spans="2:11">
      <c r="B323"/>
      <c r="C323" s="23"/>
      <c r="D323" s="23"/>
      <c r="E323" s="23"/>
      <c r="F323" s="23"/>
      <c r="G323" s="23"/>
      <c r="H323" s="23"/>
      <c r="I323" s="23"/>
      <c r="J323" s="23"/>
      <c r="K323" s="23"/>
    </row>
    <row r="324" spans="2:11">
      <c r="B324"/>
      <c r="C324" s="23"/>
      <c r="D324" s="23"/>
      <c r="E324" s="23"/>
      <c r="F324" s="23"/>
      <c r="G324" s="23"/>
      <c r="H324" s="23"/>
      <c r="I324" s="23"/>
      <c r="J324" s="23"/>
      <c r="K324" s="23"/>
    </row>
    <row r="325" spans="2:11">
      <c r="B325"/>
      <c r="C325" s="23"/>
      <c r="D325" s="23"/>
      <c r="E325" s="23"/>
      <c r="F325" s="23"/>
      <c r="G325" s="23"/>
      <c r="H325" s="23"/>
      <c r="I325" s="23"/>
      <c r="J325" s="23"/>
      <c r="K325" s="23"/>
    </row>
    <row r="326" spans="2:11">
      <c r="B326"/>
      <c r="C326" s="23"/>
      <c r="D326" s="23"/>
      <c r="E326" s="23"/>
      <c r="F326" s="23"/>
      <c r="G326" s="23"/>
      <c r="H326" s="23"/>
      <c r="I326" s="23"/>
      <c r="J326" s="23"/>
      <c r="K326" s="23"/>
    </row>
    <row r="327" spans="2:11">
      <c r="B327"/>
      <c r="C327" s="23"/>
      <c r="D327" s="23"/>
      <c r="E327" s="23"/>
      <c r="F327" s="23"/>
      <c r="G327" s="23"/>
      <c r="H327" s="23"/>
      <c r="I327" s="23"/>
      <c r="J327" s="23"/>
      <c r="K327" s="23"/>
    </row>
    <row r="328" spans="2:11">
      <c r="B328"/>
      <c r="C328" s="23"/>
      <c r="D328" s="23"/>
      <c r="E328" s="23"/>
      <c r="F328" s="23"/>
      <c r="G328" s="23"/>
      <c r="H328" s="23"/>
      <c r="I328" s="23"/>
      <c r="J328" s="23"/>
      <c r="K328" s="23"/>
    </row>
    <row r="329" spans="2:11">
      <c r="B329"/>
      <c r="C329" s="23"/>
      <c r="D329" s="23"/>
      <c r="E329" s="23"/>
      <c r="F329" s="23"/>
      <c r="G329" s="23"/>
      <c r="H329" s="23"/>
      <c r="I329" s="23"/>
      <c r="J329" s="23"/>
      <c r="K329" s="23"/>
    </row>
    <row r="330" spans="2:11">
      <c r="B330"/>
      <c r="C330" s="23"/>
      <c r="D330" s="23"/>
      <c r="E330" s="23"/>
      <c r="F330" s="23"/>
      <c r="G330" s="23"/>
      <c r="H330" s="23"/>
      <c r="I330" s="23"/>
      <c r="J330" s="23"/>
      <c r="K330" s="23"/>
    </row>
    <row r="331" spans="2:11">
      <c r="B331"/>
      <c r="C331" s="23"/>
      <c r="D331" s="23"/>
      <c r="E331" s="23"/>
      <c r="F331" s="23"/>
      <c r="G331" s="23"/>
      <c r="H331" s="23"/>
      <c r="I331" s="23"/>
      <c r="J331" s="23"/>
      <c r="K331" s="23"/>
    </row>
    <row r="332" spans="2:11">
      <c r="B332"/>
      <c r="C332" s="23"/>
      <c r="D332" s="23"/>
      <c r="E332" s="23"/>
      <c r="F332" s="23"/>
      <c r="G332" s="23"/>
      <c r="H332" s="23"/>
      <c r="I332" s="23"/>
      <c r="J332" s="23"/>
      <c r="K332" s="23"/>
    </row>
    <row r="333" spans="2:11">
      <c r="B333"/>
      <c r="C333" s="23"/>
      <c r="D333" s="23"/>
      <c r="E333" s="23"/>
      <c r="F333" s="23"/>
      <c r="G333" s="23"/>
      <c r="H333" s="23"/>
      <c r="I333" s="23"/>
      <c r="J333" s="23"/>
      <c r="K333" s="23"/>
    </row>
    <row r="334" spans="2:11">
      <c r="B334"/>
      <c r="C334" s="23"/>
      <c r="D334" s="23"/>
      <c r="E334" s="23"/>
      <c r="F334" s="23"/>
      <c r="G334" s="23"/>
      <c r="H334" s="23"/>
      <c r="I334" s="23"/>
      <c r="J334" s="23"/>
      <c r="K334" s="23"/>
    </row>
    <row r="335" spans="2:11">
      <c r="B335"/>
      <c r="C335" s="23"/>
      <c r="D335" s="23"/>
      <c r="E335" s="23"/>
      <c r="F335" s="23"/>
      <c r="G335" s="23"/>
      <c r="H335" s="23"/>
      <c r="I335" s="23"/>
      <c r="J335" s="23"/>
      <c r="K335" s="23"/>
    </row>
    <row r="336" spans="2:11">
      <c r="B336"/>
      <c r="C336" s="23"/>
      <c r="D336" s="23"/>
      <c r="E336" s="23"/>
      <c r="F336" s="23"/>
      <c r="G336" s="23"/>
      <c r="H336" s="23"/>
      <c r="I336" s="23"/>
      <c r="J336" s="23"/>
      <c r="K336" s="23"/>
    </row>
    <row r="337" spans="2:11">
      <c r="B337"/>
      <c r="C337" s="23"/>
      <c r="D337" s="23"/>
      <c r="E337" s="23"/>
      <c r="F337" s="23"/>
      <c r="G337" s="23"/>
      <c r="H337" s="23"/>
      <c r="I337" s="23"/>
      <c r="J337" s="23"/>
      <c r="K337" s="23"/>
    </row>
    <row r="338" spans="2:11">
      <c r="B338"/>
      <c r="C338" s="23"/>
      <c r="D338" s="23"/>
      <c r="E338" s="23"/>
      <c r="F338" s="23"/>
      <c r="G338" s="23"/>
      <c r="H338" s="23"/>
      <c r="I338" s="23"/>
      <c r="J338" s="23"/>
      <c r="K338" s="23"/>
    </row>
    <row r="339" spans="2:11">
      <c r="B339"/>
      <c r="C339" s="23"/>
      <c r="D339" s="23"/>
      <c r="E339" s="23"/>
      <c r="F339" s="23"/>
      <c r="G339" s="23"/>
      <c r="H339" s="23"/>
      <c r="I339" s="23"/>
      <c r="J339" s="23"/>
      <c r="K339" s="23"/>
    </row>
    <row r="340" spans="2:11">
      <c r="B340"/>
      <c r="C340" s="23"/>
      <c r="D340" s="23"/>
      <c r="E340" s="23"/>
      <c r="F340" s="23"/>
      <c r="G340" s="23"/>
      <c r="H340" s="23"/>
      <c r="I340" s="23"/>
      <c r="J340" s="23"/>
      <c r="K340" s="23"/>
    </row>
    <row r="341" spans="2:11">
      <c r="B341"/>
      <c r="C341" s="23"/>
      <c r="D341" s="23"/>
      <c r="E341" s="23"/>
      <c r="F341" s="23"/>
      <c r="G341" s="23"/>
      <c r="H341" s="23"/>
      <c r="I341" s="23"/>
      <c r="J341" s="23"/>
      <c r="K341" s="23"/>
    </row>
    <row r="342" spans="2:11">
      <c r="B342"/>
      <c r="C342" s="23"/>
      <c r="D342" s="23"/>
      <c r="E342" s="23"/>
      <c r="F342" s="23"/>
      <c r="G342" s="23"/>
      <c r="H342" s="23"/>
      <c r="I342" s="23"/>
      <c r="J342" s="23"/>
      <c r="K342" s="23"/>
    </row>
    <row r="343" spans="2:11">
      <c r="B343"/>
      <c r="C343" s="23"/>
      <c r="D343" s="23"/>
      <c r="E343" s="23"/>
      <c r="F343" s="23"/>
      <c r="G343" s="23"/>
      <c r="H343" s="23"/>
      <c r="I343" s="23"/>
      <c r="J343" s="23"/>
      <c r="K343" s="23"/>
    </row>
    <row r="344" spans="2:11">
      <c r="B344"/>
      <c r="C344" s="23"/>
      <c r="D344" s="23"/>
      <c r="E344" s="23"/>
      <c r="F344" s="23"/>
      <c r="G344" s="23"/>
      <c r="H344" s="23"/>
      <c r="I344" s="23"/>
      <c r="J344" s="23"/>
      <c r="K344" s="23"/>
    </row>
    <row r="345" spans="2:11">
      <c r="B345"/>
      <c r="C345" s="23"/>
      <c r="D345" s="23"/>
      <c r="E345" s="23"/>
      <c r="F345" s="23"/>
      <c r="G345" s="23"/>
      <c r="H345" s="23"/>
      <c r="I345" s="23"/>
      <c r="J345" s="23"/>
      <c r="K345" s="23"/>
    </row>
    <row r="346" spans="2:11">
      <c r="B346"/>
      <c r="C346" s="23"/>
      <c r="D346" s="23"/>
      <c r="E346" s="23"/>
      <c r="F346" s="23"/>
      <c r="G346" s="23"/>
      <c r="H346" s="23"/>
      <c r="I346" s="23"/>
      <c r="J346" s="23"/>
      <c r="K346" s="23"/>
    </row>
    <row r="347" spans="2:11">
      <c r="B347"/>
      <c r="C347" s="23"/>
      <c r="D347" s="23"/>
      <c r="E347" s="23"/>
      <c r="F347" s="23"/>
      <c r="G347" s="23"/>
      <c r="H347" s="23"/>
      <c r="I347" s="23"/>
      <c r="J347" s="23"/>
      <c r="K347" s="23"/>
    </row>
    <row r="348" spans="2:11">
      <c r="B348"/>
      <c r="C348" s="23"/>
      <c r="D348" s="23"/>
      <c r="E348" s="23"/>
      <c r="F348" s="23"/>
      <c r="G348" s="23"/>
      <c r="H348" s="23"/>
      <c r="I348" s="23"/>
      <c r="J348" s="23"/>
      <c r="K348" s="23"/>
    </row>
    <row r="349" spans="2:11">
      <c r="B349"/>
      <c r="C349" s="23"/>
      <c r="D349" s="23"/>
      <c r="E349" s="23"/>
      <c r="F349" s="23"/>
      <c r="G349" s="23"/>
      <c r="H349" s="23"/>
      <c r="I349" s="23"/>
      <c r="J349" s="23"/>
      <c r="K349" s="23"/>
    </row>
    <row r="350" spans="2:11">
      <c r="B350"/>
      <c r="C350" s="23"/>
      <c r="D350" s="23"/>
      <c r="E350" s="23"/>
      <c r="F350" s="23"/>
      <c r="G350" s="23"/>
      <c r="H350" s="23"/>
      <c r="I350" s="23"/>
      <c r="J350" s="23"/>
      <c r="K350" s="23"/>
    </row>
    <row r="351" spans="2:11">
      <c r="B351"/>
      <c r="C351" s="23"/>
      <c r="D351" s="23"/>
      <c r="E351" s="23"/>
      <c r="F351" s="23"/>
      <c r="G351" s="23"/>
      <c r="H351" s="23"/>
      <c r="I351" s="23"/>
      <c r="J351" s="23"/>
      <c r="K351" s="23"/>
    </row>
    <row r="352" spans="2:11">
      <c r="B352"/>
      <c r="C352" s="23"/>
      <c r="D352" s="23"/>
      <c r="E352" s="23"/>
      <c r="F352" s="23"/>
      <c r="G352" s="23"/>
      <c r="H352" s="23"/>
      <c r="I352" s="23"/>
      <c r="J352" s="23"/>
      <c r="K352" s="23"/>
    </row>
    <row r="353" spans="2:11">
      <c r="B353"/>
      <c r="C353" s="23"/>
      <c r="D353" s="23"/>
      <c r="E353" s="23"/>
      <c r="F353" s="23"/>
      <c r="G353" s="23"/>
      <c r="H353" s="23"/>
      <c r="I353" s="23"/>
      <c r="J353" s="23"/>
      <c r="K353" s="23"/>
    </row>
    <row r="354" spans="2:11">
      <c r="B354"/>
      <c r="C354" s="23"/>
      <c r="D354" s="23"/>
      <c r="E354" s="23"/>
      <c r="F354" s="23"/>
      <c r="G354" s="23"/>
      <c r="H354" s="23"/>
      <c r="I354" s="23"/>
      <c r="J354" s="23"/>
      <c r="K354" s="23"/>
    </row>
    <row r="355" spans="2:11">
      <c r="B355"/>
      <c r="C355" s="23"/>
      <c r="D355" s="23"/>
      <c r="E355" s="23"/>
      <c r="F355" s="23"/>
      <c r="G355" s="23"/>
      <c r="H355" s="23"/>
      <c r="I355" s="23"/>
      <c r="J355" s="23"/>
      <c r="K355" s="23"/>
    </row>
    <row r="356" spans="2:11">
      <c r="B356"/>
      <c r="C356" s="23"/>
      <c r="D356" s="23"/>
      <c r="E356" s="23"/>
      <c r="F356" s="23"/>
      <c r="G356" s="23"/>
      <c r="H356" s="23"/>
      <c r="I356" s="23"/>
      <c r="J356" s="23"/>
      <c r="K356" s="23"/>
    </row>
    <row r="357" spans="2:11">
      <c r="B357"/>
      <c r="C357" s="23"/>
      <c r="D357" s="23"/>
      <c r="E357" s="23"/>
      <c r="F357" s="23"/>
      <c r="G357" s="23"/>
      <c r="H357" s="23"/>
      <c r="I357" s="23"/>
      <c r="J357" s="23"/>
      <c r="K357" s="23"/>
    </row>
    <row r="358" spans="2:11">
      <c r="B358"/>
      <c r="C358" s="23"/>
      <c r="D358" s="23"/>
      <c r="E358" s="23"/>
      <c r="F358" s="23"/>
      <c r="G358" s="23"/>
      <c r="H358" s="23"/>
      <c r="I358" s="23"/>
      <c r="J358" s="23"/>
      <c r="K358" s="23"/>
    </row>
    <row r="359" spans="2:11">
      <c r="B359"/>
      <c r="C359" s="23"/>
      <c r="D359" s="23"/>
      <c r="E359" s="23"/>
      <c r="F359" s="23"/>
      <c r="G359" s="23"/>
      <c r="H359" s="23"/>
      <c r="I359" s="23"/>
      <c r="J359" s="23"/>
      <c r="K359" s="23"/>
    </row>
    <row r="360" spans="2:11">
      <c r="B360"/>
      <c r="C360" s="23"/>
      <c r="D360" s="23"/>
      <c r="E360" s="23"/>
      <c r="F360" s="23"/>
      <c r="G360" s="23"/>
      <c r="H360" s="23"/>
      <c r="I360" s="23"/>
      <c r="J360" s="23"/>
      <c r="K360" s="23"/>
    </row>
    <row r="361" spans="2:11">
      <c r="B361"/>
      <c r="C361" s="23"/>
      <c r="D361" s="23"/>
      <c r="E361" s="23"/>
      <c r="F361" s="23"/>
      <c r="G361" s="23"/>
      <c r="H361" s="23"/>
      <c r="I361" s="23"/>
      <c r="J361" s="23"/>
      <c r="K361" s="23"/>
    </row>
    <row r="362" spans="2:11">
      <c r="B362"/>
      <c r="C362" s="23"/>
      <c r="D362" s="23"/>
      <c r="E362" s="23"/>
      <c r="F362" s="23"/>
      <c r="G362" s="23"/>
      <c r="H362" s="23"/>
      <c r="I362" s="23"/>
      <c r="J362" s="23"/>
      <c r="K362" s="23"/>
    </row>
    <row r="363" spans="2:11">
      <c r="B363"/>
      <c r="C363" s="23"/>
      <c r="D363" s="23"/>
      <c r="E363" s="23"/>
      <c r="F363" s="23"/>
      <c r="G363" s="23"/>
      <c r="H363" s="23"/>
      <c r="I363" s="23"/>
      <c r="J363" s="23"/>
      <c r="K363" s="23"/>
    </row>
    <row r="364" spans="2:11">
      <c r="B364"/>
      <c r="C364" s="23"/>
      <c r="D364" s="23"/>
      <c r="E364" s="23"/>
      <c r="F364" s="23"/>
      <c r="G364" s="23"/>
      <c r="H364" s="23"/>
      <c r="I364" s="23"/>
      <c r="J364" s="23"/>
      <c r="K364" s="23"/>
    </row>
    <row r="365" spans="2:11">
      <c r="B365"/>
      <c r="C365" s="23"/>
      <c r="D365" s="23"/>
      <c r="E365" s="23"/>
      <c r="F365" s="23"/>
      <c r="G365" s="23"/>
      <c r="H365" s="23"/>
      <c r="I365" s="23"/>
      <c r="J365" s="23"/>
      <c r="K365" s="23"/>
    </row>
    <row r="366" spans="2:11">
      <c r="B366"/>
      <c r="C366" s="23"/>
      <c r="D366" s="23"/>
      <c r="E366" s="23"/>
      <c r="F366" s="23"/>
      <c r="G366" s="23"/>
      <c r="H366" s="23"/>
      <c r="I366" s="23"/>
      <c r="J366" s="23"/>
      <c r="K366" s="23"/>
    </row>
    <row r="367" spans="2:11">
      <c r="B367"/>
      <c r="C367" s="23"/>
      <c r="D367" s="23"/>
      <c r="E367" s="23"/>
      <c r="F367" s="23"/>
      <c r="G367" s="23"/>
      <c r="H367" s="23"/>
      <c r="I367" s="23"/>
      <c r="J367" s="23"/>
      <c r="K367" s="23"/>
    </row>
    <row r="368" spans="2:11">
      <c r="B368"/>
      <c r="C368" s="23"/>
      <c r="D368" s="23"/>
      <c r="E368" s="23"/>
      <c r="F368" s="23"/>
      <c r="G368" s="23"/>
      <c r="H368" s="23"/>
      <c r="I368" s="23"/>
      <c r="J368" s="23"/>
      <c r="K368" s="23"/>
    </row>
    <row r="369" spans="2:11">
      <c r="B369"/>
      <c r="C369" s="23"/>
      <c r="D369" s="23"/>
      <c r="E369" s="23"/>
      <c r="F369" s="23"/>
      <c r="G369" s="23"/>
      <c r="H369" s="23"/>
      <c r="I369" s="23"/>
      <c r="J369" s="23"/>
      <c r="K369" s="23"/>
    </row>
    <row r="370" spans="2:11">
      <c r="B370"/>
      <c r="C370" s="23"/>
      <c r="D370" s="23"/>
      <c r="E370" s="23"/>
      <c r="F370" s="23"/>
      <c r="G370" s="23"/>
      <c r="H370" s="23"/>
      <c r="I370" s="23"/>
      <c r="J370" s="23"/>
      <c r="K370" s="23"/>
    </row>
    <row r="371" spans="2:11">
      <c r="B371"/>
      <c r="C371" s="23"/>
      <c r="D371" s="23"/>
      <c r="E371" s="23"/>
      <c r="F371" s="23"/>
      <c r="G371" s="23"/>
      <c r="H371" s="23"/>
      <c r="I371" s="23"/>
      <c r="J371" s="23"/>
      <c r="K371" s="23"/>
    </row>
    <row r="372" spans="2:11">
      <c r="B372"/>
      <c r="C372" s="23"/>
      <c r="D372" s="23"/>
      <c r="E372" s="23"/>
      <c r="F372" s="23"/>
      <c r="G372" s="23"/>
      <c r="H372" s="23"/>
      <c r="I372" s="23"/>
      <c r="J372" s="23"/>
      <c r="K372" s="23"/>
    </row>
    <row r="373" spans="2:11">
      <c r="B373"/>
      <c r="C373" s="23"/>
      <c r="D373" s="23"/>
      <c r="E373" s="23"/>
      <c r="F373" s="23"/>
      <c r="G373" s="23"/>
      <c r="H373" s="23"/>
      <c r="I373" s="23"/>
      <c r="J373" s="23"/>
      <c r="K373" s="23"/>
    </row>
    <row r="374" spans="2:11">
      <c r="B374"/>
      <c r="C374" s="23"/>
      <c r="D374" s="23"/>
      <c r="E374" s="23"/>
      <c r="F374" s="23"/>
      <c r="G374" s="23"/>
      <c r="H374" s="23"/>
      <c r="I374" s="23"/>
      <c r="J374" s="23"/>
      <c r="K374" s="23"/>
    </row>
    <row r="375" spans="2:11">
      <c r="B375"/>
      <c r="C375" s="23"/>
      <c r="D375" s="23"/>
      <c r="E375" s="23"/>
      <c r="F375" s="23"/>
      <c r="G375" s="23"/>
      <c r="H375" s="23"/>
      <c r="I375" s="23"/>
      <c r="J375" s="23"/>
      <c r="K375" s="23"/>
    </row>
    <row r="376" spans="2:11">
      <c r="B376"/>
      <c r="C376" s="23"/>
      <c r="D376" s="23"/>
      <c r="E376" s="23"/>
      <c r="F376" s="23"/>
      <c r="G376" s="23"/>
      <c r="H376" s="23"/>
      <c r="I376" s="23"/>
      <c r="J376" s="23"/>
      <c r="K376" s="23"/>
    </row>
    <row r="377" spans="2:11">
      <c r="B377"/>
      <c r="C377" s="23"/>
      <c r="D377" s="23"/>
      <c r="E377" s="23"/>
      <c r="F377" s="23"/>
      <c r="G377" s="23"/>
      <c r="H377" s="23"/>
      <c r="I377" s="23"/>
      <c r="J377" s="23"/>
      <c r="K377" s="23"/>
    </row>
    <row r="378" spans="2:11">
      <c r="B378"/>
      <c r="C378" s="23"/>
      <c r="D378" s="23"/>
      <c r="E378" s="23"/>
      <c r="F378" s="23"/>
      <c r="G378" s="23"/>
      <c r="H378" s="23"/>
      <c r="I378" s="23"/>
      <c r="J378" s="23"/>
      <c r="K378" s="23"/>
    </row>
    <row r="379" spans="2:11">
      <c r="B379"/>
      <c r="C379" s="23"/>
      <c r="D379" s="23"/>
      <c r="E379" s="23"/>
      <c r="F379" s="23"/>
      <c r="G379" s="23"/>
      <c r="H379" s="23"/>
      <c r="I379" s="23"/>
      <c r="J379" s="23"/>
      <c r="K379" s="23"/>
    </row>
    <row r="380" spans="2:11">
      <c r="B380"/>
      <c r="C380" s="23"/>
      <c r="D380" s="23"/>
      <c r="E380" s="23"/>
      <c r="F380" s="23"/>
      <c r="G380" s="23"/>
      <c r="H380" s="23"/>
      <c r="I380" s="23"/>
      <c r="J380" s="23"/>
      <c r="K380" s="23"/>
    </row>
    <row r="381" spans="2:11">
      <c r="B381"/>
      <c r="C381" s="23"/>
      <c r="D381" s="23"/>
      <c r="E381" s="23"/>
      <c r="F381" s="23"/>
      <c r="G381" s="23"/>
      <c r="H381" s="23"/>
      <c r="I381" s="23"/>
      <c r="J381" s="23"/>
      <c r="K381" s="23"/>
    </row>
    <row r="382" spans="2:11">
      <c r="B382"/>
      <c r="C382" s="23"/>
      <c r="D382" s="23"/>
      <c r="E382" s="23"/>
      <c r="F382" s="23"/>
      <c r="G382" s="23"/>
      <c r="H382" s="23"/>
      <c r="I382" s="23"/>
      <c r="J382" s="23"/>
      <c r="K382" s="23"/>
    </row>
    <row r="383" spans="2:11">
      <c r="B383"/>
      <c r="C383" s="23"/>
      <c r="D383" s="23"/>
      <c r="E383" s="23"/>
      <c r="F383" s="23"/>
      <c r="G383" s="23"/>
      <c r="H383" s="23"/>
      <c r="I383" s="23"/>
      <c r="J383" s="23"/>
      <c r="K383" s="23"/>
    </row>
    <row r="384" spans="2:11">
      <c r="B384"/>
      <c r="C384" s="23"/>
      <c r="D384" s="23"/>
      <c r="E384" s="23"/>
      <c r="F384" s="23"/>
      <c r="G384" s="23"/>
      <c r="H384" s="23"/>
      <c r="I384" s="23"/>
      <c r="J384" s="23"/>
      <c r="K384" s="23"/>
    </row>
    <row r="385" spans="2:11">
      <c r="B385"/>
      <c r="C385" s="23"/>
      <c r="D385" s="23"/>
      <c r="E385" s="23"/>
      <c r="F385" s="23"/>
      <c r="G385" s="23"/>
      <c r="H385" s="23"/>
      <c r="I385" s="23"/>
      <c r="J385" s="23"/>
      <c r="K385" s="23"/>
    </row>
    <row r="386" spans="2:11">
      <c r="B386"/>
      <c r="C386" s="23"/>
      <c r="D386" s="23"/>
      <c r="E386" s="23"/>
      <c r="F386" s="23"/>
      <c r="G386" s="23"/>
      <c r="H386" s="23"/>
      <c r="I386" s="23"/>
      <c r="J386" s="23"/>
      <c r="K386" s="23"/>
    </row>
    <row r="387" spans="2:11">
      <c r="B387"/>
      <c r="C387" s="23"/>
      <c r="D387" s="23"/>
      <c r="E387" s="23"/>
      <c r="F387" s="23"/>
      <c r="G387" s="23"/>
      <c r="H387" s="23"/>
      <c r="I387" s="23"/>
      <c r="J387" s="23"/>
      <c r="K387" s="23"/>
    </row>
    <row r="388" spans="2:11">
      <c r="B388"/>
      <c r="C388" s="23"/>
      <c r="D388" s="23"/>
      <c r="E388" s="23"/>
      <c r="F388" s="23"/>
      <c r="G388" s="23"/>
      <c r="H388" s="23"/>
      <c r="I388" s="23"/>
      <c r="J388" s="23"/>
      <c r="K388" s="23"/>
    </row>
    <row r="389" spans="2:11">
      <c r="B389"/>
      <c r="C389" s="23"/>
      <c r="D389" s="23"/>
      <c r="E389" s="23"/>
      <c r="F389" s="23"/>
      <c r="G389" s="23"/>
      <c r="H389" s="23"/>
      <c r="I389" s="23"/>
      <c r="J389" s="23"/>
      <c r="K389" s="23"/>
    </row>
    <row r="390" spans="2:11">
      <c r="B390"/>
      <c r="C390" s="23"/>
      <c r="D390" s="23"/>
      <c r="E390" s="23"/>
      <c r="F390" s="23"/>
      <c r="G390" s="23"/>
      <c r="H390" s="23"/>
      <c r="I390" s="23"/>
      <c r="J390" s="23"/>
      <c r="K390" s="23"/>
    </row>
    <row r="391" spans="2:11">
      <c r="B391"/>
      <c r="C391" s="23"/>
      <c r="D391" s="23"/>
      <c r="E391" s="23"/>
      <c r="F391" s="23"/>
      <c r="G391" s="23"/>
      <c r="H391" s="23"/>
      <c r="I391" s="23"/>
      <c r="J391" s="23"/>
      <c r="K391" s="23"/>
    </row>
    <row r="392" spans="2:11">
      <c r="B392"/>
      <c r="C392" s="23"/>
      <c r="D392" s="23"/>
      <c r="E392" s="23"/>
      <c r="F392" s="23"/>
      <c r="G392" s="23"/>
      <c r="H392" s="23"/>
      <c r="I392" s="23"/>
      <c r="J392" s="23"/>
      <c r="K392" s="23"/>
    </row>
    <row r="393" spans="2:11">
      <c r="B393"/>
      <c r="C393" s="23"/>
      <c r="D393" s="23"/>
      <c r="E393" s="23"/>
      <c r="F393" s="23"/>
      <c r="G393" s="23"/>
      <c r="H393" s="23"/>
      <c r="I393" s="23"/>
      <c r="J393" s="23"/>
      <c r="K393" s="23"/>
    </row>
    <row r="394" spans="2:11">
      <c r="B394"/>
      <c r="C394" s="23"/>
      <c r="D394" s="23"/>
      <c r="E394" s="23"/>
      <c r="F394" s="23"/>
      <c r="G394" s="23"/>
      <c r="H394" s="23"/>
      <c r="I394" s="23"/>
      <c r="J394" s="23"/>
      <c r="K394" s="23"/>
    </row>
    <row r="395" spans="2:11">
      <c r="B395"/>
      <c r="C395" s="23"/>
      <c r="D395" s="23"/>
      <c r="E395" s="23"/>
      <c r="F395" s="23"/>
      <c r="G395" s="23"/>
      <c r="H395" s="23"/>
      <c r="I395" s="23"/>
      <c r="J395" s="23"/>
      <c r="K395" s="23"/>
    </row>
    <row r="396" spans="2:11">
      <c r="B396"/>
      <c r="C396" s="23"/>
      <c r="D396" s="23"/>
      <c r="E396" s="23"/>
      <c r="F396" s="23"/>
      <c r="G396" s="23"/>
      <c r="H396" s="23"/>
      <c r="I396" s="23"/>
      <c r="J396" s="23"/>
      <c r="K396" s="23"/>
    </row>
    <row r="397" spans="2:11">
      <c r="B397"/>
      <c r="C397" s="23"/>
      <c r="D397" s="23"/>
      <c r="E397" s="23"/>
      <c r="F397" s="23"/>
      <c r="G397" s="23"/>
      <c r="H397" s="23"/>
      <c r="I397" s="23"/>
      <c r="J397" s="23"/>
      <c r="K397" s="23"/>
    </row>
    <row r="398" spans="2:11">
      <c r="B398"/>
      <c r="C398" s="23"/>
      <c r="D398" s="23"/>
      <c r="E398" s="23"/>
      <c r="F398" s="23"/>
      <c r="G398" s="23"/>
      <c r="H398" s="23"/>
      <c r="I398" s="23"/>
      <c r="J398" s="23"/>
      <c r="K398" s="23"/>
    </row>
    <row r="399" spans="2:11">
      <c r="B399"/>
      <c r="C399" s="23"/>
      <c r="D399" s="23"/>
      <c r="E399" s="23"/>
      <c r="F399" s="23"/>
      <c r="G399" s="23"/>
      <c r="H399" s="23"/>
      <c r="I399" s="23"/>
      <c r="J399" s="23"/>
      <c r="K399" s="23"/>
    </row>
    <row r="400" spans="2:11">
      <c r="B400"/>
      <c r="C400" s="23"/>
      <c r="D400" s="23"/>
      <c r="E400" s="23"/>
      <c r="F400" s="23"/>
      <c r="G400" s="23"/>
      <c r="H400" s="23"/>
      <c r="I400" s="23"/>
      <c r="J400" s="23"/>
      <c r="K400" s="23"/>
    </row>
    <row r="401" spans="2:11">
      <c r="B401"/>
      <c r="C401" s="23"/>
      <c r="D401" s="23"/>
      <c r="E401" s="23"/>
      <c r="F401" s="23"/>
      <c r="G401" s="23"/>
      <c r="H401" s="23"/>
      <c r="I401" s="23"/>
      <c r="J401" s="23"/>
      <c r="K401" s="23"/>
    </row>
    <row r="402" spans="2:11">
      <c r="B402"/>
      <c r="C402" s="23"/>
      <c r="D402" s="23"/>
      <c r="E402" s="23"/>
      <c r="F402" s="23"/>
      <c r="G402" s="23"/>
      <c r="H402" s="23"/>
      <c r="I402" s="23"/>
      <c r="J402" s="23"/>
      <c r="K402" s="23"/>
    </row>
    <row r="403" spans="2:11">
      <c r="B403"/>
      <c r="C403" s="23"/>
      <c r="D403" s="23"/>
      <c r="E403" s="23"/>
      <c r="F403" s="23"/>
      <c r="G403" s="23"/>
      <c r="H403" s="23"/>
      <c r="I403" s="23"/>
      <c r="J403" s="23"/>
      <c r="K403" s="23"/>
    </row>
    <row r="404" spans="2:11">
      <c r="B404"/>
      <c r="C404" s="23"/>
      <c r="D404" s="23"/>
      <c r="E404" s="23"/>
      <c r="F404" s="23"/>
      <c r="G404" s="23"/>
      <c r="H404" s="23"/>
      <c r="I404" s="23"/>
      <c r="J404" s="23"/>
      <c r="K404" s="23"/>
    </row>
    <row r="405" spans="2:11">
      <c r="B405"/>
      <c r="C405" s="23"/>
      <c r="D405" s="23"/>
      <c r="E405" s="23"/>
      <c r="F405" s="23"/>
      <c r="G405" s="23"/>
      <c r="H405" s="23"/>
      <c r="I405" s="23"/>
      <c r="J405" s="23"/>
      <c r="K405" s="23"/>
    </row>
    <row r="406" spans="2:11">
      <c r="B406"/>
      <c r="C406" s="23"/>
      <c r="D406" s="23"/>
      <c r="E406" s="23"/>
      <c r="F406" s="23"/>
      <c r="G406" s="23"/>
      <c r="H406" s="23"/>
      <c r="I406" s="23"/>
      <c r="J406" s="23"/>
      <c r="K406" s="23"/>
    </row>
    <row r="407" spans="2:11">
      <c r="B407"/>
      <c r="C407" s="23"/>
      <c r="D407" s="23"/>
      <c r="E407" s="23"/>
      <c r="F407" s="23"/>
      <c r="G407" s="23"/>
      <c r="H407" s="23"/>
      <c r="I407" s="23"/>
      <c r="J407" s="23"/>
      <c r="K407" s="23"/>
    </row>
    <row r="408" spans="2:11">
      <c r="B408"/>
      <c r="C408" s="23"/>
      <c r="D408" s="23"/>
      <c r="E408" s="23"/>
      <c r="F408" s="23"/>
      <c r="G408" s="23"/>
      <c r="H408" s="23"/>
      <c r="I408" s="23"/>
      <c r="J408" s="23"/>
      <c r="K408" s="23"/>
    </row>
    <row r="409" spans="2:11">
      <c r="B409"/>
      <c r="C409" s="23"/>
      <c r="D409" s="23"/>
      <c r="E409" s="23"/>
      <c r="F409" s="23"/>
      <c r="G409" s="23"/>
      <c r="H409" s="23"/>
      <c r="I409" s="23"/>
      <c r="J409" s="23"/>
      <c r="K409" s="23"/>
    </row>
    <row r="410" spans="2:11">
      <c r="B410"/>
      <c r="C410" s="23"/>
      <c r="D410" s="23"/>
      <c r="E410" s="23"/>
      <c r="F410" s="23"/>
      <c r="G410" s="23"/>
      <c r="H410" s="23"/>
      <c r="I410" s="23"/>
      <c r="J410" s="23"/>
      <c r="K410" s="23"/>
    </row>
    <row r="411" spans="2:11">
      <c r="B411"/>
      <c r="C411" s="23"/>
      <c r="D411" s="23"/>
      <c r="E411" s="23"/>
      <c r="F411" s="23"/>
      <c r="G411" s="23"/>
      <c r="H411" s="23"/>
      <c r="I411" s="23"/>
      <c r="J411" s="23"/>
      <c r="K411" s="23"/>
    </row>
    <row r="412" spans="2:11">
      <c r="B412"/>
      <c r="C412" s="23"/>
      <c r="D412" s="23"/>
      <c r="E412" s="23"/>
      <c r="F412" s="23"/>
      <c r="G412" s="23"/>
      <c r="H412" s="23"/>
      <c r="I412" s="23"/>
      <c r="J412" s="23"/>
      <c r="K412" s="23"/>
    </row>
    <row r="413" spans="2:11">
      <c r="B413"/>
      <c r="C413" s="23"/>
      <c r="D413" s="23"/>
      <c r="E413" s="23"/>
      <c r="F413" s="23"/>
      <c r="G413" s="23"/>
      <c r="H413" s="23"/>
      <c r="I413" s="23"/>
      <c r="J413" s="23"/>
      <c r="K413" s="23"/>
    </row>
    <row r="414" spans="2:11">
      <c r="B414"/>
      <c r="C414" s="23"/>
      <c r="D414" s="23"/>
      <c r="E414" s="23"/>
      <c r="F414" s="23"/>
      <c r="G414" s="23"/>
      <c r="H414" s="23"/>
      <c r="I414" s="23"/>
      <c r="J414" s="23"/>
      <c r="K414" s="23"/>
    </row>
    <row r="415" spans="2:11">
      <c r="B415"/>
      <c r="C415" s="23"/>
      <c r="D415" s="23"/>
      <c r="E415" s="23"/>
      <c r="F415" s="23"/>
      <c r="G415" s="23"/>
      <c r="H415" s="23"/>
      <c r="I415" s="23"/>
      <c r="J415" s="23"/>
      <c r="K415" s="23"/>
    </row>
    <row r="416" spans="2:11">
      <c r="B416"/>
      <c r="C416" s="23"/>
      <c r="D416" s="23"/>
      <c r="E416" s="23"/>
      <c r="F416" s="23"/>
      <c r="G416" s="23"/>
      <c r="H416" s="23"/>
      <c r="I416" s="23"/>
      <c r="J416" s="23"/>
      <c r="K416" s="23"/>
    </row>
    <row r="417" spans="2:11">
      <c r="B417"/>
      <c r="C417" s="23"/>
      <c r="D417" s="23"/>
      <c r="E417" s="23"/>
      <c r="F417" s="23"/>
      <c r="G417" s="23"/>
      <c r="H417" s="23"/>
      <c r="I417" s="23"/>
      <c r="J417" s="23"/>
      <c r="K417" s="23"/>
    </row>
    <row r="418" spans="2:11">
      <c r="B418"/>
      <c r="C418" s="23"/>
      <c r="D418" s="23"/>
      <c r="E418" s="23"/>
      <c r="F418" s="23"/>
      <c r="G418" s="23"/>
      <c r="H418" s="23"/>
      <c r="I418" s="23"/>
      <c r="J418" s="23"/>
      <c r="K418" s="23"/>
    </row>
    <row r="419" spans="2:11">
      <c r="B419"/>
      <c r="C419" s="23"/>
      <c r="D419" s="23"/>
      <c r="E419" s="23"/>
      <c r="F419" s="23"/>
      <c r="G419" s="23"/>
      <c r="H419" s="23"/>
      <c r="I419" s="23"/>
      <c r="J419" s="23"/>
      <c r="K419" s="23"/>
    </row>
    <row r="420" spans="2:11">
      <c r="B420"/>
      <c r="C420" s="23"/>
      <c r="D420" s="23"/>
      <c r="E420" s="23"/>
      <c r="F420" s="23"/>
      <c r="G420" s="23"/>
      <c r="H420" s="23"/>
      <c r="I420" s="23"/>
      <c r="J420" s="23"/>
      <c r="K420" s="23"/>
    </row>
    <row r="421" spans="2:11">
      <c r="B421"/>
      <c r="C421" s="23"/>
      <c r="D421" s="23"/>
      <c r="E421" s="23"/>
      <c r="F421" s="23"/>
      <c r="G421" s="23"/>
      <c r="H421" s="23"/>
      <c r="I421" s="23"/>
      <c r="J421" s="23"/>
      <c r="K421" s="23"/>
    </row>
    <row r="422" spans="2:11">
      <c r="B422"/>
      <c r="C422" s="23"/>
      <c r="D422" s="23"/>
      <c r="E422" s="23"/>
      <c r="F422" s="23"/>
      <c r="G422" s="23"/>
      <c r="H422" s="23"/>
      <c r="I422" s="23"/>
      <c r="J422" s="23"/>
      <c r="K422" s="23"/>
    </row>
    <row r="423" spans="2:11">
      <c r="B423"/>
      <c r="C423" s="23"/>
      <c r="D423" s="23"/>
      <c r="E423" s="23"/>
      <c r="F423" s="23"/>
      <c r="G423" s="23"/>
      <c r="H423" s="23"/>
      <c r="I423" s="23"/>
      <c r="J423" s="23"/>
      <c r="K423" s="23"/>
    </row>
    <row r="424" spans="2:11">
      <c r="B424"/>
      <c r="C424" s="23"/>
      <c r="D424" s="23"/>
      <c r="E424" s="23"/>
      <c r="F424" s="23"/>
      <c r="G424" s="23"/>
      <c r="H424" s="23"/>
      <c r="I424" s="23"/>
      <c r="J424" s="23"/>
      <c r="K424" s="23"/>
    </row>
    <row r="425" spans="2:11">
      <c r="B425"/>
      <c r="C425" s="23"/>
      <c r="D425" s="23"/>
      <c r="E425" s="23"/>
      <c r="F425" s="23"/>
      <c r="G425" s="23"/>
      <c r="H425" s="23"/>
      <c r="I425" s="23"/>
      <c r="J425" s="23"/>
      <c r="K425" s="23"/>
    </row>
    <row r="426" spans="2:11">
      <c r="B426"/>
      <c r="C426" s="23"/>
      <c r="D426" s="23"/>
      <c r="E426" s="23"/>
      <c r="F426" s="23"/>
      <c r="G426" s="23"/>
      <c r="H426" s="23"/>
      <c r="I426" s="23"/>
      <c r="J426" s="23"/>
      <c r="K426" s="23"/>
    </row>
    <row r="427" spans="2:11">
      <c r="B427"/>
      <c r="C427" s="23"/>
      <c r="D427" s="23"/>
      <c r="E427" s="23"/>
      <c r="F427" s="23"/>
      <c r="G427" s="23"/>
      <c r="H427" s="23"/>
      <c r="I427" s="23"/>
      <c r="J427" s="23"/>
      <c r="K427" s="23"/>
    </row>
    <row r="428" spans="2:11">
      <c r="B428"/>
      <c r="C428" s="23"/>
      <c r="D428" s="23"/>
      <c r="E428" s="23"/>
      <c r="F428" s="23"/>
      <c r="G428" s="23"/>
      <c r="H428" s="23"/>
      <c r="I428" s="23"/>
      <c r="J428" s="23"/>
      <c r="K428" s="23"/>
    </row>
    <row r="429" spans="2:11">
      <c r="B429"/>
      <c r="C429" s="23"/>
      <c r="D429" s="23"/>
      <c r="E429" s="23"/>
      <c r="F429" s="23"/>
      <c r="G429" s="23"/>
      <c r="H429" s="23"/>
      <c r="I429" s="23"/>
      <c r="J429" s="23"/>
      <c r="K429" s="23"/>
    </row>
    <row r="430" spans="2:11">
      <c r="B430"/>
      <c r="C430" s="23"/>
      <c r="D430" s="23"/>
      <c r="E430" s="23"/>
      <c r="F430" s="23"/>
      <c r="G430" s="23"/>
      <c r="H430" s="23"/>
      <c r="I430" s="23"/>
      <c r="J430" s="23"/>
      <c r="K430" s="23"/>
    </row>
    <row r="431" spans="2:11">
      <c r="B431"/>
      <c r="C431" s="23"/>
      <c r="D431" s="23"/>
      <c r="E431" s="23"/>
      <c r="F431" s="23"/>
      <c r="G431" s="23"/>
      <c r="H431" s="23"/>
      <c r="I431" s="23"/>
      <c r="J431" s="23"/>
      <c r="K431" s="23"/>
    </row>
    <row r="432" spans="2:11">
      <c r="B432"/>
      <c r="C432" s="23"/>
      <c r="D432" s="23"/>
      <c r="E432" s="23"/>
      <c r="F432" s="23"/>
      <c r="G432" s="23"/>
      <c r="H432" s="23"/>
      <c r="I432" s="23"/>
      <c r="J432" s="23"/>
      <c r="K432" s="23"/>
    </row>
    <row r="433" spans="2:11">
      <c r="B433"/>
      <c r="C433" s="23"/>
      <c r="D433" s="23"/>
      <c r="E433" s="23"/>
      <c r="F433" s="23"/>
      <c r="G433" s="23"/>
      <c r="H433" s="23"/>
      <c r="I433" s="23"/>
      <c r="J433" s="23"/>
      <c r="K433" s="23"/>
    </row>
    <row r="434" spans="2:11">
      <c r="B434"/>
      <c r="C434" s="23"/>
      <c r="D434" s="23"/>
      <c r="E434" s="23"/>
      <c r="F434" s="23"/>
      <c r="G434" s="23"/>
      <c r="H434" s="23"/>
      <c r="I434" s="23"/>
      <c r="J434" s="23"/>
      <c r="K434" s="23"/>
    </row>
    <row r="435" spans="2:11">
      <c r="B435"/>
      <c r="C435" s="23"/>
      <c r="D435" s="23"/>
      <c r="E435" s="23"/>
      <c r="F435" s="23"/>
      <c r="G435" s="23"/>
      <c r="H435" s="23"/>
      <c r="I435" s="23"/>
      <c r="J435" s="23"/>
      <c r="K435" s="23"/>
    </row>
    <row r="436" spans="2:11">
      <c r="B436"/>
      <c r="C436" s="23"/>
      <c r="D436" s="23"/>
      <c r="E436" s="23"/>
      <c r="F436" s="23"/>
      <c r="G436" s="23"/>
      <c r="H436" s="23"/>
      <c r="I436" s="23"/>
      <c r="J436" s="23"/>
      <c r="K436" s="23"/>
    </row>
    <row r="437" spans="2:11">
      <c r="B437"/>
      <c r="C437" s="23"/>
      <c r="D437" s="23"/>
      <c r="E437" s="23"/>
      <c r="F437" s="23"/>
      <c r="G437" s="23"/>
      <c r="H437" s="23"/>
      <c r="I437" s="23"/>
      <c r="J437" s="23"/>
      <c r="K437" s="23"/>
    </row>
    <row r="438" spans="2:11">
      <c r="B438"/>
      <c r="C438" s="23"/>
      <c r="D438" s="23"/>
      <c r="E438" s="23"/>
      <c r="F438" s="23"/>
      <c r="G438" s="23"/>
      <c r="H438" s="23"/>
      <c r="I438" s="23"/>
      <c r="J438" s="23"/>
      <c r="K438" s="23"/>
    </row>
    <row r="439" spans="2:11">
      <c r="B439"/>
      <c r="C439" s="23"/>
      <c r="D439" s="23"/>
      <c r="E439" s="23"/>
      <c r="F439" s="23"/>
      <c r="G439" s="23"/>
      <c r="H439" s="23"/>
      <c r="I439" s="23"/>
      <c r="J439" s="23"/>
      <c r="K439" s="23"/>
    </row>
    <row r="440" spans="2:11">
      <c r="B440"/>
      <c r="C440" s="23"/>
      <c r="D440" s="23"/>
      <c r="E440" s="23"/>
      <c r="F440" s="23"/>
      <c r="G440" s="23"/>
      <c r="H440" s="23"/>
      <c r="I440" s="23"/>
      <c r="J440" s="23"/>
      <c r="K440" s="23"/>
    </row>
    <row r="441" spans="2:11">
      <c r="B441"/>
      <c r="C441" s="23"/>
      <c r="D441" s="23"/>
      <c r="E441" s="23"/>
      <c r="F441" s="23"/>
      <c r="G441" s="23"/>
      <c r="H441" s="23"/>
      <c r="I441" s="23"/>
      <c r="J441" s="23"/>
      <c r="K441" s="23"/>
    </row>
    <row r="442" spans="2:11">
      <c r="B442"/>
      <c r="C442" s="23"/>
      <c r="D442" s="23"/>
      <c r="E442" s="23"/>
      <c r="F442" s="23"/>
      <c r="G442" s="23"/>
      <c r="H442" s="23"/>
      <c r="I442" s="23"/>
      <c r="J442" s="23"/>
      <c r="K442" s="23"/>
    </row>
    <row r="443" spans="2:11">
      <c r="B443"/>
      <c r="C443" s="23"/>
      <c r="D443" s="23"/>
      <c r="E443" s="23"/>
      <c r="F443" s="23"/>
      <c r="G443" s="23"/>
      <c r="H443" s="23"/>
      <c r="I443" s="23"/>
      <c r="J443" s="23"/>
      <c r="K443" s="23"/>
    </row>
    <row r="444" spans="2:11">
      <c r="B444"/>
      <c r="C444" s="23"/>
      <c r="D444" s="23"/>
      <c r="E444" s="23"/>
      <c r="F444" s="23"/>
      <c r="G444" s="23"/>
      <c r="H444" s="23"/>
      <c r="I444" s="23"/>
      <c r="J444" s="23"/>
      <c r="K444" s="23"/>
    </row>
    <row r="445" spans="2:11">
      <c r="B445"/>
      <c r="C445" s="23"/>
      <c r="D445" s="23"/>
      <c r="E445" s="23"/>
      <c r="F445" s="23"/>
      <c r="G445" s="23"/>
      <c r="H445" s="23"/>
      <c r="I445" s="23"/>
      <c r="J445" s="23"/>
      <c r="K445" s="23"/>
    </row>
    <row r="446" spans="2:11">
      <c r="B446"/>
      <c r="C446" s="23"/>
      <c r="D446" s="23"/>
      <c r="E446" s="23"/>
      <c r="F446" s="23"/>
      <c r="G446" s="23"/>
      <c r="H446" s="23"/>
      <c r="I446" s="23"/>
      <c r="J446" s="23"/>
      <c r="K446" s="23"/>
    </row>
    <row r="447" spans="2:11">
      <c r="B447"/>
      <c r="C447" s="23"/>
      <c r="D447" s="23"/>
      <c r="E447" s="23"/>
      <c r="F447" s="23"/>
      <c r="G447" s="23"/>
      <c r="H447" s="23"/>
      <c r="I447" s="23"/>
      <c r="J447" s="23"/>
      <c r="K447" s="23"/>
    </row>
    <row r="448" spans="2:11">
      <c r="B448"/>
      <c r="C448" s="23"/>
      <c r="D448" s="23"/>
      <c r="E448" s="23"/>
      <c r="F448" s="23"/>
      <c r="G448" s="23"/>
      <c r="H448" s="23"/>
      <c r="I448" s="23"/>
      <c r="J448" s="23"/>
      <c r="K448" s="23"/>
    </row>
    <row r="449" spans="2:11">
      <c r="B449"/>
      <c r="C449" s="23"/>
      <c r="D449" s="23"/>
      <c r="E449" s="23"/>
      <c r="F449" s="23"/>
      <c r="G449" s="23"/>
      <c r="H449" s="23"/>
      <c r="I449" s="23"/>
      <c r="J449" s="23"/>
      <c r="K449" s="23"/>
    </row>
    <row r="450" spans="2:11">
      <c r="B450"/>
      <c r="C450" s="23"/>
      <c r="D450" s="23"/>
      <c r="E450" s="23"/>
      <c r="F450" s="23"/>
      <c r="G450" s="23"/>
      <c r="H450" s="23"/>
      <c r="I450" s="23"/>
      <c r="J450" s="23"/>
      <c r="K450" s="23"/>
    </row>
    <row r="451" spans="2:11">
      <c r="B451"/>
      <c r="C451" s="23"/>
      <c r="D451" s="23"/>
      <c r="E451" s="23"/>
      <c r="F451" s="23"/>
      <c r="G451" s="23"/>
      <c r="H451" s="23"/>
      <c r="I451" s="23"/>
      <c r="J451" s="23"/>
      <c r="K451" s="23"/>
    </row>
    <row r="452" spans="2:11">
      <c r="B452"/>
      <c r="C452" s="23"/>
      <c r="D452" s="23"/>
      <c r="E452" s="23"/>
      <c r="F452" s="23"/>
      <c r="G452" s="23"/>
      <c r="H452" s="23"/>
      <c r="I452" s="23"/>
      <c r="J452" s="23"/>
      <c r="K452" s="23"/>
    </row>
    <row r="453" spans="2:11">
      <c r="B453"/>
      <c r="C453" s="23"/>
      <c r="D453" s="23"/>
      <c r="E453" s="23"/>
      <c r="F453" s="23"/>
      <c r="G453" s="23"/>
      <c r="H453" s="23"/>
      <c r="I453" s="23"/>
      <c r="J453" s="23"/>
      <c r="K453" s="23"/>
    </row>
    <row r="454" spans="2:11">
      <c r="B454"/>
      <c r="C454" s="23"/>
      <c r="D454" s="23"/>
      <c r="E454" s="23"/>
      <c r="F454" s="23"/>
      <c r="G454" s="23"/>
      <c r="H454" s="23"/>
      <c r="I454" s="23"/>
      <c r="J454" s="23"/>
      <c r="K454" s="23"/>
    </row>
    <row r="455" spans="2:11">
      <c r="B455"/>
      <c r="C455" s="23"/>
      <c r="D455" s="23"/>
      <c r="E455" s="23"/>
      <c r="F455" s="23"/>
      <c r="G455" s="23"/>
      <c r="H455" s="23"/>
      <c r="I455" s="23"/>
      <c r="J455" s="23"/>
      <c r="K455" s="23"/>
    </row>
    <row r="456" spans="2:11">
      <c r="B456"/>
      <c r="C456" s="23"/>
      <c r="D456" s="23"/>
      <c r="E456" s="23"/>
      <c r="F456" s="23"/>
      <c r="G456" s="23"/>
      <c r="H456" s="23"/>
      <c r="I456" s="23"/>
      <c r="J456" s="23"/>
      <c r="K456" s="23"/>
    </row>
    <row r="457" spans="2:11">
      <c r="B457"/>
      <c r="C457" s="23"/>
      <c r="D457" s="23"/>
      <c r="E457" s="23"/>
      <c r="F457" s="23"/>
      <c r="G457" s="23"/>
      <c r="H457" s="23"/>
      <c r="I457" s="23"/>
      <c r="J457" s="23"/>
      <c r="K457" s="23"/>
    </row>
    <row r="458" spans="2:11">
      <c r="B458"/>
      <c r="C458" s="23"/>
      <c r="D458" s="23"/>
      <c r="E458" s="23"/>
      <c r="F458" s="23"/>
      <c r="G458" s="23"/>
      <c r="H458" s="23"/>
      <c r="I458" s="23"/>
      <c r="J458" s="23"/>
      <c r="K458" s="23"/>
    </row>
    <row r="459" spans="2:11">
      <c r="B459"/>
      <c r="C459" s="23"/>
      <c r="D459" s="23"/>
      <c r="E459" s="23"/>
      <c r="F459" s="23"/>
      <c r="G459" s="23"/>
      <c r="H459" s="23"/>
      <c r="I459" s="23"/>
      <c r="J459" s="23"/>
      <c r="K459" s="23"/>
    </row>
    <row r="460" spans="2:11">
      <c r="B460"/>
      <c r="C460" s="23"/>
      <c r="D460" s="23"/>
      <c r="E460" s="23"/>
      <c r="F460" s="23"/>
      <c r="G460" s="23"/>
      <c r="H460" s="23"/>
      <c r="I460" s="23"/>
      <c r="J460" s="23"/>
      <c r="K460" s="23"/>
    </row>
    <row r="461" spans="2:11">
      <c r="B461"/>
      <c r="C461" s="23"/>
      <c r="D461" s="23"/>
      <c r="E461" s="23"/>
      <c r="F461" s="23"/>
      <c r="G461" s="23"/>
      <c r="H461" s="23"/>
      <c r="I461" s="23"/>
      <c r="J461" s="23"/>
      <c r="K461" s="23"/>
    </row>
    <row r="462" spans="2:11">
      <c r="B462"/>
      <c r="C462" s="23"/>
      <c r="D462" s="23"/>
      <c r="E462" s="23"/>
      <c r="F462" s="23"/>
      <c r="G462" s="23"/>
      <c r="H462" s="23"/>
      <c r="I462" s="23"/>
      <c r="J462" s="23"/>
      <c r="K462" s="23"/>
    </row>
    <row r="463" spans="2:11">
      <c r="B463"/>
      <c r="C463" s="23"/>
      <c r="D463" s="23"/>
      <c r="E463" s="23"/>
      <c r="F463" s="23"/>
      <c r="G463" s="23"/>
      <c r="H463" s="23"/>
      <c r="I463" s="23"/>
      <c r="J463" s="23"/>
      <c r="K463" s="23"/>
    </row>
    <row r="464" spans="2:11">
      <c r="B464"/>
      <c r="C464" s="23"/>
      <c r="D464" s="23"/>
      <c r="E464" s="23"/>
      <c r="F464" s="23"/>
      <c r="G464" s="23"/>
      <c r="H464" s="23"/>
      <c r="I464" s="23"/>
      <c r="J464" s="23"/>
      <c r="K464" s="23"/>
    </row>
    <row r="465" spans="2:11">
      <c r="B465"/>
      <c r="C465" s="23"/>
      <c r="D465" s="23"/>
      <c r="E465" s="23"/>
      <c r="F465" s="23"/>
      <c r="G465" s="23"/>
      <c r="H465" s="23"/>
      <c r="I465" s="23"/>
      <c r="J465" s="23"/>
      <c r="K465" s="23"/>
    </row>
    <row r="466" spans="2:11">
      <c r="B466"/>
      <c r="C466" s="23"/>
      <c r="D466" s="23"/>
      <c r="E466" s="23"/>
      <c r="F466" s="23"/>
      <c r="G466" s="23"/>
      <c r="H466" s="23"/>
      <c r="I466" s="23"/>
      <c r="J466" s="23"/>
      <c r="K466" s="23"/>
    </row>
    <row r="467" spans="2:11">
      <c r="B467"/>
      <c r="C467" s="23"/>
      <c r="D467" s="23"/>
      <c r="E467" s="23"/>
      <c r="F467" s="23"/>
      <c r="G467" s="23"/>
      <c r="H467" s="23"/>
      <c r="I467" s="23"/>
      <c r="J467" s="23"/>
      <c r="K467" s="23"/>
    </row>
    <row r="468" spans="2:11">
      <c r="B468"/>
      <c r="C468" s="23"/>
      <c r="D468" s="23"/>
      <c r="E468" s="23"/>
      <c r="F468" s="23"/>
      <c r="G468" s="23"/>
      <c r="H468" s="23"/>
      <c r="I468" s="23"/>
      <c r="J468" s="23"/>
      <c r="K468" s="23"/>
    </row>
    <row r="469" spans="2:11">
      <c r="B469"/>
      <c r="C469" s="23"/>
      <c r="D469" s="23"/>
      <c r="E469" s="23"/>
      <c r="F469" s="23"/>
      <c r="G469" s="23"/>
      <c r="H469" s="23"/>
      <c r="I469" s="23"/>
      <c r="J469" s="23"/>
      <c r="K469" s="23"/>
    </row>
    <row r="470" spans="2:11">
      <c r="B470"/>
      <c r="C470" s="23"/>
      <c r="D470" s="23"/>
      <c r="E470" s="23"/>
      <c r="F470" s="23"/>
      <c r="G470" s="23"/>
      <c r="H470" s="23"/>
      <c r="I470" s="23"/>
      <c r="J470" s="23"/>
      <c r="K470" s="23"/>
    </row>
    <row r="471" spans="2:11">
      <c r="B471"/>
      <c r="C471" s="23"/>
      <c r="D471" s="23"/>
      <c r="E471" s="23"/>
      <c r="F471" s="23"/>
      <c r="G471" s="23"/>
      <c r="H471" s="23"/>
      <c r="I471" s="23"/>
      <c r="J471" s="23"/>
      <c r="K471" s="23"/>
    </row>
    <row r="472" spans="2:11">
      <c r="B472"/>
      <c r="C472" s="23"/>
      <c r="D472" s="23"/>
      <c r="E472" s="23"/>
      <c r="F472" s="23"/>
      <c r="G472" s="23"/>
      <c r="H472" s="23"/>
      <c r="I472" s="23"/>
      <c r="J472" s="23"/>
      <c r="K472" s="23"/>
    </row>
    <row r="473" spans="2:11">
      <c r="B473"/>
      <c r="C473" s="23"/>
      <c r="D473" s="23"/>
      <c r="E473" s="23"/>
      <c r="F473" s="23"/>
      <c r="G473" s="23"/>
      <c r="H473" s="23"/>
      <c r="I473" s="23"/>
      <c r="J473" s="23"/>
      <c r="K473" s="23"/>
    </row>
    <row r="474" spans="2:11">
      <c r="B474"/>
      <c r="C474" s="23"/>
      <c r="D474" s="23"/>
      <c r="E474" s="23"/>
      <c r="F474" s="23"/>
      <c r="G474" s="23"/>
      <c r="H474" s="23"/>
      <c r="I474" s="23"/>
      <c r="J474" s="23"/>
      <c r="K474" s="23"/>
    </row>
    <row r="475" spans="2:11">
      <c r="B475"/>
      <c r="C475" s="23"/>
      <c r="D475" s="23"/>
      <c r="E475" s="23"/>
      <c r="F475" s="23"/>
      <c r="G475" s="23"/>
      <c r="H475" s="23"/>
      <c r="I475" s="23"/>
      <c r="J475" s="23"/>
      <c r="K475" s="23"/>
    </row>
    <row r="476" spans="2:11">
      <c r="B476"/>
      <c r="C476" s="23"/>
      <c r="D476" s="23"/>
      <c r="E476" s="23"/>
      <c r="F476" s="23"/>
      <c r="G476" s="23"/>
      <c r="H476" s="23"/>
      <c r="I476" s="23"/>
      <c r="J476" s="23"/>
      <c r="K476" s="23"/>
    </row>
    <row r="477" spans="2:11">
      <c r="B477"/>
      <c r="C477" s="23"/>
      <c r="D477" s="23"/>
      <c r="E477" s="23"/>
      <c r="F477" s="23"/>
      <c r="G477" s="23"/>
      <c r="H477" s="23"/>
      <c r="I477" s="23"/>
      <c r="J477" s="23"/>
      <c r="K477" s="23"/>
    </row>
    <row r="478" spans="2:11">
      <c r="B478"/>
      <c r="C478" s="23"/>
      <c r="D478" s="23"/>
      <c r="E478" s="23"/>
      <c r="F478" s="23"/>
      <c r="G478" s="23"/>
      <c r="H478" s="23"/>
      <c r="I478" s="23"/>
      <c r="J478" s="23"/>
      <c r="K478" s="23"/>
    </row>
    <row r="479" spans="2:11">
      <c r="B479"/>
      <c r="C479" s="23"/>
      <c r="D479" s="23"/>
      <c r="E479" s="23"/>
      <c r="F479" s="23"/>
      <c r="G479" s="23"/>
      <c r="H479" s="23"/>
      <c r="I479" s="23"/>
      <c r="J479" s="23"/>
      <c r="K479" s="23"/>
    </row>
    <row r="480" spans="2:11">
      <c r="B480"/>
      <c r="C480" s="23"/>
      <c r="D480" s="23"/>
      <c r="E480" s="23"/>
      <c r="F480" s="23"/>
      <c r="G480" s="23"/>
      <c r="H480" s="23"/>
      <c r="I480" s="23"/>
      <c r="J480" s="23"/>
      <c r="K480" s="23"/>
    </row>
    <row r="481" spans="2:11">
      <c r="B481"/>
      <c r="C481" s="23"/>
      <c r="D481" s="23"/>
      <c r="E481" s="23"/>
      <c r="F481" s="23"/>
      <c r="G481" s="23"/>
      <c r="H481" s="23"/>
      <c r="I481" s="23"/>
      <c r="J481" s="23"/>
      <c r="K481" s="23"/>
    </row>
    <row r="482" spans="2:11">
      <c r="B482"/>
      <c r="C482" s="23"/>
      <c r="D482" s="23"/>
      <c r="E482" s="23"/>
      <c r="F482" s="23"/>
      <c r="G482" s="23"/>
      <c r="H482" s="23"/>
      <c r="I482" s="23"/>
      <c r="J482" s="23"/>
      <c r="K482" s="23"/>
    </row>
    <row r="483" spans="2:11">
      <c r="B483"/>
      <c r="C483" s="23"/>
      <c r="D483" s="23"/>
      <c r="E483" s="23"/>
      <c r="F483" s="23"/>
      <c r="G483" s="23"/>
      <c r="H483" s="23"/>
      <c r="I483" s="23"/>
      <c r="J483" s="23"/>
      <c r="K483" s="23"/>
    </row>
    <row r="484" spans="2:11">
      <c r="B484"/>
      <c r="C484" s="23"/>
      <c r="D484" s="23"/>
      <c r="E484" s="23"/>
      <c r="F484" s="23"/>
      <c r="G484" s="23"/>
      <c r="H484" s="23"/>
      <c r="I484" s="23"/>
      <c r="J484" s="23"/>
      <c r="K484" s="23"/>
    </row>
    <row r="485" spans="2:11">
      <c r="B485"/>
      <c r="C485" s="23"/>
      <c r="D485" s="23"/>
      <c r="E485" s="23"/>
      <c r="F485" s="23"/>
      <c r="G485" s="23"/>
      <c r="H485" s="23"/>
      <c r="I485" s="23"/>
      <c r="J485" s="23"/>
      <c r="K485" s="23"/>
    </row>
    <row r="486" spans="2:11">
      <c r="B486"/>
      <c r="C486" s="23"/>
      <c r="D486" s="23"/>
      <c r="E486" s="23"/>
      <c r="F486" s="23"/>
      <c r="G486" s="23"/>
      <c r="H486" s="23"/>
      <c r="I486" s="23"/>
      <c r="J486" s="23"/>
      <c r="K486" s="23"/>
    </row>
    <row r="487" spans="2:11">
      <c r="B487"/>
      <c r="C487" s="23"/>
      <c r="D487" s="23"/>
      <c r="E487" s="23"/>
      <c r="F487" s="23"/>
      <c r="G487" s="23"/>
      <c r="H487" s="23"/>
      <c r="I487" s="23"/>
      <c r="J487" s="23"/>
      <c r="K487" s="23"/>
    </row>
    <row r="488" spans="2:11">
      <c r="B488"/>
      <c r="C488" s="23"/>
      <c r="D488" s="23"/>
      <c r="E488" s="23"/>
      <c r="F488" s="23"/>
      <c r="G488" s="23"/>
      <c r="H488" s="23"/>
      <c r="I488" s="23"/>
      <c r="J488" s="23"/>
      <c r="K488" s="23"/>
    </row>
    <row r="489" spans="2:11">
      <c r="B489"/>
      <c r="C489" s="23"/>
      <c r="D489" s="23"/>
      <c r="E489" s="23"/>
      <c r="F489" s="23"/>
      <c r="G489" s="23"/>
      <c r="H489" s="23"/>
      <c r="I489" s="23"/>
      <c r="J489" s="23"/>
      <c r="K489" s="23"/>
    </row>
    <row r="490" spans="2:11">
      <c r="B490"/>
      <c r="C490" s="23"/>
      <c r="D490" s="23"/>
      <c r="E490" s="23"/>
      <c r="F490" s="23"/>
      <c r="G490" s="23"/>
      <c r="H490" s="23"/>
      <c r="I490" s="23"/>
      <c r="J490" s="23"/>
      <c r="K490" s="23"/>
    </row>
    <row r="491" spans="2:11">
      <c r="B491"/>
      <c r="C491" s="23"/>
      <c r="D491" s="23"/>
      <c r="E491" s="23"/>
      <c r="F491" s="23"/>
      <c r="G491" s="23"/>
      <c r="H491" s="23"/>
      <c r="I491" s="23"/>
      <c r="J491" s="23"/>
      <c r="K491" s="23"/>
    </row>
    <row r="492" spans="2:11">
      <c r="B492"/>
      <c r="C492" s="23"/>
      <c r="D492" s="23"/>
      <c r="E492" s="23"/>
      <c r="F492" s="23"/>
      <c r="G492" s="23"/>
      <c r="H492" s="23"/>
      <c r="I492" s="23"/>
      <c r="J492" s="23"/>
      <c r="K492" s="23"/>
    </row>
    <row r="493" spans="2:11">
      <c r="B493"/>
      <c r="C493" s="23"/>
      <c r="D493" s="23"/>
      <c r="E493" s="23"/>
      <c r="F493" s="23"/>
      <c r="G493" s="23"/>
      <c r="H493" s="23"/>
      <c r="I493" s="23"/>
      <c r="J493" s="23"/>
      <c r="K493" s="23"/>
    </row>
    <row r="494" spans="2:11">
      <c r="B494"/>
      <c r="C494" s="23"/>
      <c r="D494" s="23"/>
      <c r="E494" s="23"/>
      <c r="F494" s="23"/>
      <c r="G494" s="23"/>
      <c r="H494" s="23"/>
      <c r="I494" s="23"/>
      <c r="J494" s="23"/>
      <c r="K494" s="23"/>
    </row>
    <row r="495" spans="2:11">
      <c r="B495"/>
      <c r="C495" s="23"/>
      <c r="D495" s="23"/>
      <c r="E495" s="23"/>
      <c r="F495" s="23"/>
      <c r="G495" s="23"/>
      <c r="H495" s="23"/>
      <c r="I495" s="23"/>
      <c r="J495" s="23"/>
      <c r="K495" s="23"/>
    </row>
    <row r="496" spans="2:11">
      <c r="B496"/>
      <c r="C496" s="23"/>
      <c r="D496" s="23"/>
      <c r="E496" s="23"/>
      <c r="F496" s="23"/>
      <c r="G496" s="23"/>
      <c r="H496" s="23"/>
      <c r="I496" s="23"/>
      <c r="J496" s="23"/>
      <c r="K496" s="23"/>
    </row>
    <row r="497" spans="2:11">
      <c r="B497"/>
      <c r="C497" s="23"/>
      <c r="D497" s="23"/>
      <c r="E497" s="23"/>
      <c r="F497" s="23"/>
      <c r="G497" s="23"/>
      <c r="H497" s="23"/>
      <c r="I497" s="23"/>
      <c r="J497" s="23"/>
      <c r="K497" s="23"/>
    </row>
    <row r="498" spans="2:11">
      <c r="B498"/>
      <c r="C498" s="23"/>
      <c r="D498" s="23"/>
      <c r="E498" s="23"/>
      <c r="F498" s="23"/>
      <c r="G498" s="23"/>
      <c r="H498" s="23"/>
      <c r="I498" s="23"/>
      <c r="J498" s="23"/>
      <c r="K498" s="23"/>
    </row>
    <row r="499" spans="2:11">
      <c r="B499"/>
      <c r="C499" s="23"/>
      <c r="D499" s="23"/>
      <c r="E499" s="23"/>
      <c r="F499" s="23"/>
      <c r="G499" s="23"/>
      <c r="H499" s="23"/>
      <c r="I499" s="23"/>
      <c r="J499" s="23"/>
      <c r="K499" s="23"/>
    </row>
    <row r="500" spans="2:11">
      <c r="B500"/>
      <c r="C500" s="23"/>
      <c r="D500" s="23"/>
      <c r="E500" s="23"/>
      <c r="F500" s="23"/>
      <c r="G500" s="23"/>
      <c r="H500" s="23"/>
      <c r="I500" s="23"/>
      <c r="J500" s="23"/>
      <c r="K500" s="23"/>
    </row>
    <row r="501" spans="2:11">
      <c r="B501"/>
      <c r="C501" s="23"/>
      <c r="D501" s="23"/>
      <c r="E501" s="23"/>
      <c r="F501" s="23"/>
      <c r="G501" s="23"/>
      <c r="H501" s="23"/>
      <c r="I501" s="23"/>
      <c r="J501" s="23"/>
      <c r="K501" s="23"/>
    </row>
    <row r="502" spans="2:11">
      <c r="B502"/>
      <c r="C502" s="23"/>
      <c r="D502" s="23"/>
      <c r="E502" s="23"/>
      <c r="F502" s="23"/>
      <c r="G502" s="23"/>
      <c r="H502" s="23"/>
      <c r="I502" s="23"/>
      <c r="J502" s="23"/>
      <c r="K502" s="23"/>
    </row>
    <row r="503" spans="2:11">
      <c r="B503"/>
      <c r="C503" s="23"/>
      <c r="D503" s="23"/>
      <c r="E503" s="23"/>
      <c r="F503" s="23"/>
      <c r="G503" s="23"/>
      <c r="H503" s="23"/>
      <c r="I503" s="23"/>
      <c r="J503" s="23"/>
      <c r="K503" s="23"/>
    </row>
    <row r="504" spans="2:11">
      <c r="B504"/>
      <c r="C504" s="23"/>
      <c r="D504" s="23"/>
      <c r="E504" s="23"/>
      <c r="F504" s="23"/>
      <c r="G504" s="23"/>
      <c r="H504" s="23"/>
      <c r="I504" s="23"/>
      <c r="J504" s="23"/>
      <c r="K504" s="23"/>
    </row>
    <row r="505" spans="2:11">
      <c r="B505"/>
      <c r="C505" s="23"/>
      <c r="D505" s="23"/>
      <c r="E505" s="23"/>
      <c r="F505" s="23"/>
      <c r="G505" s="23"/>
      <c r="H505" s="23"/>
      <c r="I505" s="23"/>
      <c r="J505" s="23"/>
      <c r="K505" s="23"/>
    </row>
    <row r="506" spans="2:11">
      <c r="B506"/>
      <c r="C506" s="23"/>
      <c r="D506" s="23"/>
      <c r="E506" s="23"/>
      <c r="F506" s="23"/>
      <c r="G506" s="23"/>
      <c r="H506" s="23"/>
      <c r="I506" s="23"/>
      <c r="J506" s="23"/>
      <c r="K506" s="23"/>
    </row>
    <row r="507" spans="2:11">
      <c r="B507"/>
      <c r="C507" s="23"/>
      <c r="D507" s="23"/>
      <c r="E507" s="23"/>
      <c r="F507" s="23"/>
      <c r="G507" s="23"/>
      <c r="H507" s="23"/>
      <c r="I507" s="23"/>
      <c r="J507" s="23"/>
      <c r="K507" s="23"/>
    </row>
    <row r="508" spans="2:11">
      <c r="B508"/>
      <c r="C508" s="23"/>
      <c r="D508" s="23"/>
      <c r="E508" s="23"/>
      <c r="F508" s="23"/>
      <c r="G508" s="23"/>
      <c r="H508" s="23"/>
      <c r="I508" s="23"/>
      <c r="J508" s="23"/>
      <c r="K508" s="23"/>
    </row>
    <row r="509" spans="2:11">
      <c r="B509"/>
      <c r="C509" s="23"/>
      <c r="D509" s="23"/>
      <c r="E509" s="23"/>
      <c r="F509" s="23"/>
      <c r="G509" s="23"/>
      <c r="H509" s="23"/>
      <c r="I509" s="23"/>
      <c r="J509" s="23"/>
      <c r="K509" s="23"/>
    </row>
    <row r="510" spans="2:11">
      <c r="B510"/>
      <c r="C510" s="23"/>
      <c r="D510" s="23"/>
      <c r="E510" s="23"/>
      <c r="F510" s="23"/>
      <c r="G510" s="23"/>
      <c r="H510" s="23"/>
      <c r="I510" s="23"/>
      <c r="J510" s="23"/>
      <c r="K510" s="23"/>
    </row>
    <row r="511" spans="2:11">
      <c r="B511"/>
      <c r="C511" s="23"/>
      <c r="D511" s="23"/>
      <c r="E511" s="23"/>
      <c r="F511" s="23"/>
      <c r="G511" s="23"/>
      <c r="H511" s="23"/>
      <c r="I511" s="23"/>
      <c r="J511" s="23"/>
      <c r="K511" s="23"/>
    </row>
    <row r="512" spans="2:11">
      <c r="B512"/>
      <c r="C512" s="23"/>
      <c r="D512" s="23"/>
      <c r="E512" s="23"/>
      <c r="F512" s="23"/>
      <c r="G512" s="23"/>
      <c r="H512" s="23"/>
      <c r="I512" s="23"/>
      <c r="J512" s="23"/>
      <c r="K512" s="23"/>
    </row>
    <row r="513" spans="2:11">
      <c r="B513"/>
      <c r="C513" s="23"/>
      <c r="D513" s="23"/>
      <c r="E513" s="23"/>
      <c r="F513" s="23"/>
      <c r="G513" s="23"/>
      <c r="H513" s="23"/>
      <c r="I513" s="23"/>
      <c r="J513" s="23"/>
      <c r="K513" s="23"/>
    </row>
    <row r="514" spans="2:11">
      <c r="B514"/>
      <c r="C514" s="23"/>
      <c r="D514" s="23"/>
      <c r="E514" s="23"/>
      <c r="F514" s="23"/>
      <c r="G514" s="23"/>
      <c r="H514" s="23"/>
      <c r="I514" s="23"/>
      <c r="J514" s="23"/>
      <c r="K514" s="23"/>
    </row>
    <row r="515" spans="2:11">
      <c r="B515"/>
      <c r="C515" s="23"/>
      <c r="D515" s="23"/>
      <c r="E515" s="23"/>
      <c r="F515" s="23"/>
      <c r="G515" s="23"/>
      <c r="H515" s="23"/>
      <c r="I515" s="23"/>
      <c r="J515" s="23"/>
      <c r="K515" s="23"/>
    </row>
    <row r="516" spans="2:11">
      <c r="B516"/>
      <c r="C516" s="23"/>
      <c r="D516" s="23"/>
      <c r="E516" s="23"/>
      <c r="F516" s="23"/>
      <c r="G516" s="23"/>
      <c r="H516" s="23"/>
      <c r="I516" s="23"/>
      <c r="J516" s="23"/>
      <c r="K516" s="23"/>
    </row>
    <row r="517" spans="2:11">
      <c r="B517"/>
      <c r="C517" s="23"/>
      <c r="D517" s="23"/>
      <c r="E517" s="23"/>
      <c r="F517" s="23"/>
      <c r="G517" s="23"/>
      <c r="H517" s="23"/>
      <c r="I517" s="23"/>
      <c r="J517" s="23"/>
      <c r="K517" s="23"/>
    </row>
    <row r="518" spans="2:11">
      <c r="B518"/>
      <c r="C518" s="23"/>
      <c r="D518" s="23"/>
      <c r="E518" s="23"/>
      <c r="F518" s="23"/>
      <c r="G518" s="23"/>
      <c r="H518" s="23"/>
      <c r="I518" s="23"/>
      <c r="J518" s="23"/>
      <c r="K518" s="23"/>
    </row>
    <row r="519" spans="2:11">
      <c r="B519"/>
      <c r="C519" s="23"/>
      <c r="D519" s="23"/>
      <c r="E519" s="23"/>
      <c r="F519" s="23"/>
      <c r="G519" s="23"/>
      <c r="H519" s="23"/>
      <c r="I519" s="23"/>
      <c r="J519" s="23"/>
      <c r="K519" s="23"/>
    </row>
    <row r="520" spans="2:11">
      <c r="B520"/>
      <c r="C520" s="23"/>
      <c r="D520" s="23"/>
      <c r="E520" s="23"/>
      <c r="F520" s="23"/>
      <c r="G520" s="23"/>
      <c r="H520" s="23"/>
      <c r="I520" s="23"/>
      <c r="J520" s="23"/>
      <c r="K520" s="23"/>
    </row>
    <row r="521" spans="2:11">
      <c r="B521"/>
      <c r="C521" s="23"/>
      <c r="D521" s="23"/>
      <c r="E521" s="23"/>
      <c r="F521" s="23"/>
      <c r="G521" s="23"/>
      <c r="H521" s="23"/>
      <c r="I521" s="23"/>
      <c r="J521" s="23"/>
      <c r="K521" s="23"/>
    </row>
    <row r="522" spans="2:11">
      <c r="B522"/>
      <c r="C522" s="23"/>
      <c r="D522" s="23"/>
      <c r="E522" s="23"/>
      <c r="F522" s="23"/>
      <c r="G522" s="23"/>
      <c r="H522" s="23"/>
      <c r="I522" s="23"/>
      <c r="J522" s="23"/>
      <c r="K522" s="23"/>
    </row>
    <row r="523" spans="2:11">
      <c r="B523"/>
      <c r="C523" s="23"/>
      <c r="D523" s="23"/>
      <c r="E523" s="23"/>
      <c r="F523" s="23"/>
      <c r="G523" s="23"/>
      <c r="H523" s="23"/>
      <c r="I523" s="23"/>
      <c r="J523" s="23"/>
      <c r="K523" s="23"/>
    </row>
    <row r="524" spans="2:11">
      <c r="B524"/>
      <c r="C524" s="23"/>
      <c r="D524" s="23"/>
      <c r="E524" s="23"/>
      <c r="F524" s="23"/>
      <c r="G524" s="23"/>
      <c r="H524" s="23"/>
      <c r="I524" s="23"/>
      <c r="J524" s="23"/>
      <c r="K524" s="23"/>
    </row>
    <row r="525" spans="2:11">
      <c r="B525"/>
      <c r="C525" s="23"/>
      <c r="D525" s="23"/>
      <c r="E525" s="23"/>
      <c r="F525" s="23"/>
      <c r="G525" s="23"/>
      <c r="H525" s="23"/>
      <c r="I525" s="23"/>
      <c r="J525" s="23"/>
      <c r="K525" s="23"/>
    </row>
    <row r="526" spans="2:11">
      <c r="B526"/>
      <c r="C526" s="23"/>
      <c r="D526" s="23"/>
      <c r="E526" s="23"/>
      <c r="F526" s="23"/>
      <c r="G526" s="23"/>
      <c r="H526" s="23"/>
      <c r="I526" s="23"/>
      <c r="J526" s="23"/>
      <c r="K526" s="23"/>
    </row>
    <row r="527" spans="2:11">
      <c r="B527"/>
      <c r="C527" s="23"/>
      <c r="D527" s="23"/>
      <c r="E527" s="23"/>
      <c r="F527" s="23"/>
      <c r="G527" s="23"/>
      <c r="H527" s="23"/>
      <c r="I527" s="23"/>
      <c r="J527" s="23"/>
      <c r="K527" s="23"/>
    </row>
    <row r="528" spans="2:11">
      <c r="B528"/>
      <c r="C528" s="23"/>
      <c r="D528" s="23"/>
      <c r="E528" s="23"/>
      <c r="F528" s="23"/>
      <c r="G528" s="23"/>
      <c r="H528" s="23"/>
      <c r="I528" s="23"/>
      <c r="J528" s="23"/>
      <c r="K528" s="23"/>
    </row>
    <row r="529" spans="2:11">
      <c r="B529"/>
      <c r="C529" s="23"/>
      <c r="D529" s="23"/>
      <c r="E529" s="23"/>
      <c r="F529" s="23"/>
      <c r="G529" s="23"/>
      <c r="H529" s="23"/>
      <c r="I529" s="23"/>
      <c r="J529" s="23"/>
      <c r="K529" s="23"/>
    </row>
    <row r="530" spans="2:11">
      <c r="B530"/>
      <c r="C530" s="23"/>
      <c r="D530" s="23"/>
      <c r="E530" s="23"/>
      <c r="F530" s="23"/>
      <c r="G530" s="23"/>
      <c r="H530" s="23"/>
      <c r="I530" s="23"/>
      <c r="J530" s="23"/>
      <c r="K530" s="23"/>
    </row>
    <row r="531" spans="2:11">
      <c r="B531"/>
      <c r="C531" s="23"/>
      <c r="D531" s="23"/>
      <c r="E531" s="23"/>
      <c r="F531" s="23"/>
      <c r="G531" s="23"/>
      <c r="H531" s="23"/>
      <c r="I531" s="23"/>
      <c r="J531" s="23"/>
      <c r="K531" s="23"/>
    </row>
    <row r="532" spans="2:11">
      <c r="B532"/>
      <c r="C532" s="23"/>
      <c r="D532" s="23"/>
      <c r="E532" s="23"/>
      <c r="F532" s="23"/>
      <c r="G532" s="23"/>
      <c r="H532" s="23"/>
      <c r="I532" s="23"/>
      <c r="J532" s="23"/>
      <c r="K532" s="23"/>
    </row>
    <row r="533" spans="2:11">
      <c r="B533"/>
      <c r="C533" s="23"/>
      <c r="D533" s="23"/>
      <c r="E533" s="23"/>
      <c r="F533" s="23"/>
      <c r="G533" s="23"/>
      <c r="H533" s="23"/>
      <c r="I533" s="23"/>
      <c r="J533" s="23"/>
      <c r="K533" s="23"/>
    </row>
    <row r="534" spans="2:11">
      <c r="B534"/>
      <c r="C534" s="23"/>
      <c r="D534" s="23"/>
      <c r="E534" s="23"/>
      <c r="F534" s="23"/>
      <c r="G534" s="23"/>
      <c r="H534" s="23"/>
      <c r="I534" s="23"/>
      <c r="J534" s="23"/>
      <c r="K534" s="23"/>
    </row>
    <row r="535" spans="2:11">
      <c r="B535"/>
      <c r="C535" s="23"/>
      <c r="D535" s="23"/>
      <c r="E535" s="23"/>
      <c r="F535" s="23"/>
      <c r="G535" s="23"/>
      <c r="H535" s="23"/>
      <c r="I535" s="23"/>
      <c r="J535" s="23"/>
      <c r="K535" s="23"/>
    </row>
    <row r="536" spans="2:11">
      <c r="B536"/>
      <c r="C536" s="23"/>
      <c r="D536" s="23"/>
      <c r="E536" s="23"/>
      <c r="F536" s="23"/>
      <c r="G536" s="23"/>
      <c r="H536" s="23"/>
      <c r="I536" s="23"/>
      <c r="J536" s="23"/>
      <c r="K536" s="23"/>
    </row>
    <row r="537" spans="2:11">
      <c r="B537"/>
      <c r="C537" s="23"/>
      <c r="D537" s="23"/>
      <c r="E537" s="23"/>
      <c r="F537" s="23"/>
      <c r="G537" s="23"/>
      <c r="H537" s="23"/>
      <c r="I537" s="23"/>
      <c r="J537" s="23"/>
      <c r="K537" s="23"/>
    </row>
    <row r="538" spans="2:11">
      <c r="B538"/>
      <c r="C538" s="23"/>
      <c r="D538" s="23"/>
      <c r="E538" s="23"/>
      <c r="F538" s="23"/>
      <c r="G538" s="23"/>
      <c r="H538" s="23"/>
      <c r="I538" s="23"/>
      <c r="J538" s="23"/>
      <c r="K538" s="23"/>
    </row>
    <row r="539" spans="2:11">
      <c r="B539"/>
      <c r="C539" s="23"/>
      <c r="D539" s="23"/>
      <c r="E539" s="23"/>
      <c r="F539" s="23"/>
      <c r="G539" s="23"/>
      <c r="H539" s="23"/>
      <c r="I539" s="23"/>
      <c r="J539" s="23"/>
      <c r="K539" s="23"/>
    </row>
    <row r="540" spans="2:11">
      <c r="B540"/>
      <c r="C540" s="23"/>
      <c r="D540" s="23"/>
      <c r="E540" s="23"/>
      <c r="F540" s="23"/>
      <c r="G540" s="23"/>
      <c r="H540" s="23"/>
      <c r="I540" s="23"/>
      <c r="J540" s="23"/>
      <c r="K540" s="23"/>
    </row>
    <row r="541" spans="2:11">
      <c r="B541"/>
      <c r="C541" s="23"/>
      <c r="D541" s="23"/>
      <c r="E541" s="23"/>
      <c r="F541" s="23"/>
      <c r="G541" s="23"/>
      <c r="H541" s="23"/>
      <c r="I541" s="23"/>
      <c r="J541" s="23"/>
      <c r="K541" s="23"/>
    </row>
    <row r="542" spans="2:11">
      <c r="B542"/>
      <c r="C542" s="23"/>
      <c r="D542" s="23"/>
      <c r="E542" s="23"/>
      <c r="F542" s="23"/>
      <c r="G542" s="23"/>
      <c r="H542" s="23"/>
      <c r="I542" s="23"/>
      <c r="J542" s="23"/>
      <c r="K542" s="23"/>
    </row>
    <row r="543" spans="2:11">
      <c r="B543"/>
      <c r="C543" s="23"/>
      <c r="D543" s="23"/>
      <c r="E543" s="23"/>
      <c r="F543" s="23"/>
      <c r="G543" s="23"/>
      <c r="H543" s="23"/>
      <c r="I543" s="23"/>
      <c r="J543" s="23"/>
      <c r="K543" s="23"/>
    </row>
    <row r="544" spans="2:11">
      <c r="B544"/>
      <c r="C544" s="23"/>
      <c r="D544" s="23"/>
      <c r="E544" s="23"/>
      <c r="F544" s="23"/>
      <c r="G544" s="23"/>
      <c r="H544" s="23"/>
      <c r="I544" s="23"/>
      <c r="J544" s="23"/>
      <c r="K544" s="23"/>
    </row>
    <row r="545" spans="2:11">
      <c r="B545"/>
      <c r="C545" s="23"/>
      <c r="D545" s="23"/>
      <c r="E545" s="23"/>
      <c r="F545" s="23"/>
      <c r="G545" s="23"/>
      <c r="H545" s="23"/>
      <c r="I545" s="23"/>
      <c r="J545" s="23"/>
      <c r="K545" s="23"/>
    </row>
    <row r="546" spans="2:11">
      <c r="B546"/>
      <c r="C546" s="23"/>
      <c r="D546" s="23"/>
      <c r="E546" s="23"/>
      <c r="F546" s="23"/>
      <c r="G546" s="23"/>
      <c r="H546" s="23"/>
      <c r="I546" s="23"/>
      <c r="J546" s="23"/>
      <c r="K546" s="23"/>
    </row>
    <row r="547" spans="2:11">
      <c r="B547"/>
      <c r="C547" s="23"/>
      <c r="D547" s="23"/>
      <c r="E547" s="23"/>
      <c r="F547" s="23"/>
      <c r="G547" s="23"/>
      <c r="H547" s="23"/>
      <c r="I547" s="23"/>
      <c r="J547" s="23"/>
      <c r="K547" s="23"/>
    </row>
    <row r="548" spans="2:11">
      <c r="B548"/>
      <c r="C548" s="23"/>
      <c r="D548" s="23"/>
      <c r="E548" s="23"/>
      <c r="F548" s="23"/>
      <c r="G548" s="23"/>
      <c r="H548" s="23"/>
      <c r="I548" s="23"/>
      <c r="J548" s="23"/>
      <c r="K548" s="23"/>
    </row>
    <row r="549" spans="2:11">
      <c r="B549"/>
      <c r="C549" s="23"/>
      <c r="D549" s="23"/>
      <c r="E549" s="23"/>
      <c r="F549" s="23"/>
      <c r="G549" s="23"/>
      <c r="H549" s="23"/>
      <c r="I549" s="23"/>
      <c r="J549" s="23"/>
      <c r="K549" s="23"/>
    </row>
    <row r="550" spans="2:11">
      <c r="B550"/>
      <c r="C550" s="23"/>
      <c r="D550" s="23"/>
      <c r="E550" s="23"/>
      <c r="F550" s="23"/>
      <c r="G550" s="23"/>
      <c r="H550" s="23"/>
      <c r="I550" s="23"/>
      <c r="J550" s="23"/>
      <c r="K550" s="23"/>
    </row>
    <row r="551" spans="2:11">
      <c r="B551"/>
      <c r="C551" s="23"/>
      <c r="D551" s="23"/>
      <c r="E551" s="23"/>
      <c r="F551" s="23"/>
      <c r="G551" s="23"/>
      <c r="H551" s="23"/>
      <c r="I551" s="23"/>
      <c r="J551" s="23"/>
      <c r="K551" s="23"/>
    </row>
    <row r="552" spans="2:11">
      <c r="B552"/>
      <c r="C552" s="23"/>
      <c r="D552" s="23"/>
      <c r="E552" s="23"/>
      <c r="F552" s="23"/>
      <c r="G552" s="23"/>
      <c r="H552" s="23"/>
      <c r="I552" s="23"/>
      <c r="J552" s="23"/>
      <c r="K552" s="23"/>
    </row>
    <row r="553" spans="2:11">
      <c r="B553"/>
      <c r="C553" s="23"/>
      <c r="D553" s="23"/>
      <c r="E553" s="23"/>
      <c r="F553" s="23"/>
      <c r="G553" s="23"/>
      <c r="H553" s="23"/>
      <c r="I553" s="23"/>
      <c r="J553" s="23"/>
      <c r="K553" s="23"/>
    </row>
    <row r="554" spans="2:11">
      <c r="B554"/>
      <c r="C554" s="23"/>
      <c r="D554" s="23"/>
      <c r="E554" s="23"/>
      <c r="F554" s="23"/>
      <c r="G554" s="23"/>
      <c r="H554" s="23"/>
      <c r="I554" s="23"/>
      <c r="J554" s="23"/>
      <c r="K554" s="23"/>
    </row>
    <row r="555" spans="2:11">
      <c r="B555"/>
      <c r="C555" s="23"/>
      <c r="D555" s="23"/>
      <c r="E555" s="23"/>
      <c r="F555" s="23"/>
      <c r="G555" s="23"/>
      <c r="H555" s="23"/>
      <c r="I555" s="23"/>
      <c r="J555" s="23"/>
      <c r="K555" s="23"/>
    </row>
    <row r="556" spans="2:11">
      <c r="B556"/>
      <c r="C556" s="23"/>
      <c r="D556" s="23"/>
      <c r="E556" s="23"/>
      <c r="F556" s="23"/>
      <c r="G556" s="23"/>
      <c r="H556" s="23"/>
      <c r="I556" s="23"/>
      <c r="J556" s="23"/>
      <c r="K556" s="23"/>
    </row>
    <row r="557" spans="2:11">
      <c r="B557"/>
      <c r="C557" s="23"/>
      <c r="D557" s="23"/>
      <c r="E557" s="23"/>
      <c r="F557" s="23"/>
      <c r="G557" s="23"/>
      <c r="H557" s="23"/>
      <c r="I557" s="23"/>
      <c r="J557" s="23"/>
      <c r="K557" s="23"/>
    </row>
    <row r="558" spans="2:11">
      <c r="B558"/>
      <c r="C558" s="23"/>
      <c r="D558" s="23"/>
      <c r="E558" s="23"/>
      <c r="F558" s="23"/>
      <c r="G558" s="23"/>
      <c r="H558" s="23"/>
      <c r="I558" s="23"/>
      <c r="J558" s="23"/>
      <c r="K558" s="23"/>
    </row>
    <row r="559" spans="2:11">
      <c r="B559"/>
      <c r="C559" s="23"/>
      <c r="D559" s="23"/>
      <c r="E559" s="23"/>
      <c r="F559" s="23"/>
      <c r="G559" s="23"/>
      <c r="H559" s="23"/>
      <c r="I559" s="23"/>
      <c r="J559" s="23"/>
      <c r="K559" s="23"/>
    </row>
    <row r="560" spans="2:11">
      <c r="B560"/>
      <c r="C560" s="23"/>
      <c r="D560" s="23"/>
      <c r="E560" s="23"/>
      <c r="F560" s="23"/>
      <c r="G560" s="23"/>
      <c r="H560" s="23"/>
      <c r="I560" s="23"/>
      <c r="J560" s="23"/>
      <c r="K560" s="23"/>
    </row>
    <row r="561" spans="2:11">
      <c r="B561"/>
      <c r="C561" s="23"/>
      <c r="D561" s="23"/>
      <c r="E561" s="23"/>
      <c r="F561" s="23"/>
      <c r="G561" s="23"/>
      <c r="H561" s="23"/>
      <c r="I561" s="23"/>
      <c r="J561" s="23"/>
      <c r="K561" s="23"/>
    </row>
    <row r="562" spans="2:11">
      <c r="B562"/>
      <c r="C562" s="23"/>
      <c r="D562" s="23"/>
      <c r="E562" s="23"/>
      <c r="F562" s="23"/>
      <c r="G562" s="23"/>
      <c r="H562" s="23"/>
      <c r="I562" s="23"/>
      <c r="J562" s="23"/>
      <c r="K562" s="23"/>
    </row>
    <row r="563" spans="2:11">
      <c r="B563"/>
      <c r="C563" s="23"/>
      <c r="D563" s="23"/>
      <c r="E563" s="23"/>
      <c r="F563" s="23"/>
      <c r="G563" s="23"/>
      <c r="H563" s="23"/>
      <c r="I563" s="23"/>
      <c r="J563" s="23"/>
      <c r="K563" s="23"/>
    </row>
    <row r="564" spans="2:11">
      <c r="B564"/>
      <c r="C564" s="23"/>
      <c r="D564" s="23"/>
      <c r="E564" s="23"/>
      <c r="F564" s="23"/>
      <c r="G564" s="23"/>
      <c r="H564" s="23"/>
      <c r="I564" s="23"/>
      <c r="J564" s="23"/>
      <c r="K564" s="23"/>
    </row>
    <row r="565" spans="2:11">
      <c r="B565"/>
      <c r="C565" s="23"/>
      <c r="D565" s="23"/>
      <c r="E565" s="23"/>
      <c r="F565" s="23"/>
      <c r="G565" s="23"/>
      <c r="H565" s="23"/>
      <c r="I565" s="23"/>
      <c r="J565" s="23"/>
      <c r="K565" s="23"/>
    </row>
    <row r="566" spans="2:11">
      <c r="B566"/>
      <c r="C566" s="23"/>
      <c r="D566" s="23"/>
      <c r="E566" s="23"/>
      <c r="F566" s="23"/>
      <c r="G566" s="23"/>
      <c r="H566" s="23"/>
      <c r="I566" s="23"/>
      <c r="J566" s="23"/>
      <c r="K566" s="23"/>
    </row>
    <row r="567" spans="2:11">
      <c r="B567"/>
      <c r="C567" s="23"/>
      <c r="D567" s="23"/>
      <c r="E567" s="23"/>
      <c r="F567" s="23"/>
      <c r="G567" s="23"/>
      <c r="H567" s="23"/>
      <c r="I567" s="23"/>
      <c r="J567" s="23"/>
      <c r="K567" s="23"/>
    </row>
    <row r="568" spans="2:11">
      <c r="B568"/>
      <c r="C568" s="23"/>
      <c r="D568" s="23"/>
      <c r="E568" s="23"/>
      <c r="F568" s="23"/>
      <c r="G568" s="23"/>
      <c r="H568" s="23"/>
      <c r="I568" s="23"/>
      <c r="J568" s="23"/>
      <c r="K568" s="23"/>
    </row>
    <row r="569" spans="2:11">
      <c r="B569"/>
      <c r="C569" s="23"/>
      <c r="D569" s="23"/>
      <c r="E569" s="23"/>
      <c r="F569" s="23"/>
      <c r="G569" s="23"/>
      <c r="H569" s="23"/>
      <c r="I569" s="23"/>
      <c r="J569" s="23"/>
      <c r="K569" s="23"/>
    </row>
    <row r="570" spans="2:11">
      <c r="B570"/>
      <c r="C570" s="23"/>
      <c r="D570" s="23"/>
      <c r="E570" s="23"/>
      <c r="F570" s="23"/>
      <c r="G570" s="23"/>
      <c r="H570" s="23"/>
      <c r="I570" s="23"/>
      <c r="J570" s="23"/>
      <c r="K570" s="23"/>
    </row>
    <row r="571" spans="2:11">
      <c r="B571"/>
      <c r="C571" s="23"/>
      <c r="D571" s="23"/>
      <c r="E571" s="23"/>
      <c r="F571" s="23"/>
      <c r="G571" s="23"/>
      <c r="H571" s="23"/>
      <c r="I571" s="23"/>
      <c r="J571" s="23"/>
      <c r="K571" s="23"/>
    </row>
    <row r="572" spans="2:11">
      <c r="B572"/>
      <c r="C572" s="23"/>
      <c r="D572" s="23"/>
      <c r="E572" s="23"/>
      <c r="F572" s="23"/>
      <c r="G572" s="23"/>
      <c r="H572" s="23"/>
      <c r="I572" s="23"/>
      <c r="J572" s="23"/>
      <c r="K572" s="23"/>
    </row>
    <row r="573" spans="2:11">
      <c r="B573"/>
      <c r="C573" s="23"/>
      <c r="D573" s="23"/>
      <c r="E573" s="23"/>
      <c r="F573" s="23"/>
      <c r="G573" s="23"/>
      <c r="H573" s="23"/>
      <c r="I573" s="23"/>
      <c r="J573" s="23"/>
      <c r="K573" s="23"/>
    </row>
    <row r="574" spans="2:11">
      <c r="B574"/>
      <c r="C574" s="23"/>
      <c r="D574" s="23"/>
      <c r="E574" s="23"/>
      <c r="F574" s="23"/>
      <c r="G574" s="23"/>
      <c r="H574" s="23"/>
      <c r="I574" s="23"/>
      <c r="J574" s="23"/>
      <c r="K574" s="23"/>
    </row>
    <row r="575" spans="2:11">
      <c r="B575"/>
      <c r="C575" s="23"/>
      <c r="D575" s="23"/>
      <c r="E575" s="23"/>
      <c r="F575" s="23"/>
      <c r="G575" s="23"/>
      <c r="H575" s="23"/>
      <c r="I575" s="23"/>
      <c r="J575" s="23"/>
      <c r="K575" s="23"/>
    </row>
    <row r="576" spans="2:11">
      <c r="B576"/>
      <c r="C576" s="23"/>
      <c r="D576" s="23"/>
      <c r="E576" s="23"/>
      <c r="F576" s="23"/>
      <c r="G576" s="23"/>
      <c r="H576" s="23"/>
      <c r="I576" s="23"/>
      <c r="J576" s="23"/>
      <c r="K576" s="23"/>
    </row>
    <row r="577" spans="2:11">
      <c r="B577"/>
      <c r="C577" s="23"/>
      <c r="D577" s="23"/>
      <c r="E577" s="23"/>
      <c r="F577" s="23"/>
      <c r="G577" s="23"/>
      <c r="H577" s="23"/>
      <c r="I577" s="23"/>
      <c r="J577" s="23"/>
      <c r="K577" s="23"/>
    </row>
    <row r="578" spans="2:11">
      <c r="B578"/>
      <c r="C578" s="23"/>
      <c r="D578" s="23"/>
      <c r="E578" s="23"/>
      <c r="F578" s="23"/>
      <c r="G578" s="23"/>
      <c r="H578" s="23"/>
      <c r="I578" s="23"/>
      <c r="J578" s="23"/>
      <c r="K578" s="23"/>
    </row>
    <row r="579" spans="2:11">
      <c r="B579"/>
      <c r="C579" s="23"/>
      <c r="D579" s="23"/>
      <c r="E579" s="23"/>
      <c r="F579" s="23"/>
      <c r="G579" s="23"/>
      <c r="H579" s="23"/>
      <c r="I579" s="23"/>
      <c r="J579" s="23"/>
      <c r="K579" s="23"/>
    </row>
    <row r="580" spans="2:11">
      <c r="B580"/>
      <c r="C580" s="23"/>
      <c r="D580" s="23"/>
      <c r="E580" s="23"/>
      <c r="F580" s="23"/>
      <c r="G580" s="23"/>
      <c r="H580" s="23"/>
      <c r="I580" s="23"/>
      <c r="J580" s="23"/>
      <c r="K580" s="23"/>
    </row>
    <row r="581" spans="2:11">
      <c r="B581"/>
      <c r="C581" s="23"/>
      <c r="D581" s="23"/>
      <c r="E581" s="23"/>
      <c r="F581" s="23"/>
      <c r="G581" s="23"/>
      <c r="H581" s="23"/>
      <c r="I581" s="23"/>
      <c r="J581" s="23"/>
      <c r="K581" s="23"/>
    </row>
    <row r="582" spans="2:11">
      <c r="B582"/>
      <c r="C582" s="23"/>
      <c r="D582" s="23"/>
      <c r="E582" s="23"/>
      <c r="F582" s="23"/>
      <c r="G582" s="23"/>
      <c r="H582" s="23"/>
      <c r="I582" s="23"/>
      <c r="J582" s="23"/>
      <c r="K582" s="23"/>
    </row>
    <row r="583" spans="2:11">
      <c r="B583"/>
      <c r="C583" s="23"/>
      <c r="D583" s="23"/>
      <c r="E583" s="23"/>
      <c r="F583" s="23"/>
      <c r="G583" s="23"/>
      <c r="H583" s="23"/>
      <c r="I583" s="23"/>
      <c r="J583" s="23"/>
      <c r="K583" s="23"/>
    </row>
    <row r="584" spans="2:11">
      <c r="B584"/>
      <c r="C584" s="23"/>
      <c r="D584" s="23"/>
      <c r="E584" s="23"/>
      <c r="F584" s="23"/>
      <c r="G584" s="23"/>
      <c r="H584" s="23"/>
      <c r="I584" s="23"/>
      <c r="J584" s="23"/>
      <c r="K584" s="23"/>
    </row>
    <row r="585" spans="2:11">
      <c r="B585"/>
      <c r="C585" s="23"/>
      <c r="D585" s="23"/>
      <c r="E585" s="23"/>
      <c r="F585" s="23"/>
      <c r="G585" s="23"/>
      <c r="H585" s="23"/>
      <c r="I585" s="23"/>
      <c r="J585" s="23"/>
      <c r="K585" s="23"/>
    </row>
    <row r="586" spans="2:11">
      <c r="B586"/>
      <c r="C586" s="23"/>
      <c r="D586" s="23"/>
      <c r="E586" s="23"/>
      <c r="F586" s="23"/>
      <c r="G586" s="23"/>
      <c r="H586" s="23"/>
      <c r="I586" s="23"/>
      <c r="J586" s="23"/>
      <c r="K586" s="23"/>
    </row>
    <row r="587" spans="2:11">
      <c r="B587"/>
      <c r="C587" s="23"/>
      <c r="D587" s="23"/>
      <c r="E587" s="23"/>
      <c r="F587" s="23"/>
      <c r="G587" s="23"/>
      <c r="H587" s="23"/>
      <c r="I587" s="23"/>
      <c r="J587" s="23"/>
      <c r="K587" s="23"/>
    </row>
    <row r="588" spans="2:11">
      <c r="B588"/>
      <c r="C588" s="23"/>
      <c r="D588" s="23"/>
      <c r="E588" s="23"/>
      <c r="F588" s="23"/>
      <c r="G588" s="23"/>
      <c r="H588" s="23"/>
      <c r="I588" s="23"/>
      <c r="J588" s="23"/>
      <c r="K588" s="23"/>
    </row>
    <row r="589" spans="2:11">
      <c r="B589"/>
      <c r="C589" s="23"/>
      <c r="D589" s="23"/>
      <c r="E589" s="23"/>
      <c r="F589" s="23"/>
      <c r="G589" s="23"/>
      <c r="H589" s="23"/>
      <c r="I589" s="23"/>
      <c r="J589" s="23"/>
      <c r="K589" s="23"/>
    </row>
    <row r="590" spans="2:11">
      <c r="B590"/>
      <c r="C590" s="23"/>
      <c r="D590" s="23"/>
      <c r="E590" s="23"/>
      <c r="F590" s="23"/>
      <c r="G590" s="23"/>
      <c r="H590" s="23"/>
      <c r="I590" s="23"/>
      <c r="J590" s="23"/>
      <c r="K590" s="23"/>
    </row>
    <row r="591" spans="2:11">
      <c r="B591"/>
      <c r="C591" s="23"/>
      <c r="D591" s="23"/>
      <c r="E591" s="23"/>
      <c r="F591" s="23"/>
      <c r="G591" s="23"/>
      <c r="H591" s="23"/>
      <c r="I591" s="23"/>
      <c r="J591" s="23"/>
      <c r="K591" s="23"/>
    </row>
    <row r="592" spans="2:11">
      <c r="B592"/>
      <c r="C592" s="23"/>
      <c r="D592" s="23"/>
      <c r="E592" s="23"/>
      <c r="F592" s="23"/>
      <c r="G592" s="23"/>
      <c r="H592" s="23"/>
      <c r="I592" s="23"/>
      <c r="J592" s="23"/>
      <c r="K592" s="23"/>
    </row>
    <row r="593" spans="2:11">
      <c r="B593"/>
      <c r="C593" s="23"/>
      <c r="D593" s="23"/>
      <c r="E593" s="23"/>
      <c r="F593" s="23"/>
      <c r="G593" s="23"/>
      <c r="H593" s="23"/>
      <c r="I593" s="23"/>
      <c r="J593" s="23"/>
      <c r="K593" s="23"/>
    </row>
    <row r="594" spans="2:11">
      <c r="B594"/>
      <c r="C594" s="23"/>
      <c r="D594" s="23"/>
      <c r="E594" s="23"/>
      <c r="F594" s="23"/>
      <c r="G594" s="23"/>
      <c r="H594" s="23"/>
      <c r="I594" s="23"/>
      <c r="J594" s="23"/>
      <c r="K594" s="23"/>
    </row>
    <row r="595" spans="2:11">
      <c r="B595"/>
      <c r="C595" s="23"/>
      <c r="D595" s="23"/>
      <c r="E595" s="23"/>
      <c r="F595" s="23"/>
      <c r="G595" s="23"/>
      <c r="H595" s="23"/>
      <c r="I595" s="23"/>
      <c r="J595" s="23"/>
      <c r="K595" s="23"/>
    </row>
    <row r="596" spans="2:11">
      <c r="B596"/>
      <c r="C596" s="23"/>
      <c r="D596" s="23"/>
      <c r="E596" s="23"/>
      <c r="F596" s="23"/>
      <c r="G596" s="23"/>
      <c r="H596" s="23"/>
      <c r="I596" s="23"/>
      <c r="J596" s="23"/>
      <c r="K596" s="23"/>
    </row>
    <row r="597" spans="2:11">
      <c r="B597"/>
      <c r="C597" s="23"/>
      <c r="D597" s="23"/>
      <c r="E597" s="23"/>
      <c r="F597" s="23"/>
      <c r="G597" s="23"/>
      <c r="H597" s="23"/>
      <c r="I597" s="23"/>
      <c r="J597" s="23"/>
      <c r="K597" s="23"/>
    </row>
    <row r="598" spans="2:11">
      <c r="B598"/>
      <c r="C598" s="23"/>
      <c r="D598" s="23"/>
      <c r="E598" s="23"/>
      <c r="F598" s="23"/>
      <c r="G598" s="23"/>
      <c r="H598" s="23"/>
      <c r="I598" s="23"/>
      <c r="J598" s="23"/>
      <c r="K598" s="23"/>
    </row>
    <row r="599" spans="2:11">
      <c r="B599"/>
      <c r="C599" s="23"/>
      <c r="D599" s="23"/>
      <c r="E599" s="23"/>
      <c r="F599" s="23"/>
      <c r="G599" s="23"/>
      <c r="H599" s="23"/>
      <c r="I599" s="23"/>
      <c r="J599" s="23"/>
      <c r="K599" s="23"/>
    </row>
    <row r="600" spans="2:11">
      <c r="B600"/>
      <c r="C600" s="23"/>
      <c r="D600" s="23"/>
      <c r="E600" s="23"/>
      <c r="F600" s="23"/>
      <c r="G600" s="23"/>
      <c r="H600" s="23"/>
      <c r="I600" s="23"/>
      <c r="J600" s="23"/>
      <c r="K600" s="23"/>
    </row>
    <row r="601" spans="2:11">
      <c r="B601"/>
      <c r="C601" s="23"/>
      <c r="D601" s="23"/>
      <c r="E601" s="23"/>
      <c r="F601" s="23"/>
      <c r="G601" s="23"/>
      <c r="H601" s="23"/>
      <c r="I601" s="23"/>
      <c r="J601" s="23"/>
      <c r="K601" s="23"/>
    </row>
    <row r="602" spans="2:11">
      <c r="B602"/>
      <c r="C602" s="23"/>
      <c r="D602" s="23"/>
      <c r="E602" s="23"/>
      <c r="F602" s="23"/>
      <c r="G602" s="23"/>
      <c r="H602" s="23"/>
      <c r="I602" s="23"/>
      <c r="J602" s="23"/>
      <c r="K602" s="23"/>
    </row>
    <row r="603" spans="2:11">
      <c r="B603"/>
      <c r="C603" s="23"/>
      <c r="D603" s="23"/>
      <c r="E603" s="23"/>
      <c r="F603" s="23"/>
      <c r="G603" s="23"/>
      <c r="H603" s="23"/>
      <c r="I603" s="23"/>
      <c r="J603" s="23"/>
      <c r="K603" s="23"/>
    </row>
    <row r="604" spans="2:11">
      <c r="B604"/>
      <c r="C604" s="23"/>
      <c r="D604" s="23"/>
      <c r="E604" s="23"/>
      <c r="F604" s="23"/>
      <c r="G604" s="23"/>
      <c r="H604" s="23"/>
      <c r="I604" s="23"/>
      <c r="J604" s="23"/>
      <c r="K604" s="23"/>
    </row>
    <row r="605" spans="2:11">
      <c r="B605"/>
      <c r="C605" s="23"/>
      <c r="D605" s="23"/>
      <c r="E605" s="23"/>
      <c r="F605" s="23"/>
      <c r="G605" s="23"/>
      <c r="H605" s="23"/>
      <c r="I605" s="23"/>
      <c r="J605" s="23"/>
      <c r="K605" s="23"/>
    </row>
    <row r="606" spans="2:11">
      <c r="B606"/>
      <c r="C606" s="23"/>
      <c r="D606" s="23"/>
      <c r="E606" s="23"/>
      <c r="F606" s="23"/>
      <c r="G606" s="23"/>
      <c r="H606" s="23"/>
      <c r="I606" s="23"/>
      <c r="J606" s="23"/>
      <c r="K606" s="23"/>
    </row>
    <row r="607" spans="2:11">
      <c r="B607"/>
      <c r="C607" s="23"/>
      <c r="D607" s="23"/>
      <c r="E607" s="23"/>
      <c r="F607" s="23"/>
      <c r="G607" s="23"/>
      <c r="H607" s="23"/>
      <c r="I607" s="23"/>
      <c r="J607" s="23"/>
      <c r="K607" s="23"/>
    </row>
    <row r="608" spans="2:11">
      <c r="B608"/>
      <c r="C608" s="23"/>
      <c r="D608" s="23"/>
      <c r="E608" s="23"/>
      <c r="F608" s="23"/>
      <c r="G608" s="23"/>
      <c r="H608" s="23"/>
      <c r="I608" s="23"/>
      <c r="J608" s="23"/>
      <c r="K608" s="23"/>
    </row>
    <row r="609" spans="2:11">
      <c r="B609"/>
      <c r="C609" s="23"/>
      <c r="D609" s="23"/>
      <c r="E609" s="23"/>
      <c r="F609" s="23"/>
      <c r="G609" s="23"/>
      <c r="H609" s="23"/>
      <c r="I609" s="23"/>
      <c r="J609" s="23"/>
      <c r="K609" s="23"/>
    </row>
    <row r="610" spans="2:11">
      <c r="B610"/>
      <c r="C610" s="23"/>
      <c r="D610" s="23"/>
      <c r="E610" s="23"/>
      <c r="F610" s="23"/>
      <c r="G610" s="23"/>
      <c r="H610" s="23"/>
      <c r="I610" s="23"/>
      <c r="J610" s="23"/>
      <c r="K610" s="23"/>
    </row>
    <row r="611" spans="2:11">
      <c r="B611"/>
      <c r="C611" s="23"/>
      <c r="D611" s="23"/>
      <c r="E611" s="23"/>
      <c r="F611" s="23"/>
      <c r="G611" s="23"/>
      <c r="H611" s="23"/>
      <c r="I611" s="23"/>
      <c r="J611" s="23"/>
      <c r="K611" s="23"/>
    </row>
    <row r="612" spans="2:11">
      <c r="B612"/>
      <c r="C612" s="23"/>
      <c r="D612" s="23"/>
      <c r="E612" s="23"/>
      <c r="F612" s="23"/>
      <c r="G612" s="23"/>
      <c r="H612" s="23"/>
      <c r="I612" s="23"/>
      <c r="J612" s="23"/>
      <c r="K612" s="23"/>
    </row>
    <row r="613" spans="2:11">
      <c r="B613"/>
      <c r="C613" s="23"/>
      <c r="D613" s="23"/>
      <c r="E613" s="23"/>
      <c r="F613" s="23"/>
      <c r="G613" s="23"/>
      <c r="H613" s="23"/>
      <c r="I613" s="23"/>
      <c r="J613" s="23"/>
      <c r="K613" s="23"/>
    </row>
    <row r="614" spans="2:11">
      <c r="B614"/>
      <c r="C614" s="23"/>
      <c r="D614" s="23"/>
      <c r="E614" s="23"/>
      <c r="F614" s="23"/>
      <c r="G614" s="23"/>
      <c r="H614" s="23"/>
      <c r="I614" s="23"/>
      <c r="J614" s="23"/>
      <c r="K614" s="23"/>
    </row>
    <row r="615" spans="2:11">
      <c r="B615"/>
      <c r="C615" s="23"/>
      <c r="D615" s="23"/>
      <c r="E615" s="23"/>
      <c r="F615" s="23"/>
      <c r="G615" s="23"/>
      <c r="H615" s="23"/>
      <c r="I615" s="23"/>
      <c r="J615" s="23"/>
      <c r="K615" s="23"/>
    </row>
    <row r="616" spans="2:11">
      <c r="B616"/>
      <c r="C616" s="23"/>
      <c r="D616" s="23"/>
      <c r="E616" s="23"/>
      <c r="F616" s="23"/>
      <c r="G616" s="23"/>
      <c r="H616" s="23"/>
      <c r="I616" s="23"/>
      <c r="J616" s="23"/>
      <c r="K616" s="23"/>
    </row>
    <row r="617" spans="2:11">
      <c r="B617"/>
      <c r="C617" s="23"/>
      <c r="D617" s="23"/>
      <c r="E617" s="23"/>
      <c r="F617" s="23"/>
      <c r="G617" s="23"/>
      <c r="H617" s="23"/>
      <c r="I617" s="23"/>
      <c r="J617" s="23"/>
      <c r="K617" s="23"/>
    </row>
    <row r="618" spans="2:11">
      <c r="B618"/>
      <c r="C618" s="23"/>
      <c r="D618" s="23"/>
      <c r="E618" s="23"/>
      <c r="F618" s="23"/>
      <c r="G618" s="23"/>
      <c r="H618" s="23"/>
      <c r="I618" s="23"/>
      <c r="J618" s="23"/>
      <c r="K618" s="23"/>
    </row>
    <row r="619" spans="2:11">
      <c r="B619"/>
      <c r="C619" s="23"/>
      <c r="D619" s="23"/>
      <c r="E619" s="23"/>
      <c r="F619" s="23"/>
      <c r="G619" s="23"/>
      <c r="H619" s="23"/>
      <c r="I619" s="23"/>
      <c r="J619" s="23"/>
      <c r="K619" s="23"/>
    </row>
    <row r="620" spans="2:11">
      <c r="B620"/>
      <c r="C620" s="23"/>
      <c r="D620" s="23"/>
      <c r="E620" s="23"/>
      <c r="F620" s="23"/>
      <c r="G620" s="23"/>
      <c r="H620" s="23"/>
      <c r="I620" s="23"/>
      <c r="J620" s="23"/>
      <c r="K620" s="23"/>
    </row>
    <row r="621" spans="2:11">
      <c r="B621"/>
      <c r="C621" s="23"/>
      <c r="D621" s="23"/>
      <c r="E621" s="23"/>
      <c r="F621" s="23"/>
      <c r="G621" s="23"/>
      <c r="H621" s="23"/>
      <c r="I621" s="23"/>
      <c r="J621" s="23"/>
      <c r="K621" s="23"/>
    </row>
    <row r="622" spans="2:11">
      <c r="B622"/>
      <c r="C622" s="23"/>
      <c r="D622" s="23"/>
      <c r="E622" s="23"/>
      <c r="F622" s="23"/>
      <c r="G622" s="23"/>
      <c r="H622" s="23"/>
      <c r="I622" s="23"/>
      <c r="J622" s="23"/>
      <c r="K622" s="23"/>
    </row>
    <row r="623" spans="2:11">
      <c r="B623"/>
      <c r="C623" s="23"/>
      <c r="D623" s="23"/>
      <c r="E623" s="23"/>
      <c r="F623" s="23"/>
      <c r="G623" s="23"/>
      <c r="H623" s="23"/>
      <c r="I623" s="23"/>
      <c r="J623" s="23"/>
      <c r="K623" s="23"/>
    </row>
    <row r="624" spans="2:11">
      <c r="B624"/>
      <c r="C624" s="23"/>
      <c r="D624" s="23"/>
      <c r="E624" s="23"/>
      <c r="F624" s="23"/>
      <c r="G624" s="23"/>
      <c r="H624" s="23"/>
      <c r="I624" s="23"/>
      <c r="J624" s="23"/>
      <c r="K624" s="23"/>
    </row>
    <row r="625" spans="2:11">
      <c r="B625"/>
      <c r="C625" s="23"/>
      <c r="D625" s="23"/>
      <c r="E625" s="23"/>
      <c r="F625" s="23"/>
      <c r="G625" s="23"/>
      <c r="H625" s="23"/>
      <c r="I625" s="23"/>
      <c r="J625" s="23"/>
      <c r="K625" s="23"/>
    </row>
    <row r="626" spans="2:11">
      <c r="B626"/>
      <c r="C626" s="23"/>
      <c r="D626" s="23"/>
      <c r="E626" s="23"/>
      <c r="F626" s="23"/>
      <c r="G626" s="23"/>
      <c r="H626" s="23"/>
      <c r="I626" s="23"/>
      <c r="J626" s="23"/>
      <c r="K626" s="23"/>
    </row>
    <row r="627" spans="2:11">
      <c r="B627"/>
      <c r="C627" s="23"/>
      <c r="D627" s="23"/>
      <c r="E627" s="23"/>
      <c r="F627" s="23"/>
      <c r="G627" s="23"/>
      <c r="H627" s="23"/>
      <c r="I627" s="23"/>
      <c r="J627" s="23"/>
      <c r="K627" s="23"/>
    </row>
    <row r="628" spans="2:11">
      <c r="B628"/>
      <c r="C628" s="23"/>
      <c r="D628" s="23"/>
      <c r="E628" s="23"/>
      <c r="F628" s="23"/>
      <c r="G628" s="23"/>
      <c r="H628" s="23"/>
      <c r="I628" s="23"/>
      <c r="J628" s="23"/>
      <c r="K628" s="23"/>
    </row>
    <row r="629" spans="2:11">
      <c r="B629"/>
      <c r="C629" s="23"/>
      <c r="D629" s="23"/>
      <c r="E629" s="23"/>
      <c r="F629" s="23"/>
      <c r="G629" s="23"/>
      <c r="H629" s="23"/>
      <c r="I629" s="23"/>
      <c r="J629" s="23"/>
      <c r="K629" s="23"/>
    </row>
    <row r="630" spans="2:11">
      <c r="B630"/>
      <c r="C630" s="23"/>
      <c r="D630" s="23"/>
      <c r="E630" s="23"/>
      <c r="F630" s="23"/>
      <c r="G630" s="23"/>
      <c r="H630" s="23"/>
      <c r="I630" s="23"/>
      <c r="J630" s="23"/>
      <c r="K630" s="23"/>
    </row>
    <row r="631" spans="2:11">
      <c r="B631"/>
      <c r="C631" s="23"/>
      <c r="D631" s="23"/>
      <c r="E631" s="23"/>
      <c r="F631" s="23"/>
      <c r="G631" s="23"/>
      <c r="H631" s="23"/>
      <c r="I631" s="23"/>
      <c r="J631" s="23"/>
      <c r="K631" s="23"/>
    </row>
    <row r="632" spans="2:11">
      <c r="B632"/>
      <c r="C632" s="23"/>
      <c r="D632" s="23"/>
      <c r="E632" s="23"/>
      <c r="F632" s="23"/>
      <c r="G632" s="23"/>
      <c r="H632" s="23"/>
      <c r="I632" s="23"/>
      <c r="J632" s="23"/>
      <c r="K632" s="23"/>
    </row>
    <row r="633" spans="2:11">
      <c r="B633"/>
      <c r="C633" s="23"/>
      <c r="D633" s="23"/>
      <c r="E633" s="23"/>
      <c r="F633" s="23"/>
      <c r="G633" s="23"/>
      <c r="H633" s="23"/>
      <c r="I633" s="23"/>
      <c r="J633" s="23"/>
      <c r="K633" s="23"/>
    </row>
    <row r="634" spans="2:11">
      <c r="B634"/>
      <c r="C634" s="23"/>
      <c r="D634" s="23"/>
      <c r="E634" s="23"/>
      <c r="F634" s="23"/>
      <c r="G634" s="23"/>
      <c r="H634" s="23"/>
      <c r="I634" s="23"/>
      <c r="J634" s="23"/>
      <c r="K634" s="23"/>
    </row>
    <row r="635" spans="2:11">
      <c r="B635"/>
      <c r="C635" s="23"/>
      <c r="D635" s="23"/>
      <c r="E635" s="23"/>
      <c r="F635" s="23"/>
      <c r="G635" s="23"/>
      <c r="H635" s="23"/>
      <c r="I635" s="23"/>
      <c r="J635" s="23"/>
      <c r="K635" s="23"/>
    </row>
    <row r="636" spans="2:11">
      <c r="B636"/>
      <c r="C636" s="23"/>
      <c r="D636" s="23"/>
      <c r="E636" s="23"/>
      <c r="F636" s="23"/>
      <c r="G636" s="23"/>
      <c r="H636" s="23"/>
      <c r="I636" s="23"/>
      <c r="J636" s="23"/>
      <c r="K636" s="23"/>
    </row>
    <row r="637" spans="2:11">
      <c r="B637"/>
      <c r="C637" s="23"/>
      <c r="D637" s="23"/>
      <c r="E637" s="23"/>
      <c r="F637" s="23"/>
      <c r="G637" s="23"/>
      <c r="H637" s="23"/>
      <c r="I637" s="23"/>
      <c r="J637" s="23"/>
      <c r="K637" s="23"/>
    </row>
    <row r="638" spans="2:11">
      <c r="B638"/>
      <c r="C638" s="23"/>
      <c r="D638" s="23"/>
      <c r="E638" s="23"/>
      <c r="F638" s="23"/>
      <c r="G638" s="23"/>
      <c r="H638" s="23"/>
      <c r="I638" s="23"/>
      <c r="J638" s="23"/>
      <c r="K638" s="23"/>
    </row>
    <row r="639" spans="2:11">
      <c r="B639"/>
      <c r="C639" s="23"/>
      <c r="D639" s="23"/>
      <c r="E639" s="23"/>
      <c r="F639" s="23"/>
      <c r="G639" s="23"/>
      <c r="H639" s="23"/>
      <c r="I639" s="23"/>
      <c r="J639" s="23"/>
      <c r="K639" s="23"/>
    </row>
    <row r="640" spans="2:11">
      <c r="B640"/>
      <c r="C640" s="23"/>
      <c r="D640" s="23"/>
      <c r="E640" s="23"/>
      <c r="F640" s="23"/>
      <c r="G640" s="23"/>
      <c r="H640" s="23"/>
      <c r="I640" s="23"/>
      <c r="J640" s="23"/>
      <c r="K640" s="23"/>
    </row>
    <row r="641" spans="2:11">
      <c r="B641"/>
      <c r="C641" s="23"/>
      <c r="D641" s="23"/>
      <c r="E641" s="23"/>
      <c r="F641" s="23"/>
      <c r="G641" s="23"/>
      <c r="H641" s="23"/>
      <c r="I641" s="23"/>
      <c r="J641" s="23"/>
      <c r="K641" s="23"/>
    </row>
    <row r="642" spans="2:11">
      <c r="B642"/>
      <c r="C642" s="23"/>
      <c r="D642" s="23"/>
      <c r="E642" s="23"/>
      <c r="F642" s="23"/>
      <c r="G642" s="23"/>
      <c r="H642" s="23"/>
      <c r="I642" s="23"/>
      <c r="J642" s="23"/>
      <c r="K642" s="23"/>
    </row>
    <row r="643" spans="2:11">
      <c r="B643"/>
      <c r="C643" s="23"/>
      <c r="D643" s="23"/>
      <c r="E643" s="23"/>
      <c r="F643" s="23"/>
      <c r="G643" s="23"/>
      <c r="H643" s="23"/>
      <c r="I643" s="23"/>
      <c r="J643" s="23"/>
      <c r="K643" s="23"/>
    </row>
    <row r="644" spans="2:11">
      <c r="B644"/>
      <c r="C644" s="23"/>
      <c r="D644" s="23"/>
      <c r="E644" s="23"/>
      <c r="F644" s="23"/>
      <c r="G644" s="23"/>
      <c r="H644" s="23"/>
      <c r="I644" s="23"/>
      <c r="J644" s="23"/>
      <c r="K644" s="23"/>
    </row>
    <row r="645" spans="2:11">
      <c r="B645"/>
      <c r="C645" s="23"/>
      <c r="D645" s="23"/>
      <c r="E645" s="23"/>
      <c r="F645" s="23"/>
      <c r="G645" s="23"/>
      <c r="H645" s="23"/>
      <c r="I645" s="23"/>
      <c r="J645" s="23"/>
      <c r="K645" s="23"/>
    </row>
    <row r="646" spans="2:11">
      <c r="B646"/>
      <c r="C646" s="23"/>
      <c r="D646" s="23"/>
      <c r="E646" s="23"/>
      <c r="F646" s="23"/>
      <c r="G646" s="23"/>
      <c r="H646" s="23"/>
      <c r="I646" s="23"/>
      <c r="J646" s="23"/>
      <c r="K646" s="23"/>
    </row>
    <row r="647" spans="2:11">
      <c r="B647"/>
      <c r="C647" s="23"/>
      <c r="D647" s="23"/>
      <c r="E647" s="23"/>
      <c r="F647" s="23"/>
      <c r="G647" s="23"/>
      <c r="H647" s="23"/>
      <c r="I647" s="23"/>
      <c r="J647" s="23"/>
      <c r="K647" s="23"/>
    </row>
    <row r="648" spans="2:11">
      <c r="B648"/>
      <c r="C648" s="23"/>
      <c r="D648" s="23"/>
      <c r="E648" s="23"/>
      <c r="F648" s="23"/>
      <c r="G648" s="23"/>
      <c r="H648" s="23"/>
      <c r="I648" s="23"/>
      <c r="J648" s="23"/>
      <c r="K648" s="23"/>
    </row>
    <row r="649" spans="2:11">
      <c r="B649"/>
      <c r="C649" s="23"/>
      <c r="D649" s="23"/>
      <c r="E649" s="23"/>
      <c r="F649" s="23"/>
      <c r="G649" s="23"/>
      <c r="H649" s="23"/>
      <c r="I649" s="23"/>
      <c r="J649" s="23"/>
      <c r="K649" s="23"/>
    </row>
    <row r="650" spans="2:11">
      <c r="B650"/>
      <c r="C650" s="23"/>
      <c r="D650" s="23"/>
      <c r="E650" s="23"/>
      <c r="F650" s="23"/>
      <c r="G650" s="23"/>
      <c r="H650" s="23"/>
      <c r="I650" s="23"/>
      <c r="J650" s="23"/>
      <c r="K650" s="23"/>
    </row>
    <row r="651" spans="2:11">
      <c r="B651"/>
      <c r="C651" s="23"/>
      <c r="D651" s="23"/>
      <c r="E651" s="23"/>
      <c r="F651" s="23"/>
      <c r="G651" s="23"/>
      <c r="H651" s="23"/>
      <c r="I651" s="23"/>
      <c r="J651" s="23"/>
      <c r="K651" s="23"/>
    </row>
    <row r="652" spans="2:11">
      <c r="B652"/>
      <c r="C652" s="23"/>
      <c r="D652" s="23"/>
      <c r="E652" s="23"/>
      <c r="F652" s="23"/>
      <c r="G652" s="23"/>
      <c r="H652" s="23"/>
      <c r="I652" s="23"/>
      <c r="J652" s="23"/>
      <c r="K652" s="23"/>
    </row>
    <row r="653" spans="2:11">
      <c r="B653"/>
      <c r="C653" s="23"/>
      <c r="D653" s="23"/>
      <c r="E653" s="23"/>
      <c r="F653" s="23"/>
      <c r="G653" s="23"/>
      <c r="H653" s="23"/>
      <c r="I653" s="23"/>
      <c r="J653" s="23"/>
      <c r="K653" s="23"/>
    </row>
    <row r="654" spans="2:11">
      <c r="B654"/>
      <c r="C654" s="23"/>
      <c r="D654" s="23"/>
      <c r="E654" s="23"/>
      <c r="F654" s="23"/>
      <c r="G654" s="23"/>
      <c r="H654" s="23"/>
      <c r="I654" s="23"/>
      <c r="J654" s="23"/>
      <c r="K654" s="23"/>
    </row>
    <row r="655" spans="2:11">
      <c r="B655"/>
      <c r="C655" s="23"/>
      <c r="D655" s="23"/>
      <c r="E655" s="23"/>
      <c r="F655" s="23"/>
      <c r="G655" s="23"/>
      <c r="H655" s="23"/>
      <c r="I655" s="23"/>
      <c r="J655" s="23"/>
      <c r="K655" s="23"/>
    </row>
    <row r="656" spans="2:11">
      <c r="B656"/>
      <c r="C656" s="23"/>
      <c r="D656" s="23"/>
      <c r="E656" s="23"/>
      <c r="F656" s="23"/>
      <c r="G656" s="23"/>
      <c r="H656" s="23"/>
      <c r="I656" s="23"/>
      <c r="J656" s="23"/>
      <c r="K656" s="23"/>
    </row>
    <row r="657" spans="2:11">
      <c r="B657"/>
      <c r="C657" s="23"/>
      <c r="D657" s="23"/>
      <c r="E657" s="23"/>
      <c r="F657" s="23"/>
      <c r="G657" s="23"/>
      <c r="H657" s="23"/>
      <c r="I657" s="23"/>
      <c r="J657" s="23"/>
      <c r="K657" s="23"/>
    </row>
    <row r="658" spans="2:11">
      <c r="B658"/>
      <c r="C658" s="23"/>
      <c r="D658" s="23"/>
      <c r="E658" s="23"/>
      <c r="F658" s="23"/>
      <c r="G658" s="23"/>
      <c r="H658" s="23"/>
      <c r="I658" s="23"/>
      <c r="J658" s="23"/>
      <c r="K658" s="23"/>
    </row>
    <row r="659" spans="2:11">
      <c r="B659"/>
      <c r="C659" s="23"/>
      <c r="D659" s="23"/>
      <c r="E659" s="23"/>
      <c r="F659" s="23"/>
      <c r="G659" s="23"/>
      <c r="H659" s="23"/>
      <c r="I659" s="23"/>
      <c r="J659" s="23"/>
      <c r="K659" s="23"/>
    </row>
    <row r="660" spans="2:11">
      <c r="B660"/>
      <c r="C660" s="23"/>
      <c r="D660" s="23"/>
      <c r="E660" s="23"/>
      <c r="F660" s="23"/>
      <c r="G660" s="23"/>
      <c r="H660" s="23"/>
      <c r="I660" s="23"/>
      <c r="J660" s="23"/>
      <c r="K660" s="23"/>
    </row>
    <row r="661" spans="2:11">
      <c r="B661"/>
      <c r="C661" s="23"/>
      <c r="D661" s="23"/>
      <c r="E661" s="23"/>
      <c r="F661" s="23"/>
      <c r="G661" s="23"/>
      <c r="H661" s="23"/>
      <c r="I661" s="23"/>
      <c r="J661" s="23"/>
      <c r="K661" s="23"/>
    </row>
    <row r="662" spans="2:11">
      <c r="B662"/>
      <c r="C662" s="23"/>
      <c r="D662" s="23"/>
      <c r="E662" s="23"/>
      <c r="F662" s="23"/>
      <c r="G662" s="23"/>
      <c r="H662" s="23"/>
      <c r="I662" s="23"/>
      <c r="J662" s="23"/>
      <c r="K662" s="23"/>
    </row>
    <row r="663" spans="2:11">
      <c r="B663"/>
      <c r="C663" s="23"/>
      <c r="D663" s="23"/>
      <c r="E663" s="23"/>
      <c r="F663" s="23"/>
      <c r="G663" s="23"/>
      <c r="H663" s="23"/>
      <c r="I663" s="23"/>
      <c r="J663" s="23"/>
      <c r="K663" s="23"/>
    </row>
    <row r="664" spans="2:11">
      <c r="B664"/>
      <c r="C664" s="23"/>
      <c r="D664" s="23"/>
      <c r="E664" s="23"/>
      <c r="F664" s="23"/>
      <c r="G664" s="23"/>
      <c r="H664" s="23"/>
      <c r="I664" s="23"/>
      <c r="J664" s="23"/>
      <c r="K664" s="23"/>
    </row>
    <row r="665" spans="2:11">
      <c r="B665"/>
      <c r="C665" s="23"/>
      <c r="D665" s="23"/>
      <c r="E665" s="23"/>
      <c r="F665" s="23"/>
      <c r="G665" s="23"/>
      <c r="H665" s="23"/>
      <c r="I665" s="23"/>
      <c r="J665" s="23"/>
      <c r="K665" s="23"/>
    </row>
    <row r="666" spans="2:11">
      <c r="B666"/>
      <c r="C666" s="23"/>
      <c r="D666" s="23"/>
      <c r="E666" s="23"/>
      <c r="F666" s="23"/>
      <c r="G666" s="23"/>
      <c r="H666" s="23"/>
      <c r="I666" s="23"/>
      <c r="J666" s="23"/>
      <c r="K666" s="23"/>
    </row>
    <row r="667" spans="2:11">
      <c r="B667"/>
      <c r="C667" s="23"/>
      <c r="D667" s="23"/>
      <c r="E667" s="23"/>
      <c r="F667" s="23"/>
      <c r="G667" s="23"/>
      <c r="H667" s="23"/>
      <c r="I667" s="23"/>
      <c r="J667" s="23"/>
      <c r="K667" s="23"/>
    </row>
    <row r="668" spans="2:11">
      <c r="B668"/>
      <c r="C668" s="23"/>
      <c r="D668" s="23"/>
      <c r="E668" s="23"/>
      <c r="F668" s="23"/>
      <c r="G668" s="23"/>
      <c r="H668" s="23"/>
      <c r="I668" s="23"/>
      <c r="J668" s="23"/>
      <c r="K668" s="23"/>
    </row>
    <row r="669" spans="2:11">
      <c r="B669"/>
      <c r="C669" s="23"/>
      <c r="D669" s="23"/>
      <c r="E669" s="23"/>
      <c r="F669" s="23"/>
      <c r="G669" s="23"/>
      <c r="H669" s="23"/>
      <c r="I669" s="23"/>
      <c r="J669" s="23"/>
      <c r="K669" s="23"/>
    </row>
    <row r="670" spans="2:11">
      <c r="B670"/>
      <c r="C670" s="23"/>
      <c r="D670" s="23"/>
      <c r="E670" s="23"/>
      <c r="F670" s="23"/>
      <c r="G670" s="23"/>
      <c r="H670" s="23"/>
      <c r="I670" s="23"/>
      <c r="J670" s="23"/>
      <c r="K670" s="23"/>
    </row>
    <row r="671" spans="2:11">
      <c r="B671"/>
      <c r="C671" s="23"/>
      <c r="D671" s="23"/>
      <c r="E671" s="23"/>
      <c r="F671" s="23"/>
      <c r="G671" s="23"/>
      <c r="H671" s="23"/>
      <c r="I671" s="23"/>
      <c r="J671" s="23"/>
      <c r="K671" s="23"/>
    </row>
    <row r="672" spans="2:11">
      <c r="B672"/>
      <c r="C672" s="23"/>
      <c r="D672" s="23"/>
      <c r="E672" s="23"/>
      <c r="F672" s="23"/>
      <c r="G672" s="23"/>
      <c r="H672" s="23"/>
      <c r="I672" s="23"/>
      <c r="J672" s="23"/>
      <c r="K672" s="23"/>
    </row>
    <row r="673" spans="2:11">
      <c r="B673"/>
      <c r="C673" s="23"/>
      <c r="D673" s="23"/>
      <c r="E673" s="23"/>
      <c r="F673" s="23"/>
      <c r="G673" s="23"/>
      <c r="H673" s="23"/>
      <c r="I673" s="23"/>
      <c r="J673" s="23"/>
      <c r="K673" s="23"/>
    </row>
    <row r="674" spans="2:11">
      <c r="B674"/>
      <c r="C674" s="23"/>
      <c r="D674" s="23"/>
      <c r="E674" s="23"/>
      <c r="F674" s="23"/>
      <c r="G674" s="23"/>
      <c r="H674" s="23"/>
      <c r="I674" s="23"/>
      <c r="J674" s="23"/>
      <c r="K674" s="23"/>
    </row>
    <row r="675" spans="2:11">
      <c r="B675"/>
      <c r="C675" s="23"/>
      <c r="D675" s="23"/>
      <c r="E675" s="23"/>
      <c r="F675" s="23"/>
      <c r="G675" s="23"/>
      <c r="H675" s="23"/>
      <c r="I675" s="23"/>
      <c r="J675" s="23"/>
      <c r="K675" s="23"/>
    </row>
    <row r="676" spans="2:11">
      <c r="B676"/>
      <c r="C676" s="23"/>
      <c r="D676" s="23"/>
      <c r="E676" s="23"/>
      <c r="F676" s="23"/>
      <c r="G676" s="23"/>
      <c r="H676" s="23"/>
      <c r="I676" s="23"/>
      <c r="J676" s="23"/>
      <c r="K676" s="23"/>
    </row>
    <row r="677" spans="2:11">
      <c r="B677"/>
      <c r="C677" s="23"/>
      <c r="D677" s="23"/>
      <c r="E677" s="23"/>
      <c r="F677" s="23"/>
      <c r="G677" s="23"/>
      <c r="H677" s="23"/>
      <c r="I677" s="23"/>
      <c r="J677" s="23"/>
      <c r="K677" s="23"/>
    </row>
    <row r="678" spans="2:11">
      <c r="B678"/>
      <c r="C678" s="23"/>
      <c r="D678" s="23"/>
      <c r="E678" s="23"/>
      <c r="F678" s="23"/>
      <c r="G678" s="23"/>
      <c r="H678" s="23"/>
      <c r="I678" s="23"/>
      <c r="J678" s="23"/>
      <c r="K678" s="23"/>
    </row>
    <row r="679" spans="2:11">
      <c r="B679"/>
      <c r="C679" s="23"/>
      <c r="D679" s="23"/>
      <c r="E679" s="23"/>
      <c r="F679" s="23"/>
      <c r="G679" s="23"/>
      <c r="H679" s="23"/>
      <c r="I679" s="23"/>
      <c r="J679" s="23"/>
      <c r="K679" s="23"/>
    </row>
    <row r="680" spans="2:11">
      <c r="B680"/>
      <c r="C680" s="23"/>
      <c r="D680" s="23"/>
      <c r="E680" s="23"/>
      <c r="F680" s="23"/>
      <c r="G680" s="23"/>
      <c r="H680" s="23"/>
      <c r="I680" s="23"/>
      <c r="J680" s="23"/>
      <c r="K680" s="23"/>
    </row>
    <row r="681" spans="2:11">
      <c r="B681"/>
      <c r="C681" s="23"/>
      <c r="D681" s="23"/>
      <c r="E681" s="23"/>
      <c r="F681" s="23"/>
      <c r="G681" s="23"/>
      <c r="H681" s="23"/>
      <c r="I681" s="23"/>
      <c r="J681" s="23"/>
      <c r="K681" s="23"/>
    </row>
    <row r="682" spans="2:11">
      <c r="B682"/>
      <c r="C682" s="23"/>
      <c r="D682" s="23"/>
      <c r="E682" s="23"/>
      <c r="F682" s="23"/>
      <c r="G682" s="23"/>
      <c r="H682" s="23"/>
      <c r="I682" s="23"/>
      <c r="J682" s="23"/>
      <c r="K682" s="23"/>
    </row>
    <row r="683" spans="2:11">
      <c r="B683"/>
      <c r="C683" s="23"/>
      <c r="D683" s="23"/>
      <c r="E683" s="23"/>
      <c r="F683" s="23"/>
      <c r="G683" s="23"/>
      <c r="H683" s="23"/>
      <c r="I683" s="23"/>
      <c r="J683" s="23"/>
      <c r="K683" s="23"/>
    </row>
    <row r="684" spans="2:11">
      <c r="B684"/>
      <c r="C684" s="23"/>
      <c r="D684" s="23"/>
      <c r="E684" s="23"/>
      <c r="F684" s="23"/>
      <c r="G684" s="23"/>
      <c r="H684" s="23"/>
      <c r="I684" s="23"/>
      <c r="J684" s="23"/>
      <c r="K684" s="23"/>
    </row>
    <row r="685" spans="2:11">
      <c r="B685"/>
      <c r="C685" s="23"/>
      <c r="D685" s="23"/>
      <c r="E685" s="23"/>
      <c r="F685" s="23"/>
      <c r="G685" s="23"/>
      <c r="H685" s="23"/>
      <c r="I685" s="23"/>
      <c r="J685" s="23"/>
      <c r="K685" s="23"/>
    </row>
    <row r="686" spans="2:11">
      <c r="B686"/>
      <c r="C686" s="23"/>
      <c r="D686" s="23"/>
      <c r="E686" s="23"/>
      <c r="F686" s="23"/>
      <c r="G686" s="23"/>
      <c r="H686" s="23"/>
      <c r="I686" s="23"/>
      <c r="J686" s="23"/>
      <c r="K686" s="23"/>
    </row>
    <row r="687" spans="2:11">
      <c r="B687"/>
      <c r="C687" s="23"/>
      <c r="D687" s="23"/>
      <c r="E687" s="23"/>
      <c r="F687" s="23"/>
      <c r="G687" s="23"/>
      <c r="H687" s="23"/>
      <c r="I687" s="23"/>
      <c r="J687" s="23"/>
      <c r="K687" s="23"/>
    </row>
    <row r="688" spans="2:11">
      <c r="B688"/>
      <c r="C688" s="23"/>
      <c r="D688" s="23"/>
      <c r="E688" s="23"/>
      <c r="F688" s="23"/>
      <c r="G688" s="23"/>
      <c r="H688" s="23"/>
      <c r="I688" s="23"/>
      <c r="J688" s="23"/>
      <c r="K688" s="23"/>
    </row>
    <row r="689" spans="2:11">
      <c r="B689"/>
      <c r="C689" s="23"/>
      <c r="D689" s="23"/>
      <c r="E689" s="23"/>
      <c r="F689" s="23"/>
      <c r="G689" s="23"/>
      <c r="H689" s="23"/>
      <c r="I689" s="23"/>
      <c r="J689" s="23"/>
      <c r="K689" s="23"/>
    </row>
    <row r="690" spans="2:11">
      <c r="B690"/>
      <c r="C690" s="23"/>
      <c r="D690" s="23"/>
      <c r="E690" s="23"/>
      <c r="F690" s="23"/>
      <c r="G690" s="23"/>
      <c r="H690" s="23"/>
      <c r="I690" s="23"/>
      <c r="J690" s="23"/>
      <c r="K690" s="23"/>
    </row>
    <row r="691" spans="2:11">
      <c r="B691"/>
      <c r="C691" s="23"/>
      <c r="D691" s="23"/>
      <c r="E691" s="23"/>
      <c r="F691" s="23"/>
      <c r="G691" s="23"/>
      <c r="H691" s="23"/>
      <c r="I691" s="23"/>
      <c r="J691" s="23"/>
      <c r="K691" s="23"/>
    </row>
    <row r="692" spans="2:11">
      <c r="B692"/>
      <c r="C692" s="23"/>
      <c r="D692" s="23"/>
      <c r="E692" s="23"/>
      <c r="F692" s="23"/>
      <c r="G692" s="23"/>
      <c r="H692" s="23"/>
      <c r="I692" s="23"/>
      <c r="J692" s="23"/>
      <c r="K692" s="23"/>
    </row>
    <row r="693" spans="2:11">
      <c r="B693"/>
      <c r="C693" s="23"/>
      <c r="D693" s="23"/>
      <c r="E693" s="23"/>
      <c r="F693" s="23"/>
      <c r="G693" s="23"/>
      <c r="H693" s="23"/>
      <c r="I693" s="23"/>
      <c r="J693" s="23"/>
      <c r="K693" s="23"/>
    </row>
    <row r="694" spans="2:11">
      <c r="B694"/>
      <c r="C694" s="23"/>
      <c r="D694" s="23"/>
      <c r="E694" s="23"/>
      <c r="F694" s="23"/>
      <c r="G694" s="23"/>
      <c r="H694" s="23"/>
      <c r="I694" s="23"/>
      <c r="J694" s="23"/>
      <c r="K694" s="23"/>
    </row>
    <row r="695" spans="2:11">
      <c r="B695"/>
      <c r="C695" s="23"/>
      <c r="D695" s="23"/>
      <c r="E695" s="23"/>
      <c r="F695" s="23"/>
      <c r="G695" s="23"/>
      <c r="H695" s="23"/>
      <c r="I695" s="23"/>
      <c r="J695" s="23"/>
      <c r="K695" s="23"/>
    </row>
    <row r="696" spans="2:11">
      <c r="B696"/>
      <c r="C696" s="23"/>
      <c r="D696" s="23"/>
      <c r="E696" s="23"/>
      <c r="F696" s="23"/>
      <c r="G696" s="23"/>
      <c r="H696" s="23"/>
      <c r="I696" s="23"/>
      <c r="J696" s="23"/>
      <c r="K696" s="23"/>
    </row>
    <row r="697" spans="2:11">
      <c r="B697"/>
      <c r="C697" s="23"/>
      <c r="D697" s="23"/>
      <c r="E697" s="23"/>
      <c r="F697" s="23"/>
      <c r="G697" s="23"/>
      <c r="H697" s="23"/>
      <c r="I697" s="23"/>
      <c r="J697" s="23"/>
      <c r="K697" s="23"/>
    </row>
    <row r="698" spans="2:11">
      <c r="B698"/>
      <c r="C698" s="23"/>
      <c r="D698" s="23"/>
      <c r="E698" s="23"/>
      <c r="F698" s="23"/>
      <c r="G698" s="23"/>
      <c r="H698" s="23"/>
      <c r="I698" s="23"/>
      <c r="J698" s="23"/>
      <c r="K698" s="23"/>
    </row>
    <row r="699" spans="2:11">
      <c r="B699"/>
      <c r="C699" s="23"/>
      <c r="D699" s="23"/>
      <c r="E699" s="23"/>
      <c r="F699" s="23"/>
      <c r="G699" s="23"/>
      <c r="H699" s="23"/>
      <c r="I699" s="23"/>
      <c r="J699" s="23"/>
      <c r="K699" s="23"/>
    </row>
    <row r="700" spans="2:11">
      <c r="B700"/>
      <c r="C700" s="23"/>
      <c r="D700" s="23"/>
      <c r="E700" s="23"/>
      <c r="F700" s="23"/>
      <c r="G700" s="23"/>
      <c r="H700" s="23"/>
      <c r="I700" s="23"/>
      <c r="J700" s="23"/>
      <c r="K700" s="23"/>
    </row>
    <row r="701" spans="2:11">
      <c r="B701"/>
      <c r="C701" s="23"/>
      <c r="D701" s="23"/>
      <c r="E701" s="23"/>
      <c r="F701" s="23"/>
      <c r="G701" s="23"/>
      <c r="H701" s="23"/>
      <c r="I701" s="23"/>
      <c r="J701" s="23"/>
      <c r="K701" s="23"/>
    </row>
    <row r="702" spans="2:11">
      <c r="B702"/>
      <c r="C702" s="23"/>
      <c r="D702" s="23"/>
      <c r="E702" s="23"/>
      <c r="F702" s="23"/>
      <c r="G702" s="23"/>
      <c r="H702" s="23"/>
      <c r="I702" s="23"/>
      <c r="J702" s="23"/>
      <c r="K702" s="23"/>
    </row>
    <row r="703" spans="2:11">
      <c r="B703"/>
      <c r="C703" s="23"/>
      <c r="D703" s="23"/>
      <c r="E703" s="23"/>
      <c r="F703" s="23"/>
      <c r="G703" s="23"/>
      <c r="H703" s="23"/>
      <c r="I703" s="23"/>
      <c r="J703" s="23"/>
      <c r="K703" s="23"/>
    </row>
    <row r="704" spans="2:11">
      <c r="B704"/>
      <c r="C704" s="23"/>
      <c r="D704" s="23"/>
      <c r="E704" s="23"/>
      <c r="F704" s="23"/>
      <c r="G704" s="23"/>
      <c r="H704" s="23"/>
      <c r="I704" s="23"/>
      <c r="J704" s="23"/>
      <c r="K704" s="23"/>
    </row>
    <row r="705" spans="2:11">
      <c r="B705"/>
      <c r="C705" s="23"/>
      <c r="D705" s="23"/>
      <c r="E705" s="23"/>
      <c r="F705" s="23"/>
      <c r="G705" s="23"/>
      <c r="H705" s="23"/>
      <c r="I705" s="23"/>
      <c r="J705" s="23"/>
      <c r="K705" s="23"/>
    </row>
    <row r="706" spans="2:11">
      <c r="B706"/>
      <c r="C706" s="23"/>
      <c r="D706" s="23"/>
      <c r="E706" s="23"/>
      <c r="F706" s="23"/>
      <c r="G706" s="23"/>
      <c r="H706" s="23"/>
      <c r="I706" s="23"/>
      <c r="J706" s="23"/>
      <c r="K706" s="23"/>
    </row>
    <row r="707" spans="2:11">
      <c r="B707"/>
      <c r="C707" s="23"/>
      <c r="D707" s="23"/>
      <c r="E707" s="23"/>
      <c r="F707" s="23"/>
      <c r="G707" s="23"/>
      <c r="H707" s="23"/>
      <c r="I707" s="23"/>
      <c r="J707" s="23"/>
      <c r="K707" s="23"/>
    </row>
    <row r="708" spans="2:11">
      <c r="B708"/>
      <c r="C708" s="23"/>
      <c r="D708" s="23"/>
      <c r="E708" s="23"/>
      <c r="F708" s="23"/>
      <c r="G708" s="23"/>
      <c r="H708" s="23"/>
      <c r="I708" s="23"/>
      <c r="J708" s="23"/>
      <c r="K708" s="23"/>
    </row>
    <row r="709" spans="2:11">
      <c r="B709"/>
      <c r="C709" s="23"/>
      <c r="D709" s="23"/>
      <c r="E709" s="23"/>
      <c r="F709" s="23"/>
      <c r="G709" s="23"/>
      <c r="H709" s="23"/>
      <c r="I709" s="23"/>
      <c r="J709" s="23"/>
      <c r="K709" s="23"/>
    </row>
    <row r="710" spans="2:11">
      <c r="B710"/>
      <c r="C710" s="23"/>
      <c r="D710" s="23"/>
      <c r="E710" s="23"/>
      <c r="F710" s="23"/>
      <c r="G710" s="23"/>
      <c r="H710" s="23"/>
      <c r="I710" s="23"/>
      <c r="J710" s="23"/>
      <c r="K710" s="23"/>
    </row>
    <row r="711" spans="2:11">
      <c r="B711"/>
      <c r="C711" s="23"/>
      <c r="D711" s="23"/>
      <c r="E711" s="23"/>
      <c r="F711" s="23"/>
      <c r="G711" s="23"/>
      <c r="H711" s="23"/>
      <c r="I711" s="23"/>
      <c r="J711" s="23"/>
      <c r="K711" s="23"/>
    </row>
    <row r="712" spans="2:11">
      <c r="B712"/>
      <c r="C712" s="23"/>
      <c r="D712" s="23"/>
      <c r="E712" s="23"/>
      <c r="F712" s="23"/>
      <c r="G712" s="23"/>
      <c r="H712" s="23"/>
      <c r="I712" s="23"/>
      <c r="J712" s="23"/>
      <c r="K712" s="23"/>
    </row>
    <row r="713" spans="2:11">
      <c r="B713"/>
      <c r="C713" s="23"/>
      <c r="D713" s="23"/>
      <c r="E713" s="23"/>
      <c r="F713" s="23"/>
      <c r="G713" s="23"/>
      <c r="H713" s="23"/>
      <c r="I713" s="23"/>
      <c r="J713" s="23"/>
      <c r="K713" s="23"/>
    </row>
    <row r="714" spans="2:11">
      <c r="B714"/>
      <c r="C714" s="23"/>
      <c r="D714" s="23"/>
      <c r="E714" s="23"/>
      <c r="F714" s="23"/>
      <c r="G714" s="23"/>
      <c r="H714" s="23"/>
      <c r="I714" s="23"/>
      <c r="J714" s="23"/>
      <c r="K714" s="23"/>
    </row>
    <row r="715" spans="2:11">
      <c r="B715"/>
      <c r="C715" s="23"/>
      <c r="D715" s="23"/>
      <c r="E715" s="23"/>
      <c r="F715" s="23"/>
      <c r="G715" s="23"/>
      <c r="H715" s="23"/>
      <c r="I715" s="23"/>
      <c r="J715" s="23"/>
      <c r="K715" s="23"/>
    </row>
    <row r="716" spans="2:11">
      <c r="B716"/>
      <c r="C716" s="23"/>
      <c r="D716" s="23"/>
      <c r="E716" s="23"/>
      <c r="F716" s="23"/>
      <c r="G716" s="23"/>
      <c r="H716" s="23"/>
      <c r="I716" s="23"/>
      <c r="J716" s="23"/>
      <c r="K716" s="23"/>
    </row>
    <row r="717" spans="2:11">
      <c r="B717"/>
      <c r="C717" s="23"/>
      <c r="D717" s="23"/>
      <c r="E717" s="23"/>
      <c r="F717" s="23"/>
      <c r="G717" s="23"/>
      <c r="H717" s="23"/>
      <c r="I717" s="23"/>
      <c r="J717" s="23"/>
      <c r="K717" s="23"/>
    </row>
    <row r="718" spans="2:11">
      <c r="B718"/>
      <c r="C718" s="23"/>
      <c r="D718" s="23"/>
      <c r="E718" s="23"/>
      <c r="F718" s="23"/>
      <c r="G718" s="23"/>
      <c r="H718" s="23"/>
      <c r="I718" s="23"/>
      <c r="J718" s="23"/>
      <c r="K718" s="23"/>
    </row>
    <row r="719" spans="2:11">
      <c r="B719"/>
      <c r="C719" s="23"/>
      <c r="D719" s="23"/>
      <c r="E719" s="23"/>
      <c r="F719" s="23"/>
      <c r="G719" s="23"/>
      <c r="H719" s="23"/>
      <c r="I719" s="23"/>
      <c r="J719" s="23"/>
      <c r="K719" s="23"/>
    </row>
    <row r="720" spans="2:11">
      <c r="B720"/>
      <c r="C720" s="23"/>
      <c r="D720" s="23"/>
      <c r="E720" s="23"/>
      <c r="F720" s="23"/>
      <c r="G720" s="23"/>
      <c r="H720" s="23"/>
      <c r="I720" s="23"/>
      <c r="J720" s="23"/>
      <c r="K720" s="23"/>
    </row>
    <row r="721" spans="2:11">
      <c r="B721"/>
      <c r="C721" s="23"/>
      <c r="D721" s="23"/>
      <c r="E721" s="23"/>
      <c r="F721" s="23"/>
      <c r="G721" s="23"/>
      <c r="H721" s="23"/>
      <c r="I721" s="23"/>
      <c r="J721" s="23"/>
      <c r="K721" s="23"/>
    </row>
    <row r="722" spans="2:11">
      <c r="B722"/>
      <c r="C722" s="23"/>
      <c r="D722" s="23"/>
      <c r="E722" s="23"/>
      <c r="F722" s="23"/>
      <c r="G722" s="23"/>
      <c r="H722" s="23"/>
      <c r="I722" s="23"/>
      <c r="J722" s="23"/>
      <c r="K722" s="23"/>
    </row>
    <row r="723" spans="2:11">
      <c r="B723"/>
      <c r="C723" s="23"/>
      <c r="D723" s="23"/>
      <c r="E723" s="23"/>
      <c r="F723" s="23"/>
      <c r="G723" s="23"/>
      <c r="H723" s="23"/>
      <c r="I723" s="23"/>
      <c r="J723" s="23"/>
      <c r="K723" s="23"/>
    </row>
    <row r="724" spans="2:11">
      <c r="B724"/>
      <c r="C724" s="23"/>
      <c r="D724" s="23"/>
      <c r="E724" s="23"/>
      <c r="F724" s="23"/>
      <c r="G724" s="23"/>
      <c r="H724" s="23"/>
      <c r="I724" s="23"/>
      <c r="J724" s="23"/>
      <c r="K724" s="23"/>
    </row>
    <row r="725" spans="2:11">
      <c r="B725"/>
      <c r="C725" s="23"/>
      <c r="D725" s="23"/>
      <c r="E725" s="23"/>
      <c r="F725" s="23"/>
      <c r="G725" s="23"/>
      <c r="H725" s="23"/>
      <c r="I725" s="23"/>
      <c r="J725" s="23"/>
      <c r="K725" s="23"/>
    </row>
    <row r="726" spans="2:11">
      <c r="B726"/>
      <c r="C726" s="23"/>
      <c r="D726" s="23"/>
      <c r="E726" s="23"/>
      <c r="F726" s="23"/>
      <c r="G726" s="23"/>
      <c r="H726" s="23"/>
      <c r="I726" s="23"/>
      <c r="J726" s="23"/>
      <c r="K726" s="23"/>
    </row>
    <row r="727" spans="2:11">
      <c r="B727"/>
      <c r="C727" s="23"/>
      <c r="D727" s="23"/>
      <c r="E727" s="23"/>
      <c r="F727" s="23"/>
      <c r="G727" s="23"/>
      <c r="H727" s="23"/>
      <c r="I727" s="23"/>
      <c r="J727" s="23"/>
      <c r="K727" s="23"/>
    </row>
    <row r="728" spans="2:11">
      <c r="B728"/>
      <c r="C728" s="23"/>
      <c r="D728" s="23"/>
      <c r="E728" s="23"/>
      <c r="F728" s="23"/>
      <c r="G728" s="23"/>
      <c r="H728" s="23"/>
      <c r="I728" s="23"/>
      <c r="J728" s="23"/>
      <c r="K728" s="23"/>
    </row>
    <row r="729" spans="2:11">
      <c r="B729"/>
      <c r="C729" s="23"/>
      <c r="D729" s="23"/>
      <c r="E729" s="23"/>
      <c r="F729" s="23"/>
      <c r="G729" s="23"/>
      <c r="H729" s="23"/>
      <c r="I729" s="23"/>
      <c r="J729" s="23"/>
      <c r="K729" s="23"/>
    </row>
    <row r="730" spans="2:11">
      <c r="B730"/>
      <c r="C730" s="23"/>
      <c r="D730" s="23"/>
      <c r="E730" s="23"/>
      <c r="F730" s="23"/>
      <c r="G730" s="23"/>
      <c r="H730" s="23"/>
      <c r="I730" s="23"/>
      <c r="J730" s="23"/>
      <c r="K730" s="23"/>
    </row>
    <row r="731" spans="2:11">
      <c r="B731"/>
      <c r="C731" s="23"/>
      <c r="D731" s="23"/>
      <c r="E731" s="23"/>
      <c r="F731" s="23"/>
      <c r="G731" s="23"/>
      <c r="H731" s="23"/>
      <c r="I731" s="23"/>
      <c r="J731" s="23"/>
      <c r="K731" s="23"/>
    </row>
    <row r="732" spans="2:11">
      <c r="B732"/>
      <c r="C732" s="23"/>
      <c r="D732" s="23"/>
      <c r="E732" s="23"/>
      <c r="F732" s="23"/>
      <c r="G732" s="23"/>
      <c r="H732" s="23"/>
      <c r="I732" s="23"/>
      <c r="J732" s="23"/>
      <c r="K732" s="23"/>
    </row>
    <row r="733" spans="2:11">
      <c r="B733"/>
      <c r="C733" s="23"/>
      <c r="D733" s="23"/>
      <c r="E733" s="23"/>
      <c r="F733" s="23"/>
      <c r="G733" s="23"/>
      <c r="H733" s="23"/>
      <c r="I733" s="23"/>
      <c r="J733" s="23"/>
      <c r="K733" s="23"/>
    </row>
    <row r="734" spans="2:11">
      <c r="B734"/>
      <c r="C734" s="23"/>
      <c r="D734" s="23"/>
      <c r="E734" s="23"/>
      <c r="F734" s="23"/>
      <c r="G734" s="23"/>
      <c r="H734" s="23"/>
      <c r="I734" s="23"/>
      <c r="J734" s="23"/>
      <c r="K734" s="23"/>
    </row>
    <row r="735" spans="2:11">
      <c r="B735"/>
      <c r="C735" s="23"/>
      <c r="D735" s="23"/>
      <c r="E735" s="23"/>
      <c r="F735" s="23"/>
      <c r="G735" s="23"/>
      <c r="H735" s="23"/>
      <c r="I735" s="23"/>
      <c r="J735" s="23"/>
      <c r="K735" s="23"/>
    </row>
    <row r="736" spans="2:11">
      <c r="B736"/>
      <c r="C736" s="23"/>
      <c r="D736" s="23"/>
      <c r="E736" s="23"/>
      <c r="F736" s="23"/>
      <c r="G736" s="23"/>
      <c r="H736" s="23"/>
      <c r="I736" s="23"/>
      <c r="J736" s="23"/>
      <c r="K736" s="23"/>
    </row>
    <row r="737" spans="2:11">
      <c r="B737"/>
      <c r="C737" s="23"/>
      <c r="D737" s="23"/>
      <c r="E737" s="23"/>
      <c r="F737" s="23"/>
      <c r="G737" s="23"/>
      <c r="H737" s="23"/>
      <c r="I737" s="23"/>
      <c r="J737" s="23"/>
      <c r="K737" s="23"/>
    </row>
    <row r="738" spans="2:11">
      <c r="B738"/>
      <c r="C738" s="23"/>
      <c r="D738" s="23"/>
      <c r="E738" s="23"/>
      <c r="F738" s="23"/>
      <c r="G738" s="23"/>
      <c r="H738" s="23"/>
      <c r="I738" s="23"/>
      <c r="J738" s="23"/>
      <c r="K738" s="23"/>
    </row>
    <row r="739" spans="2:11">
      <c r="B739"/>
      <c r="C739" s="23"/>
      <c r="D739" s="23"/>
      <c r="E739" s="23"/>
      <c r="F739" s="23"/>
      <c r="G739" s="23"/>
      <c r="H739" s="23"/>
      <c r="I739" s="23"/>
      <c r="J739" s="23"/>
      <c r="K739" s="23"/>
    </row>
    <row r="740" spans="2:11">
      <c r="B740"/>
      <c r="C740" s="23"/>
      <c r="D740" s="23"/>
      <c r="E740" s="23"/>
      <c r="F740" s="23"/>
      <c r="G740" s="23"/>
      <c r="H740" s="23"/>
      <c r="I740" s="23"/>
      <c r="J740" s="23"/>
      <c r="K740" s="23"/>
    </row>
    <row r="741" spans="2:11">
      <c r="B741"/>
      <c r="C741" s="23"/>
      <c r="D741" s="23"/>
      <c r="E741" s="23"/>
      <c r="F741" s="23"/>
      <c r="G741" s="23"/>
      <c r="H741" s="23"/>
      <c r="I741" s="23"/>
      <c r="J741" s="23"/>
      <c r="K741" s="23"/>
    </row>
    <row r="742" spans="2:11">
      <c r="B742"/>
      <c r="C742" s="23"/>
      <c r="D742" s="23"/>
      <c r="E742" s="23"/>
      <c r="F742" s="23"/>
      <c r="G742" s="23"/>
      <c r="H742" s="23"/>
      <c r="I742" s="23"/>
      <c r="J742" s="23"/>
      <c r="K742" s="23"/>
    </row>
    <row r="743" spans="2:11">
      <c r="B743"/>
      <c r="C743" s="23"/>
      <c r="D743" s="23"/>
      <c r="E743" s="23"/>
      <c r="F743" s="23"/>
      <c r="G743" s="23"/>
      <c r="H743" s="23"/>
      <c r="I743" s="23"/>
      <c r="J743" s="23"/>
      <c r="K743" s="23"/>
    </row>
    <row r="744" spans="2:11">
      <c r="B744"/>
      <c r="C744" s="23"/>
      <c r="D744" s="23"/>
      <c r="E744" s="23"/>
      <c r="F744" s="23"/>
      <c r="G744" s="23"/>
      <c r="H744" s="23"/>
      <c r="I744" s="23"/>
      <c r="J744" s="23"/>
      <c r="K744" s="23"/>
    </row>
    <row r="745" spans="2:11">
      <c r="B745"/>
      <c r="C745" s="23"/>
      <c r="D745" s="23"/>
      <c r="E745" s="23"/>
      <c r="F745" s="23"/>
      <c r="G745" s="23"/>
      <c r="H745" s="23"/>
      <c r="I745" s="23"/>
      <c r="J745" s="23"/>
      <c r="K745" s="23"/>
    </row>
    <row r="746" spans="2:11">
      <c r="B746"/>
      <c r="C746" s="23"/>
      <c r="D746" s="23"/>
      <c r="E746" s="23"/>
      <c r="F746" s="23"/>
      <c r="G746" s="23"/>
      <c r="H746" s="23"/>
      <c r="I746" s="23"/>
      <c r="J746" s="23"/>
      <c r="K746" s="23"/>
    </row>
    <row r="747" spans="2:11">
      <c r="B747"/>
      <c r="C747" s="23"/>
      <c r="D747" s="23"/>
      <c r="E747" s="23"/>
      <c r="F747" s="23"/>
      <c r="G747" s="23"/>
      <c r="H747" s="23"/>
      <c r="I747" s="23"/>
      <c r="J747" s="23"/>
      <c r="K747" s="23"/>
    </row>
    <row r="748" spans="2:11">
      <c r="B748"/>
      <c r="C748" s="23"/>
      <c r="D748" s="23"/>
      <c r="E748" s="23"/>
      <c r="F748" s="23"/>
      <c r="G748" s="23"/>
      <c r="H748" s="23"/>
      <c r="I748" s="23"/>
      <c r="J748" s="23"/>
      <c r="K748" s="23"/>
    </row>
    <row r="749" spans="2:11">
      <c r="B749"/>
      <c r="C749" s="23"/>
      <c r="D749" s="23"/>
      <c r="E749" s="23"/>
      <c r="F749" s="23"/>
      <c r="G749" s="23"/>
      <c r="H749" s="23"/>
      <c r="I749" s="23"/>
      <c r="J749" s="23"/>
      <c r="K749" s="23"/>
    </row>
    <row r="750" spans="2:11">
      <c r="B750"/>
      <c r="C750" s="23"/>
      <c r="D750" s="23"/>
      <c r="E750" s="23"/>
      <c r="F750" s="23"/>
      <c r="G750" s="23"/>
      <c r="H750" s="23"/>
      <c r="I750" s="23"/>
      <c r="J750" s="23"/>
      <c r="K750" s="23"/>
    </row>
    <row r="751" spans="2:11">
      <c r="B751"/>
      <c r="C751" s="23"/>
      <c r="D751" s="23"/>
      <c r="E751" s="23"/>
      <c r="F751" s="23"/>
      <c r="G751" s="23"/>
      <c r="H751" s="23"/>
      <c r="I751" s="23"/>
      <c r="J751" s="23"/>
      <c r="K751" s="23"/>
    </row>
    <row r="752" spans="2:11">
      <c r="B752"/>
      <c r="C752" s="23"/>
      <c r="D752" s="23"/>
      <c r="E752" s="23"/>
      <c r="F752" s="23"/>
      <c r="G752" s="23"/>
      <c r="H752" s="23"/>
      <c r="I752" s="23"/>
      <c r="J752" s="23"/>
      <c r="K752" s="23"/>
    </row>
    <row r="753" spans="2:11">
      <c r="B753"/>
      <c r="C753" s="23"/>
      <c r="D753" s="23"/>
      <c r="E753" s="23"/>
      <c r="F753" s="23"/>
      <c r="G753" s="23"/>
      <c r="H753" s="23"/>
      <c r="I753" s="23"/>
      <c r="J753" s="23"/>
      <c r="K753" s="23"/>
    </row>
    <row r="754" spans="2:11">
      <c r="B754"/>
      <c r="C754" s="23"/>
      <c r="D754" s="23"/>
      <c r="E754" s="23"/>
      <c r="F754" s="23"/>
      <c r="G754" s="23"/>
      <c r="H754" s="23"/>
      <c r="I754" s="23"/>
      <c r="J754" s="23"/>
      <c r="K754" s="23"/>
    </row>
    <row r="755" spans="2:11">
      <c r="B755"/>
      <c r="C755" s="23"/>
      <c r="D755" s="23"/>
      <c r="E755" s="23"/>
      <c r="F755" s="23"/>
      <c r="G755" s="23"/>
      <c r="H755" s="23"/>
      <c r="I755" s="23"/>
      <c r="J755" s="23"/>
      <c r="K755" s="23"/>
    </row>
    <row r="756" spans="2:11">
      <c r="B756"/>
      <c r="C756" s="23"/>
      <c r="D756" s="23"/>
      <c r="E756" s="23"/>
      <c r="F756" s="23"/>
      <c r="G756" s="23"/>
      <c r="H756" s="23"/>
      <c r="I756" s="23"/>
      <c r="J756" s="23"/>
      <c r="K756" s="23"/>
    </row>
    <row r="757" spans="2:11">
      <c r="B757"/>
      <c r="C757" s="23"/>
      <c r="D757" s="23"/>
      <c r="E757" s="23"/>
      <c r="F757" s="23"/>
      <c r="G757" s="23"/>
      <c r="H757" s="23"/>
      <c r="I757" s="23"/>
      <c r="J757" s="23"/>
      <c r="K757" s="23"/>
    </row>
    <row r="758" spans="2:11">
      <c r="B758"/>
      <c r="C758" s="23"/>
      <c r="D758" s="23"/>
      <c r="E758" s="23"/>
      <c r="F758" s="23"/>
      <c r="G758" s="23"/>
      <c r="H758" s="23"/>
      <c r="I758" s="23"/>
      <c r="J758" s="23"/>
      <c r="K758" s="23"/>
    </row>
    <row r="759" spans="2:11">
      <c r="B759"/>
      <c r="C759" s="23"/>
      <c r="D759" s="23"/>
      <c r="E759" s="23"/>
      <c r="F759" s="23"/>
      <c r="G759" s="23"/>
      <c r="H759" s="23"/>
      <c r="I759" s="23"/>
      <c r="J759" s="23"/>
      <c r="K759" s="23"/>
    </row>
    <row r="760" spans="2:11">
      <c r="B760"/>
      <c r="C760" s="23"/>
      <c r="D760" s="23"/>
      <c r="E760" s="23"/>
      <c r="F760" s="23"/>
      <c r="G760" s="23"/>
      <c r="H760" s="23"/>
      <c r="I760" s="23"/>
      <c r="J760" s="23"/>
      <c r="K760" s="23"/>
    </row>
    <row r="761" spans="2:11">
      <c r="B761"/>
      <c r="C761" s="23"/>
      <c r="D761" s="23"/>
      <c r="E761" s="23"/>
      <c r="F761" s="23"/>
      <c r="G761" s="23"/>
      <c r="H761" s="23"/>
      <c r="I761" s="23"/>
      <c r="J761" s="23"/>
      <c r="K761" s="23"/>
    </row>
    <row r="762" spans="2:11">
      <c r="B762"/>
      <c r="C762" s="23"/>
      <c r="D762" s="23"/>
      <c r="E762" s="23"/>
      <c r="F762" s="23"/>
      <c r="G762" s="23"/>
      <c r="H762" s="23"/>
      <c r="I762" s="23"/>
      <c r="J762" s="23"/>
      <c r="K762" s="23"/>
    </row>
    <row r="763" spans="2:11">
      <c r="B763"/>
      <c r="C763" s="23"/>
      <c r="D763" s="23"/>
      <c r="E763" s="23"/>
      <c r="F763" s="23"/>
      <c r="G763" s="23"/>
      <c r="H763" s="23"/>
      <c r="I763" s="23"/>
      <c r="J763" s="23"/>
      <c r="K763" s="23"/>
    </row>
    <row r="764" spans="2:11">
      <c r="B764"/>
      <c r="C764" s="23"/>
      <c r="D764" s="23"/>
      <c r="E764" s="23"/>
      <c r="F764" s="23"/>
      <c r="G764" s="23"/>
      <c r="H764" s="23"/>
      <c r="I764" s="23"/>
      <c r="J764" s="23"/>
      <c r="K764" s="23"/>
    </row>
    <row r="765" spans="2:11">
      <c r="B765"/>
      <c r="C765" s="23"/>
      <c r="D765" s="23"/>
      <c r="E765" s="23"/>
      <c r="F765" s="23"/>
      <c r="G765" s="23"/>
      <c r="H765" s="23"/>
      <c r="I765" s="23"/>
      <c r="J765" s="23"/>
      <c r="K765" s="23"/>
    </row>
    <row r="766" spans="2:11">
      <c r="B766"/>
      <c r="C766" s="23"/>
      <c r="D766" s="23"/>
      <c r="E766" s="23"/>
      <c r="F766" s="23"/>
      <c r="G766" s="23"/>
      <c r="H766" s="23"/>
      <c r="I766" s="23"/>
      <c r="J766" s="23"/>
      <c r="K766" s="23"/>
    </row>
    <row r="767" spans="2:11">
      <c r="B767"/>
      <c r="C767" s="23"/>
      <c r="D767" s="23"/>
      <c r="E767" s="23"/>
      <c r="F767" s="23"/>
      <c r="G767" s="23"/>
      <c r="H767" s="23"/>
      <c r="I767" s="23"/>
      <c r="J767" s="23"/>
      <c r="K767" s="23"/>
    </row>
    <row r="768" spans="2:11">
      <c r="B768"/>
      <c r="C768" s="23"/>
      <c r="D768" s="23"/>
      <c r="E768" s="23"/>
      <c r="F768" s="23"/>
      <c r="G768" s="23"/>
      <c r="H768" s="23"/>
      <c r="I768" s="23"/>
      <c r="J768" s="23"/>
      <c r="K768" s="23"/>
    </row>
    <row r="769" spans="2:11">
      <c r="B769"/>
      <c r="C769" s="23"/>
      <c r="D769" s="23"/>
      <c r="E769" s="23"/>
      <c r="F769" s="23"/>
      <c r="G769" s="23"/>
      <c r="H769" s="23"/>
      <c r="I769" s="23"/>
      <c r="J769" s="23"/>
      <c r="K769" s="23"/>
    </row>
    <row r="770" spans="2:11">
      <c r="B770"/>
      <c r="C770" s="23"/>
      <c r="D770" s="23"/>
      <c r="E770" s="23"/>
      <c r="F770" s="23"/>
      <c r="G770" s="23"/>
      <c r="H770" s="23"/>
      <c r="I770" s="23"/>
      <c r="J770" s="23"/>
      <c r="K770" s="23"/>
    </row>
    <row r="771" spans="2:11">
      <c r="B771"/>
      <c r="C771" s="23"/>
      <c r="D771" s="23"/>
      <c r="E771" s="23"/>
      <c r="F771" s="23"/>
      <c r="G771" s="23"/>
      <c r="H771" s="23"/>
      <c r="I771" s="23"/>
      <c r="J771" s="23"/>
      <c r="K771" s="23"/>
    </row>
    <row r="772" spans="2:11">
      <c r="B772"/>
      <c r="C772" s="23"/>
      <c r="D772" s="23"/>
      <c r="E772" s="23"/>
      <c r="F772" s="23"/>
      <c r="G772" s="23"/>
      <c r="H772" s="23"/>
      <c r="I772" s="23"/>
      <c r="J772" s="23"/>
      <c r="K772" s="23"/>
    </row>
    <row r="773" spans="2:11">
      <c r="B773"/>
      <c r="C773" s="23"/>
      <c r="D773" s="23"/>
      <c r="E773" s="23"/>
      <c r="F773" s="23"/>
      <c r="G773" s="23"/>
      <c r="H773" s="23"/>
      <c r="I773" s="23"/>
      <c r="J773" s="23"/>
      <c r="K773" s="23"/>
    </row>
    <row r="774" spans="2:11">
      <c r="B774"/>
      <c r="C774" s="23"/>
      <c r="D774" s="23"/>
      <c r="E774" s="23"/>
      <c r="F774" s="23"/>
      <c r="G774" s="23"/>
      <c r="H774" s="23"/>
      <c r="I774" s="23"/>
      <c r="J774" s="23"/>
      <c r="K774" s="23"/>
    </row>
    <row r="775" spans="2:11">
      <c r="B775"/>
      <c r="C775" s="23"/>
      <c r="D775" s="23"/>
      <c r="E775" s="23"/>
      <c r="F775" s="23"/>
      <c r="G775" s="23"/>
      <c r="H775" s="23"/>
      <c r="I775" s="23"/>
      <c r="J775" s="23"/>
      <c r="K775" s="23"/>
    </row>
    <row r="776" spans="2:11">
      <c r="B776"/>
      <c r="C776" s="23"/>
      <c r="D776" s="23"/>
      <c r="E776" s="23"/>
      <c r="F776" s="23"/>
      <c r="G776" s="23"/>
      <c r="H776" s="23"/>
      <c r="I776" s="23"/>
      <c r="J776" s="23"/>
      <c r="K776" s="23"/>
    </row>
    <row r="777" spans="2:11">
      <c r="B777"/>
      <c r="C777" s="23"/>
      <c r="D777" s="23"/>
      <c r="E777" s="23"/>
      <c r="F777" s="23"/>
      <c r="G777" s="23"/>
      <c r="H777" s="23"/>
      <c r="I777" s="23"/>
      <c r="J777" s="23"/>
      <c r="K777" s="23"/>
    </row>
    <row r="778" spans="2:11">
      <c r="B778"/>
      <c r="C778" s="23"/>
      <c r="D778" s="23"/>
      <c r="E778" s="23"/>
      <c r="F778" s="23"/>
      <c r="G778" s="23"/>
      <c r="H778" s="23"/>
      <c r="I778" s="23"/>
      <c r="J778" s="23"/>
      <c r="K778" s="23"/>
    </row>
    <row r="779" spans="2:11">
      <c r="B779"/>
      <c r="C779" s="23"/>
      <c r="D779" s="23"/>
      <c r="E779" s="23"/>
      <c r="F779" s="23"/>
      <c r="G779" s="23"/>
      <c r="H779" s="23"/>
      <c r="I779" s="23"/>
      <c r="J779" s="23"/>
      <c r="K779" s="23"/>
    </row>
    <row r="780" spans="2:11">
      <c r="B780"/>
      <c r="C780" s="23"/>
      <c r="D780" s="23"/>
      <c r="E780" s="23"/>
      <c r="F780" s="23"/>
      <c r="G780" s="23"/>
      <c r="H780" s="23"/>
      <c r="I780" s="23"/>
      <c r="J780" s="23"/>
      <c r="K780" s="23"/>
    </row>
    <row r="781" spans="2:11">
      <c r="B781"/>
      <c r="C781" s="23"/>
      <c r="D781" s="23"/>
      <c r="E781" s="23"/>
      <c r="F781" s="23"/>
      <c r="G781" s="23"/>
      <c r="H781" s="23"/>
      <c r="I781" s="23"/>
      <c r="J781" s="23"/>
      <c r="K781" s="23"/>
    </row>
    <row r="782" spans="2:11">
      <c r="B782"/>
      <c r="C782" s="23"/>
      <c r="D782" s="23"/>
      <c r="E782" s="23"/>
      <c r="F782" s="23"/>
      <c r="G782" s="23"/>
      <c r="H782" s="23"/>
      <c r="I782" s="23"/>
      <c r="J782" s="23"/>
      <c r="K782" s="23"/>
    </row>
    <row r="783" spans="2:11">
      <c r="B783"/>
      <c r="C783" s="23"/>
      <c r="D783" s="23"/>
      <c r="E783" s="23"/>
      <c r="F783" s="23"/>
      <c r="G783" s="23"/>
      <c r="H783" s="23"/>
      <c r="I783" s="23"/>
      <c r="J783" s="23"/>
      <c r="K783" s="23"/>
    </row>
    <row r="784" spans="2:11">
      <c r="B784"/>
      <c r="C784" s="23"/>
      <c r="D784" s="23"/>
      <c r="E784" s="23"/>
      <c r="F784" s="23"/>
      <c r="G784" s="23"/>
      <c r="H784" s="23"/>
      <c r="I784" s="23"/>
      <c r="J784" s="23"/>
      <c r="K784" s="23"/>
    </row>
    <row r="785" spans="2:11">
      <c r="B785"/>
      <c r="C785" s="23"/>
      <c r="D785" s="23"/>
      <c r="E785" s="23"/>
      <c r="F785" s="23"/>
      <c r="G785" s="23"/>
      <c r="H785" s="23"/>
      <c r="I785" s="23"/>
      <c r="J785" s="23"/>
      <c r="K785" s="23"/>
    </row>
    <row r="786" spans="2:11">
      <c r="B786"/>
      <c r="C786" s="23"/>
      <c r="D786" s="23"/>
      <c r="E786" s="23"/>
      <c r="F786" s="23"/>
      <c r="G786" s="23"/>
      <c r="H786" s="23"/>
      <c r="I786" s="23"/>
      <c r="J786" s="23"/>
      <c r="K786" s="23"/>
    </row>
    <row r="787" spans="2:11">
      <c r="B787"/>
      <c r="C787" s="23"/>
      <c r="D787" s="23"/>
      <c r="E787" s="23"/>
      <c r="F787" s="23"/>
      <c r="G787" s="23"/>
      <c r="H787" s="23"/>
      <c r="I787" s="23"/>
      <c r="J787" s="23"/>
      <c r="K787" s="23"/>
    </row>
    <row r="788" spans="2:11">
      <c r="B788"/>
      <c r="C788" s="23"/>
      <c r="D788" s="23"/>
      <c r="E788" s="23"/>
      <c r="F788" s="23"/>
      <c r="G788" s="23"/>
      <c r="H788" s="23"/>
      <c r="I788" s="23"/>
      <c r="J788" s="23"/>
      <c r="K788" s="23"/>
    </row>
    <row r="789" spans="2:11">
      <c r="B789"/>
      <c r="C789" s="23"/>
      <c r="D789" s="23"/>
      <c r="E789" s="23"/>
      <c r="F789" s="23"/>
      <c r="G789" s="23"/>
      <c r="H789" s="23"/>
      <c r="I789" s="23"/>
      <c r="J789" s="23"/>
      <c r="K789" s="23"/>
    </row>
    <row r="790" spans="2:11">
      <c r="B790"/>
      <c r="C790" s="23"/>
      <c r="D790" s="23"/>
      <c r="E790" s="23"/>
      <c r="F790" s="23"/>
      <c r="G790" s="23"/>
      <c r="H790" s="23"/>
      <c r="I790" s="23"/>
      <c r="J790" s="23"/>
      <c r="K790" s="23"/>
    </row>
    <row r="791" spans="2:11">
      <c r="B791"/>
      <c r="C791" s="23"/>
      <c r="D791" s="23"/>
      <c r="E791" s="23"/>
      <c r="F791" s="23"/>
      <c r="G791" s="23"/>
      <c r="H791" s="23"/>
      <c r="I791" s="23"/>
      <c r="J791" s="23"/>
      <c r="K791" s="23"/>
    </row>
    <row r="792" spans="2:11">
      <c r="B792"/>
      <c r="C792" s="23"/>
      <c r="D792" s="23"/>
      <c r="E792" s="23"/>
      <c r="F792" s="23"/>
      <c r="G792" s="23"/>
      <c r="H792" s="23"/>
      <c r="I792" s="23"/>
      <c r="J792" s="23"/>
      <c r="K792" s="23"/>
    </row>
    <row r="793" spans="2:11">
      <c r="B793"/>
      <c r="C793" s="23"/>
      <c r="D793" s="23"/>
      <c r="E793" s="23"/>
      <c r="F793" s="23"/>
      <c r="G793" s="23"/>
      <c r="H793" s="23"/>
      <c r="I793" s="23"/>
      <c r="J793" s="23"/>
      <c r="K793" s="23"/>
    </row>
    <row r="794" spans="2:11">
      <c r="B794"/>
      <c r="C794" s="23"/>
      <c r="D794" s="23"/>
      <c r="E794" s="23"/>
      <c r="F794" s="23"/>
      <c r="G794" s="23"/>
      <c r="H794" s="23"/>
      <c r="I794" s="23"/>
      <c r="J794" s="23"/>
      <c r="K794" s="23"/>
    </row>
    <row r="795" spans="2:11">
      <c r="B795"/>
      <c r="C795" s="23"/>
      <c r="D795" s="23"/>
      <c r="E795" s="23"/>
      <c r="F795" s="23"/>
      <c r="G795" s="23"/>
      <c r="H795" s="23"/>
      <c r="I795" s="23"/>
      <c r="J795" s="23"/>
      <c r="K795" s="23"/>
    </row>
    <row r="796" spans="2:11">
      <c r="B796"/>
      <c r="C796" s="23"/>
      <c r="D796" s="23"/>
      <c r="E796" s="23"/>
      <c r="F796" s="23"/>
      <c r="G796" s="23"/>
      <c r="H796" s="23"/>
      <c r="I796" s="23"/>
      <c r="J796" s="23"/>
      <c r="K796" s="23"/>
    </row>
    <row r="797" spans="2:11">
      <c r="B797"/>
      <c r="C797" s="23"/>
      <c r="D797" s="23"/>
      <c r="E797" s="23"/>
      <c r="F797" s="23"/>
      <c r="G797" s="23"/>
      <c r="H797" s="23"/>
      <c r="I797" s="23"/>
      <c r="J797" s="23"/>
      <c r="K797" s="23"/>
    </row>
    <row r="798" spans="2:11">
      <c r="B798"/>
      <c r="C798" s="23"/>
      <c r="D798" s="23"/>
      <c r="E798" s="23"/>
      <c r="F798" s="23"/>
      <c r="G798" s="23"/>
      <c r="H798" s="23"/>
      <c r="I798" s="23"/>
      <c r="J798" s="23"/>
      <c r="K798" s="23"/>
    </row>
    <row r="799" spans="2:11">
      <c r="B799"/>
      <c r="C799" s="23"/>
      <c r="D799" s="23"/>
      <c r="E799" s="23"/>
      <c r="F799" s="23"/>
      <c r="G799" s="23"/>
      <c r="H799" s="23"/>
      <c r="I799" s="23"/>
      <c r="J799" s="23"/>
      <c r="K799" s="23"/>
    </row>
    <row r="800" spans="2:11">
      <c r="B800"/>
      <c r="C800" s="23"/>
      <c r="D800" s="23"/>
      <c r="E800" s="23"/>
      <c r="F800" s="23"/>
      <c r="G800" s="23"/>
      <c r="H800" s="23"/>
      <c r="I800" s="23"/>
      <c r="J800" s="23"/>
      <c r="K800" s="23"/>
    </row>
    <row r="801" spans="2:11">
      <c r="B801"/>
      <c r="C801" s="23"/>
      <c r="D801" s="23"/>
      <c r="E801" s="23"/>
      <c r="F801" s="23"/>
      <c r="G801" s="23"/>
      <c r="H801" s="23"/>
      <c r="I801" s="23"/>
      <c r="J801" s="23"/>
      <c r="K801" s="23"/>
    </row>
    <row r="802" spans="2:11">
      <c r="B802"/>
      <c r="C802" s="23"/>
      <c r="D802" s="23"/>
      <c r="E802" s="23"/>
      <c r="F802" s="23"/>
      <c r="G802" s="23"/>
      <c r="H802" s="23"/>
      <c r="I802" s="23"/>
      <c r="J802" s="23"/>
      <c r="K802" s="23"/>
    </row>
    <row r="803" spans="2:11">
      <c r="B803"/>
      <c r="C803" s="23"/>
      <c r="D803" s="23"/>
      <c r="E803" s="23"/>
      <c r="F803" s="23"/>
      <c r="G803" s="23"/>
      <c r="H803" s="23"/>
      <c r="I803" s="23"/>
      <c r="J803" s="23"/>
      <c r="K803" s="23"/>
    </row>
    <row r="804" spans="2:11">
      <c r="B804"/>
      <c r="C804" s="23"/>
      <c r="D804" s="23"/>
      <c r="E804" s="23"/>
      <c r="F804" s="23"/>
      <c r="G804" s="23"/>
      <c r="H804" s="23"/>
      <c r="I804" s="23"/>
      <c r="J804" s="23"/>
      <c r="K804" s="23"/>
    </row>
    <row r="805" spans="2:11">
      <c r="B805"/>
      <c r="C805" s="23"/>
      <c r="D805" s="23"/>
      <c r="E805" s="23"/>
      <c r="F805" s="23"/>
      <c r="G805" s="23"/>
      <c r="H805" s="23"/>
      <c r="I805" s="23"/>
      <c r="J805" s="23"/>
      <c r="K805" s="23"/>
    </row>
    <row r="806" spans="2:11">
      <c r="B806"/>
      <c r="C806" s="23"/>
      <c r="D806" s="23"/>
      <c r="E806" s="23"/>
      <c r="F806" s="23"/>
      <c r="G806" s="23"/>
      <c r="H806" s="23"/>
      <c r="I806" s="23"/>
      <c r="J806" s="23"/>
      <c r="K806" s="23"/>
    </row>
    <row r="807" spans="2:11">
      <c r="B807"/>
      <c r="C807" s="23"/>
      <c r="D807" s="23"/>
      <c r="E807" s="23"/>
      <c r="F807" s="23"/>
      <c r="G807" s="23"/>
      <c r="H807" s="23"/>
      <c r="I807" s="23"/>
      <c r="J807" s="23"/>
      <c r="K807" s="23"/>
    </row>
    <row r="808" spans="2:11">
      <c r="B808"/>
      <c r="C808" s="23"/>
      <c r="D808" s="23"/>
      <c r="E808" s="23"/>
      <c r="F808" s="23"/>
      <c r="G808" s="23"/>
      <c r="H808" s="23"/>
      <c r="I808" s="23"/>
      <c r="J808" s="23"/>
      <c r="K808" s="23"/>
    </row>
    <row r="809" spans="2:11">
      <c r="B809"/>
      <c r="C809" s="23"/>
      <c r="D809" s="23"/>
      <c r="E809" s="23"/>
      <c r="F809" s="23"/>
      <c r="G809" s="23"/>
      <c r="H809" s="23"/>
      <c r="I809" s="23"/>
      <c r="J809" s="23"/>
      <c r="K809" s="23"/>
    </row>
    <row r="810" spans="2:11">
      <c r="B810"/>
      <c r="C810" s="23"/>
      <c r="D810" s="23"/>
      <c r="E810" s="23"/>
      <c r="F810" s="23"/>
      <c r="G810" s="23"/>
      <c r="H810" s="23"/>
      <c r="I810" s="23"/>
      <c r="J810" s="23"/>
      <c r="K810" s="23"/>
    </row>
    <row r="811" spans="2:11">
      <c r="B811"/>
      <c r="C811" s="23"/>
      <c r="D811" s="23"/>
      <c r="E811" s="23"/>
      <c r="F811" s="23"/>
      <c r="G811" s="23"/>
      <c r="H811" s="23"/>
      <c r="I811" s="23"/>
      <c r="J811" s="23"/>
      <c r="K811" s="23"/>
    </row>
    <row r="812" spans="2:11">
      <c r="B812"/>
      <c r="C812" s="23"/>
      <c r="D812" s="23"/>
      <c r="E812" s="23"/>
      <c r="F812" s="23"/>
      <c r="G812" s="23"/>
      <c r="H812" s="23"/>
      <c r="I812" s="23"/>
      <c r="J812" s="23"/>
      <c r="K812" s="23"/>
    </row>
    <row r="813" spans="2:11">
      <c r="B813"/>
      <c r="C813" s="23"/>
      <c r="D813" s="23"/>
      <c r="E813" s="23"/>
      <c r="F813" s="23"/>
      <c r="G813" s="23"/>
      <c r="H813" s="23"/>
      <c r="I813" s="23"/>
      <c r="J813" s="23"/>
      <c r="K813" s="23"/>
    </row>
    <row r="814" spans="2:11">
      <c r="B814"/>
      <c r="C814" s="23"/>
      <c r="D814" s="23"/>
      <c r="E814" s="23"/>
      <c r="F814" s="23"/>
      <c r="G814" s="23"/>
      <c r="H814" s="23"/>
      <c r="I814" s="23"/>
      <c r="J814" s="23"/>
      <c r="K814" s="23"/>
    </row>
    <row r="815" spans="2:11">
      <c r="B815"/>
      <c r="C815" s="23"/>
      <c r="D815" s="23"/>
      <c r="E815" s="23"/>
      <c r="F815" s="23"/>
      <c r="G815" s="23"/>
      <c r="H815" s="23"/>
      <c r="I815" s="23"/>
      <c r="J815" s="23"/>
      <c r="K815" s="23"/>
    </row>
    <row r="816" spans="2:11">
      <c r="B816"/>
      <c r="C816" s="23"/>
      <c r="D816" s="23"/>
      <c r="E816" s="23"/>
      <c r="F816" s="23"/>
      <c r="G816" s="23"/>
      <c r="H816" s="23"/>
      <c r="I816" s="23"/>
      <c r="J816" s="23"/>
      <c r="K816" s="23"/>
    </row>
    <row r="817" spans="2:11">
      <c r="B817"/>
      <c r="C817" s="23"/>
      <c r="D817" s="23"/>
      <c r="E817" s="23"/>
      <c r="F817" s="23"/>
      <c r="G817" s="23"/>
      <c r="H817" s="23"/>
      <c r="I817" s="23"/>
      <c r="J817" s="23"/>
      <c r="K817" s="23"/>
    </row>
    <row r="818" spans="2:11">
      <c r="B818"/>
      <c r="C818" s="23"/>
      <c r="D818" s="23"/>
      <c r="E818" s="23"/>
      <c r="F818" s="23"/>
      <c r="G818" s="23"/>
      <c r="H818" s="23"/>
      <c r="I818" s="23"/>
      <c r="J818" s="23"/>
      <c r="K818" s="23"/>
    </row>
    <row r="819" spans="2:11">
      <c r="B819"/>
      <c r="C819" s="23"/>
      <c r="D819" s="23"/>
      <c r="E819" s="23"/>
      <c r="F819" s="23"/>
      <c r="G819" s="23"/>
      <c r="H819" s="23"/>
      <c r="I819" s="23"/>
      <c r="J819" s="23"/>
      <c r="K819" s="23"/>
    </row>
    <row r="820" spans="2:11">
      <c r="B820"/>
      <c r="C820" s="23"/>
      <c r="D820" s="23"/>
      <c r="E820" s="23"/>
      <c r="F820" s="23"/>
      <c r="G820" s="23"/>
      <c r="H820" s="23"/>
      <c r="I820" s="23"/>
      <c r="J820" s="23"/>
      <c r="K820" s="23"/>
    </row>
    <row r="821" spans="2:11">
      <c r="B821"/>
      <c r="C821" s="23"/>
      <c r="D821" s="23"/>
      <c r="E821" s="23"/>
      <c r="F821" s="23"/>
      <c r="G821" s="23"/>
      <c r="H821" s="23"/>
      <c r="I821" s="23"/>
      <c r="J821" s="23"/>
      <c r="K821" s="23"/>
    </row>
    <row r="822" spans="2:11">
      <c r="B822"/>
      <c r="C822" s="23"/>
      <c r="D822" s="23"/>
      <c r="E822" s="23"/>
      <c r="F822" s="23"/>
      <c r="G822" s="23"/>
      <c r="H822" s="23"/>
      <c r="I822" s="23"/>
      <c r="J822" s="23"/>
      <c r="K822" s="23"/>
    </row>
    <row r="823" spans="2:11">
      <c r="B823"/>
      <c r="C823" s="23"/>
      <c r="D823" s="23"/>
      <c r="E823" s="23"/>
      <c r="F823" s="23"/>
      <c r="G823" s="23"/>
      <c r="H823" s="23"/>
      <c r="I823" s="23"/>
      <c r="J823" s="23"/>
      <c r="K823" s="23"/>
    </row>
    <row r="824" spans="2:11">
      <c r="B824"/>
      <c r="C824" s="23"/>
      <c r="D824" s="23"/>
      <c r="E824" s="23"/>
      <c r="F824" s="23"/>
      <c r="G824" s="23"/>
      <c r="H824" s="23"/>
      <c r="I824" s="23"/>
      <c r="J824" s="23"/>
      <c r="K824" s="23"/>
    </row>
    <row r="825" spans="2:11">
      <c r="B825"/>
      <c r="C825" s="23"/>
      <c r="D825" s="23"/>
      <c r="E825" s="23"/>
      <c r="F825" s="23"/>
      <c r="G825" s="23"/>
      <c r="H825" s="23"/>
      <c r="I825" s="23"/>
      <c r="J825" s="23"/>
      <c r="K825" s="23"/>
    </row>
    <row r="826" spans="2:11">
      <c r="B826"/>
      <c r="C826" s="23"/>
      <c r="D826" s="23"/>
      <c r="E826" s="23"/>
      <c r="F826" s="23"/>
      <c r="G826" s="23"/>
      <c r="H826" s="23"/>
      <c r="I826" s="23"/>
      <c r="J826" s="23"/>
      <c r="K826" s="23"/>
    </row>
    <row r="827" spans="2:11">
      <c r="B827"/>
      <c r="C827" s="23"/>
      <c r="D827" s="23"/>
      <c r="E827" s="23"/>
      <c r="F827" s="23"/>
      <c r="G827" s="23"/>
      <c r="H827" s="23"/>
      <c r="I827" s="23"/>
      <c r="J827" s="23"/>
      <c r="K827" s="23"/>
    </row>
    <row r="828" spans="2:11">
      <c r="B828"/>
      <c r="C828" s="23"/>
      <c r="D828" s="23"/>
      <c r="E828" s="23"/>
      <c r="F828" s="23"/>
      <c r="G828" s="23"/>
      <c r="H828" s="23"/>
      <c r="I828" s="23"/>
      <c r="J828" s="23"/>
      <c r="K828" s="23"/>
    </row>
    <row r="829" spans="2:11">
      <c r="B829"/>
      <c r="C829" s="23"/>
      <c r="D829" s="23"/>
      <c r="E829" s="23"/>
      <c r="F829" s="23"/>
      <c r="G829" s="23"/>
      <c r="H829" s="23"/>
      <c r="I829" s="23"/>
      <c r="J829" s="23"/>
      <c r="K829" s="23"/>
    </row>
    <row r="830" spans="2:11">
      <c r="B830"/>
      <c r="C830" s="23"/>
      <c r="D830" s="23"/>
      <c r="E830" s="23"/>
      <c r="F830" s="23"/>
      <c r="G830" s="23"/>
      <c r="H830" s="23"/>
      <c r="I830" s="23"/>
      <c r="J830" s="23"/>
      <c r="K830" s="23"/>
    </row>
    <row r="831" spans="2:11">
      <c r="B831"/>
      <c r="C831" s="23"/>
      <c r="D831" s="23"/>
      <c r="E831" s="23"/>
      <c r="F831" s="23"/>
      <c r="G831" s="23"/>
      <c r="H831" s="23"/>
      <c r="I831" s="23"/>
      <c r="J831" s="23"/>
      <c r="K831" s="23"/>
    </row>
    <row r="832" spans="2:11">
      <c r="B832"/>
      <c r="C832" s="23"/>
      <c r="D832" s="23"/>
      <c r="E832" s="23"/>
      <c r="F832" s="23"/>
      <c r="G832" s="23"/>
      <c r="H832" s="23"/>
      <c r="I832" s="23"/>
      <c r="J832" s="23"/>
      <c r="K832" s="23"/>
    </row>
    <row r="833" spans="2:11">
      <c r="B833"/>
      <c r="C833" s="23"/>
      <c r="D833" s="23"/>
      <c r="E833" s="23"/>
      <c r="F833" s="23"/>
      <c r="G833" s="23"/>
      <c r="H833" s="23"/>
      <c r="I833" s="23"/>
      <c r="J833" s="23"/>
      <c r="K833" s="23"/>
    </row>
    <row r="834" spans="2:11">
      <c r="B834"/>
      <c r="C834" s="23"/>
      <c r="D834" s="23"/>
      <c r="E834" s="23"/>
      <c r="F834" s="23"/>
      <c r="G834" s="23"/>
      <c r="H834" s="23"/>
      <c r="I834" s="23"/>
      <c r="J834" s="23"/>
      <c r="K834" s="23"/>
    </row>
    <row r="835" spans="2:11">
      <c r="B835"/>
      <c r="C835" s="23"/>
      <c r="D835" s="23"/>
      <c r="E835" s="23"/>
      <c r="F835" s="23"/>
      <c r="G835" s="23"/>
      <c r="H835" s="23"/>
      <c r="I835" s="23"/>
      <c r="J835" s="23"/>
      <c r="K835" s="23"/>
    </row>
    <row r="836" spans="2:11">
      <c r="B836"/>
      <c r="C836" s="23"/>
      <c r="D836" s="23"/>
      <c r="E836" s="23"/>
      <c r="F836" s="23"/>
      <c r="G836" s="23"/>
      <c r="H836" s="23"/>
      <c r="I836" s="23"/>
      <c r="J836" s="23"/>
      <c r="K836" s="23"/>
    </row>
    <row r="837" spans="2:11">
      <c r="B837"/>
      <c r="C837" s="23"/>
      <c r="D837" s="23"/>
      <c r="E837" s="23"/>
      <c r="F837" s="23"/>
      <c r="G837" s="23"/>
      <c r="H837" s="23"/>
      <c r="I837" s="23"/>
      <c r="J837" s="23"/>
      <c r="K837" s="23"/>
    </row>
    <row r="838" spans="2:11">
      <c r="B838"/>
      <c r="C838" s="23"/>
      <c r="D838" s="23"/>
      <c r="E838" s="23"/>
      <c r="F838" s="23"/>
      <c r="G838" s="23"/>
      <c r="H838" s="23"/>
      <c r="I838" s="23"/>
      <c r="J838" s="23"/>
      <c r="K838" s="23"/>
    </row>
    <row r="839" spans="2:11">
      <c r="B839"/>
      <c r="C839" s="23"/>
      <c r="D839" s="23"/>
      <c r="E839" s="23"/>
      <c r="F839" s="23"/>
      <c r="G839" s="23"/>
      <c r="H839" s="23"/>
      <c r="I839" s="23"/>
      <c r="J839" s="23"/>
      <c r="K839" s="23"/>
    </row>
    <row r="840" spans="2:11">
      <c r="B840"/>
      <c r="C840" s="23"/>
      <c r="D840" s="23"/>
      <c r="E840" s="23"/>
      <c r="F840" s="23"/>
      <c r="G840" s="23"/>
      <c r="H840" s="23"/>
      <c r="I840" s="23"/>
      <c r="J840" s="23"/>
      <c r="K840" s="23"/>
    </row>
    <row r="841" spans="2:11">
      <c r="B841"/>
      <c r="C841" s="23"/>
      <c r="D841" s="23"/>
      <c r="E841" s="23"/>
      <c r="F841" s="23"/>
      <c r="G841" s="23"/>
      <c r="H841" s="23"/>
      <c r="I841" s="23"/>
      <c r="J841" s="23"/>
      <c r="K841" s="23"/>
    </row>
    <row r="842" spans="2:11">
      <c r="B842"/>
      <c r="C842" s="23"/>
      <c r="D842" s="23"/>
      <c r="E842" s="23"/>
      <c r="F842" s="23"/>
      <c r="G842" s="23"/>
      <c r="H842" s="23"/>
      <c r="I842" s="23"/>
      <c r="J842" s="23"/>
      <c r="K842" s="23"/>
    </row>
    <row r="843" spans="2:11">
      <c r="B843"/>
      <c r="C843" s="23"/>
      <c r="D843" s="23"/>
      <c r="E843" s="23"/>
      <c r="F843" s="23"/>
      <c r="G843" s="23"/>
      <c r="H843" s="23"/>
      <c r="I843" s="23"/>
      <c r="J843" s="23"/>
      <c r="K843" s="23"/>
    </row>
    <row r="844" spans="2:11">
      <c r="B844"/>
      <c r="C844" s="23"/>
      <c r="D844" s="23"/>
      <c r="E844" s="23"/>
      <c r="F844" s="23"/>
      <c r="G844" s="23"/>
      <c r="H844" s="23"/>
      <c r="I844" s="23"/>
      <c r="J844" s="23"/>
      <c r="K844" s="23"/>
    </row>
    <row r="845" spans="2:11">
      <c r="B845"/>
      <c r="C845" s="23"/>
      <c r="D845" s="23"/>
      <c r="E845" s="23"/>
      <c r="F845" s="23"/>
      <c r="G845" s="23"/>
      <c r="H845" s="23"/>
      <c r="I845" s="23"/>
      <c r="J845" s="23"/>
      <c r="K845" s="23"/>
    </row>
    <row r="846" spans="2:11">
      <c r="B846"/>
      <c r="C846" s="23"/>
      <c r="D846" s="23"/>
      <c r="E846" s="23"/>
      <c r="F846" s="23"/>
      <c r="G846" s="23"/>
      <c r="H846" s="23"/>
      <c r="I846" s="23"/>
      <c r="J846" s="23"/>
      <c r="K846" s="23"/>
    </row>
    <row r="847" spans="2:11">
      <c r="B847"/>
      <c r="C847" s="23"/>
      <c r="D847" s="23"/>
      <c r="E847" s="23"/>
      <c r="F847" s="23"/>
      <c r="G847" s="23"/>
      <c r="H847" s="23"/>
      <c r="I847" s="23"/>
      <c r="J847" s="23"/>
      <c r="K847" s="23"/>
    </row>
    <row r="848" spans="2:11">
      <c r="B848"/>
      <c r="C848" s="23"/>
      <c r="D848" s="23"/>
      <c r="E848" s="23"/>
      <c r="F848" s="23"/>
      <c r="G848" s="23"/>
      <c r="H848" s="23"/>
      <c r="I848" s="23"/>
      <c r="J848" s="23"/>
      <c r="K848" s="23"/>
    </row>
    <row r="849" spans="2:11">
      <c r="B849"/>
      <c r="C849" s="23"/>
      <c r="D849" s="23"/>
      <c r="E849" s="23"/>
      <c r="F849" s="23"/>
      <c r="G849" s="23"/>
      <c r="H849" s="23"/>
      <c r="I849" s="23"/>
      <c r="J849" s="23"/>
      <c r="K849" s="23"/>
    </row>
    <row r="850" spans="2:11">
      <c r="B850"/>
      <c r="C850" s="23"/>
      <c r="D850" s="23"/>
      <c r="E850" s="23"/>
      <c r="F850" s="23"/>
      <c r="G850" s="23"/>
      <c r="H850" s="23"/>
      <c r="I850" s="23"/>
      <c r="J850" s="23"/>
      <c r="K850" s="23"/>
    </row>
    <row r="851" spans="2:11">
      <c r="B851"/>
      <c r="C851" s="23"/>
      <c r="D851" s="23"/>
      <c r="E851" s="23"/>
      <c r="F851" s="23"/>
      <c r="G851" s="23"/>
      <c r="H851" s="23"/>
      <c r="I851" s="23"/>
      <c r="J851" s="23"/>
      <c r="K851" s="23"/>
    </row>
    <row r="852" spans="2:11">
      <c r="B852"/>
      <c r="C852" s="23"/>
      <c r="D852" s="23"/>
      <c r="E852" s="23"/>
      <c r="F852" s="23"/>
      <c r="G852" s="23"/>
      <c r="H852" s="23"/>
      <c r="I852" s="23"/>
      <c r="J852" s="23"/>
      <c r="K852" s="23"/>
    </row>
    <row r="853" spans="2:11">
      <c r="B853"/>
      <c r="C853" s="23"/>
      <c r="D853" s="23"/>
      <c r="E853" s="23"/>
      <c r="F853" s="23"/>
      <c r="G853" s="23"/>
      <c r="H853" s="23"/>
      <c r="I853" s="23"/>
      <c r="J853" s="23"/>
      <c r="K853" s="23"/>
    </row>
    <row r="854" spans="2:11">
      <c r="B854"/>
      <c r="C854" s="23"/>
      <c r="D854" s="23"/>
      <c r="E854" s="23"/>
      <c r="F854" s="23"/>
      <c r="G854" s="23"/>
      <c r="H854" s="23"/>
      <c r="I854" s="23"/>
      <c r="J854" s="23"/>
      <c r="K854" s="23"/>
    </row>
    <row r="855" spans="2:11">
      <c r="B855"/>
      <c r="C855" s="23"/>
      <c r="D855" s="23"/>
      <c r="E855" s="23"/>
      <c r="F855" s="23"/>
      <c r="G855" s="23"/>
      <c r="H855" s="23"/>
      <c r="I855" s="23"/>
      <c r="J855" s="23"/>
      <c r="K855" s="23"/>
    </row>
    <row r="856" spans="2:11">
      <c r="B856"/>
      <c r="C856" s="23"/>
      <c r="D856" s="23"/>
      <c r="E856" s="23"/>
      <c r="F856" s="23"/>
      <c r="G856" s="23"/>
      <c r="H856" s="23"/>
      <c r="I856" s="23"/>
      <c r="J856" s="23"/>
      <c r="K856" s="23"/>
    </row>
    <row r="857" spans="2:11">
      <c r="B857"/>
      <c r="C857" s="23"/>
      <c r="D857" s="23"/>
      <c r="E857" s="23"/>
      <c r="F857" s="23"/>
      <c r="G857" s="23"/>
      <c r="H857" s="23"/>
      <c r="I857" s="23"/>
      <c r="J857" s="23"/>
      <c r="K857" s="23"/>
    </row>
    <row r="858" spans="2:11">
      <c r="B858"/>
      <c r="C858" s="23"/>
      <c r="D858" s="23"/>
      <c r="E858" s="23"/>
      <c r="F858" s="23"/>
      <c r="G858" s="23"/>
      <c r="H858" s="23"/>
      <c r="I858" s="23"/>
      <c r="J858" s="23"/>
      <c r="K858" s="23"/>
    </row>
    <row r="859" spans="2:11">
      <c r="B859"/>
      <c r="C859" s="23"/>
      <c r="D859" s="23"/>
      <c r="E859" s="23"/>
      <c r="F859" s="23"/>
      <c r="G859" s="23"/>
      <c r="H859" s="23"/>
      <c r="I859" s="23"/>
      <c r="J859" s="23"/>
      <c r="K859" s="23"/>
    </row>
    <row r="860" spans="2:11">
      <c r="B860"/>
      <c r="C860" s="23"/>
      <c r="D860" s="23"/>
      <c r="E860" s="23"/>
      <c r="F860" s="23"/>
      <c r="G860" s="23"/>
      <c r="H860" s="23"/>
      <c r="I860" s="23"/>
      <c r="J860" s="23"/>
      <c r="K860" s="23"/>
    </row>
    <row r="861" spans="2:11">
      <c r="B861"/>
      <c r="C861" s="23"/>
      <c r="D861" s="23"/>
      <c r="E861" s="23"/>
      <c r="F861" s="23"/>
      <c r="G861" s="23"/>
      <c r="H861" s="23"/>
      <c r="I861" s="23"/>
      <c r="J861" s="23"/>
      <c r="K861" s="23"/>
    </row>
    <row r="862" spans="2:11">
      <c r="B862"/>
      <c r="C862" s="23"/>
      <c r="D862" s="23"/>
      <c r="E862" s="23"/>
      <c r="F862" s="23"/>
      <c r="G862" s="23"/>
      <c r="H862" s="23"/>
      <c r="I862" s="23"/>
      <c r="J862" s="23"/>
      <c r="K862" s="23"/>
    </row>
    <row r="863" spans="2:11">
      <c r="B863"/>
      <c r="C863" s="23"/>
      <c r="D863" s="23"/>
      <c r="E863" s="23"/>
      <c r="F863" s="23"/>
      <c r="G863" s="23"/>
      <c r="H863" s="23"/>
      <c r="I863" s="23"/>
      <c r="J863" s="23"/>
      <c r="K863" s="23"/>
    </row>
    <row r="864" spans="2:11">
      <c r="B864"/>
      <c r="C864" s="23"/>
      <c r="D864" s="23"/>
      <c r="E864" s="23"/>
      <c r="F864" s="23"/>
      <c r="G864" s="23"/>
      <c r="H864" s="23"/>
      <c r="I864" s="23"/>
      <c r="J864" s="23"/>
      <c r="K864" s="23"/>
    </row>
    <row r="865" spans="2:11">
      <c r="B865"/>
      <c r="C865" s="23"/>
      <c r="D865" s="23"/>
      <c r="E865" s="23"/>
      <c r="F865" s="23"/>
      <c r="G865" s="23"/>
      <c r="H865" s="23"/>
      <c r="I865" s="23"/>
      <c r="J865" s="23"/>
      <c r="K865" s="23"/>
    </row>
    <row r="866" spans="2:11">
      <c r="B866"/>
      <c r="C866" s="23"/>
      <c r="D866" s="23"/>
      <c r="E866" s="23"/>
      <c r="F866" s="23"/>
      <c r="G866" s="23"/>
      <c r="H866" s="23"/>
      <c r="I866" s="23"/>
      <c r="J866" s="23"/>
      <c r="K866" s="23"/>
    </row>
    <row r="867" spans="2:11">
      <c r="B867"/>
      <c r="C867" s="23"/>
      <c r="D867" s="23"/>
      <c r="E867" s="23"/>
      <c r="F867" s="23"/>
      <c r="G867" s="23"/>
      <c r="H867" s="23"/>
      <c r="I867" s="23"/>
      <c r="J867" s="23"/>
      <c r="K867" s="23"/>
    </row>
    <row r="868" spans="2:11">
      <c r="B868"/>
      <c r="C868" s="23"/>
      <c r="D868" s="23"/>
      <c r="E868" s="23"/>
      <c r="F868" s="23"/>
      <c r="G868" s="23"/>
      <c r="H868" s="23"/>
      <c r="I868" s="23"/>
      <c r="J868" s="23"/>
      <c r="K868" s="23"/>
    </row>
    <row r="869" spans="2:11">
      <c r="B869"/>
      <c r="C869" s="23"/>
      <c r="D869" s="23"/>
      <c r="E869" s="23"/>
      <c r="F869" s="23"/>
      <c r="G869" s="23"/>
      <c r="H869" s="23"/>
      <c r="I869" s="23"/>
      <c r="J869" s="23"/>
      <c r="K869" s="23"/>
    </row>
    <row r="870" spans="2:11">
      <c r="B870"/>
      <c r="C870" s="23"/>
      <c r="D870" s="23"/>
      <c r="E870" s="23"/>
      <c r="F870" s="23"/>
      <c r="G870" s="23"/>
      <c r="H870" s="23"/>
      <c r="I870" s="23"/>
      <c r="J870" s="23"/>
      <c r="K870" s="23"/>
    </row>
    <row r="871" spans="2:11">
      <c r="B871"/>
      <c r="C871" s="23"/>
      <c r="D871" s="23"/>
      <c r="E871" s="23"/>
      <c r="F871" s="23"/>
      <c r="G871" s="23"/>
      <c r="H871" s="23"/>
      <c r="I871" s="23"/>
      <c r="J871" s="23"/>
      <c r="K871" s="23"/>
    </row>
    <row r="872" spans="2:11">
      <c r="B872"/>
      <c r="C872" s="23"/>
      <c r="D872" s="23"/>
      <c r="E872" s="23"/>
      <c r="F872" s="23"/>
      <c r="G872" s="23"/>
      <c r="H872" s="23"/>
      <c r="I872" s="23"/>
      <c r="J872" s="23"/>
      <c r="K872" s="23"/>
    </row>
    <row r="873" spans="2:11">
      <c r="B873"/>
      <c r="C873" s="23"/>
      <c r="D873" s="23"/>
      <c r="E873" s="23"/>
      <c r="F873" s="23"/>
      <c r="G873" s="23"/>
      <c r="H873" s="23"/>
      <c r="I873" s="23"/>
      <c r="J873" s="23"/>
      <c r="K873" s="23"/>
    </row>
    <row r="874" spans="2:11">
      <c r="B874"/>
      <c r="C874" s="23"/>
      <c r="D874" s="23"/>
      <c r="E874" s="23"/>
      <c r="F874" s="23"/>
      <c r="G874" s="23"/>
      <c r="H874" s="23"/>
      <c r="I874" s="23"/>
      <c r="J874" s="23"/>
      <c r="K874" s="23"/>
    </row>
    <row r="875" spans="2:11">
      <c r="B875"/>
      <c r="C875" s="23"/>
      <c r="D875" s="23"/>
      <c r="E875" s="23"/>
      <c r="F875" s="23"/>
      <c r="G875" s="23"/>
      <c r="H875" s="23"/>
      <c r="I875" s="23"/>
      <c r="J875" s="23"/>
      <c r="K875" s="23"/>
    </row>
    <row r="876" spans="2:11">
      <c r="B876"/>
      <c r="C876" s="23"/>
      <c r="D876" s="23"/>
      <c r="E876" s="23"/>
      <c r="F876" s="23"/>
      <c r="G876" s="23"/>
      <c r="H876" s="23"/>
      <c r="I876" s="23"/>
      <c r="J876" s="23"/>
      <c r="K876" s="23"/>
    </row>
    <row r="877" spans="2:11">
      <c r="B877"/>
      <c r="C877" s="23"/>
      <c r="D877" s="23"/>
      <c r="E877" s="23"/>
      <c r="F877" s="23"/>
      <c r="G877" s="23"/>
      <c r="H877" s="23"/>
      <c r="I877" s="23"/>
      <c r="J877" s="23"/>
      <c r="K877" s="23"/>
    </row>
    <row r="878" spans="2:11">
      <c r="B878"/>
      <c r="C878" s="23"/>
      <c r="D878" s="23"/>
      <c r="E878" s="23"/>
      <c r="F878" s="23"/>
      <c r="G878" s="23"/>
      <c r="H878" s="23"/>
      <c r="I878" s="23"/>
      <c r="J878" s="23"/>
      <c r="K878" s="23"/>
    </row>
    <row r="879" spans="2:11">
      <c r="B879"/>
      <c r="C879" s="23"/>
      <c r="D879" s="23"/>
      <c r="E879" s="23"/>
      <c r="F879" s="23"/>
      <c r="G879" s="23"/>
      <c r="H879" s="23"/>
      <c r="I879" s="23"/>
      <c r="J879" s="23"/>
      <c r="K879" s="23"/>
    </row>
    <row r="880" spans="2:11">
      <c r="B880"/>
      <c r="C880" s="23"/>
      <c r="D880" s="23"/>
      <c r="E880" s="23"/>
      <c r="F880" s="23"/>
      <c r="G880" s="23"/>
      <c r="H880" s="23"/>
      <c r="I880" s="23"/>
      <c r="J880" s="23"/>
      <c r="K880" s="23"/>
    </row>
    <row r="881" spans="2:11">
      <c r="B881"/>
      <c r="C881" s="23"/>
      <c r="D881" s="23"/>
      <c r="E881" s="23"/>
      <c r="F881" s="23"/>
      <c r="G881" s="23"/>
      <c r="H881" s="23"/>
      <c r="I881" s="23"/>
      <c r="J881" s="23"/>
      <c r="K881" s="23"/>
    </row>
    <row r="882" spans="2:11">
      <c r="B882"/>
      <c r="C882" s="23"/>
      <c r="D882" s="23"/>
      <c r="E882" s="23"/>
      <c r="F882" s="23"/>
      <c r="G882" s="23"/>
      <c r="H882" s="23"/>
      <c r="I882" s="23"/>
      <c r="J882" s="23"/>
      <c r="K882" s="23"/>
    </row>
    <row r="883" spans="2:11">
      <c r="B883"/>
      <c r="C883" s="23"/>
      <c r="D883" s="23"/>
      <c r="E883" s="23"/>
      <c r="F883" s="23"/>
      <c r="G883" s="23"/>
      <c r="H883" s="23"/>
      <c r="I883" s="23"/>
      <c r="J883" s="23"/>
      <c r="K883" s="23"/>
    </row>
    <row r="884" spans="2:11">
      <c r="B884"/>
      <c r="C884" s="23"/>
      <c r="D884" s="23"/>
      <c r="E884" s="23"/>
      <c r="F884" s="23"/>
      <c r="G884" s="23"/>
      <c r="H884" s="23"/>
      <c r="I884" s="23"/>
      <c r="J884" s="23"/>
      <c r="K884" s="23"/>
    </row>
    <row r="885" spans="2:11">
      <c r="B885"/>
      <c r="C885" s="23"/>
      <c r="D885" s="23"/>
      <c r="E885" s="23"/>
      <c r="F885" s="23"/>
      <c r="G885" s="23"/>
      <c r="H885" s="23"/>
      <c r="I885" s="23"/>
      <c r="J885" s="23"/>
      <c r="K885" s="23"/>
    </row>
    <row r="886" spans="2:11">
      <c r="B886"/>
      <c r="C886" s="23"/>
      <c r="D886" s="23"/>
      <c r="E886" s="23"/>
      <c r="F886" s="23"/>
      <c r="G886" s="23"/>
      <c r="H886" s="23"/>
      <c r="I886" s="23"/>
      <c r="J886" s="23"/>
      <c r="K886" s="23"/>
    </row>
    <row r="887" spans="2:11">
      <c r="B887"/>
      <c r="C887" s="23"/>
      <c r="D887" s="23"/>
      <c r="E887" s="23"/>
      <c r="F887" s="23"/>
      <c r="G887" s="23"/>
      <c r="H887" s="23"/>
      <c r="I887" s="23"/>
      <c r="J887" s="23"/>
      <c r="K887" s="23"/>
    </row>
    <row r="888" spans="2:11">
      <c r="B888"/>
      <c r="C888" s="23"/>
      <c r="D888" s="23"/>
      <c r="E888" s="23"/>
      <c r="F888" s="23"/>
      <c r="G888" s="23"/>
      <c r="H888" s="23"/>
      <c r="I888" s="23"/>
      <c r="J888" s="23"/>
      <c r="K888" s="23"/>
    </row>
    <row r="889" spans="2:11">
      <c r="B889"/>
      <c r="C889" s="23"/>
      <c r="D889" s="23"/>
      <c r="E889" s="23"/>
      <c r="F889" s="23"/>
      <c r="G889" s="23"/>
      <c r="H889" s="23"/>
      <c r="I889" s="23"/>
      <c r="J889" s="23"/>
      <c r="K889" s="23"/>
    </row>
    <row r="890" spans="2:11">
      <c r="B890"/>
      <c r="C890" s="23"/>
      <c r="D890" s="23"/>
      <c r="E890" s="23"/>
      <c r="F890" s="23"/>
      <c r="G890" s="23"/>
      <c r="H890" s="23"/>
      <c r="I890" s="23"/>
      <c r="J890" s="23"/>
      <c r="K890" s="23"/>
    </row>
    <row r="891" spans="2:11">
      <c r="B891"/>
      <c r="C891" s="23"/>
      <c r="D891" s="23"/>
      <c r="E891" s="23"/>
      <c r="F891" s="23"/>
      <c r="G891" s="23"/>
      <c r="H891" s="23"/>
      <c r="I891" s="23"/>
      <c r="J891" s="23"/>
      <c r="K891" s="23"/>
    </row>
    <row r="892" spans="2:11">
      <c r="B892"/>
      <c r="C892" s="23"/>
      <c r="D892" s="23"/>
      <c r="E892" s="23"/>
      <c r="F892" s="23"/>
      <c r="G892" s="23"/>
      <c r="H892" s="23"/>
      <c r="I892" s="23"/>
      <c r="J892" s="23"/>
      <c r="K892" s="23"/>
    </row>
    <row r="893" spans="2:11">
      <c r="B893"/>
      <c r="C893" s="23"/>
      <c r="D893" s="23"/>
      <c r="E893" s="23"/>
      <c r="F893" s="23"/>
      <c r="G893" s="23"/>
      <c r="H893" s="23"/>
      <c r="I893" s="23"/>
      <c r="J893" s="23"/>
      <c r="K893" s="23"/>
    </row>
    <row r="894" spans="2:11">
      <c r="B894"/>
      <c r="C894" s="23"/>
      <c r="D894" s="23"/>
      <c r="E894" s="23"/>
      <c r="F894" s="23"/>
      <c r="G894" s="23"/>
      <c r="H894" s="23"/>
      <c r="I894" s="23"/>
      <c r="J894" s="23"/>
      <c r="K894" s="23"/>
    </row>
    <row r="895" spans="2:11">
      <c r="B895"/>
      <c r="C895" s="23"/>
      <c r="D895" s="23"/>
      <c r="E895" s="23"/>
      <c r="F895" s="23"/>
      <c r="G895" s="23"/>
      <c r="H895" s="23"/>
      <c r="I895" s="23"/>
      <c r="J895" s="23"/>
      <c r="K895" s="23"/>
    </row>
    <row r="896" spans="2:11">
      <c r="B896"/>
      <c r="C896" s="23"/>
      <c r="D896" s="23"/>
      <c r="E896" s="23"/>
      <c r="F896" s="23"/>
      <c r="G896" s="23"/>
      <c r="H896" s="23"/>
      <c r="I896" s="23"/>
      <c r="J896" s="23"/>
      <c r="K896" s="23"/>
    </row>
    <row r="897" spans="2:11">
      <c r="B897"/>
      <c r="C897" s="23"/>
      <c r="D897" s="23"/>
      <c r="E897" s="23"/>
      <c r="F897" s="23"/>
      <c r="G897" s="23"/>
      <c r="H897" s="23"/>
      <c r="I897" s="23"/>
      <c r="J897" s="23"/>
      <c r="K897" s="23"/>
    </row>
    <row r="898" spans="2:11">
      <c r="B898"/>
      <c r="C898" s="23"/>
      <c r="D898" s="23"/>
      <c r="E898" s="23"/>
      <c r="F898" s="23"/>
      <c r="G898" s="23"/>
      <c r="H898" s="23"/>
      <c r="I898" s="23"/>
      <c r="J898" s="23"/>
      <c r="K898" s="23"/>
    </row>
    <row r="899" spans="2:11">
      <c r="B899"/>
      <c r="C899" s="23"/>
      <c r="D899" s="23"/>
      <c r="E899" s="23"/>
      <c r="F899" s="23"/>
      <c r="G899" s="23"/>
      <c r="H899" s="23"/>
      <c r="I899" s="23"/>
      <c r="J899" s="23"/>
      <c r="K899" s="23"/>
    </row>
    <row r="900" spans="2:11">
      <c r="B900"/>
      <c r="C900" s="23"/>
      <c r="D900" s="23"/>
      <c r="E900" s="23"/>
      <c r="F900" s="23"/>
      <c r="G900" s="23"/>
      <c r="H900" s="23"/>
      <c r="I900" s="23"/>
      <c r="J900" s="23"/>
      <c r="K900" s="23"/>
    </row>
    <row r="901" spans="2:11">
      <c r="B901"/>
      <c r="C901" s="23"/>
      <c r="D901" s="23"/>
      <c r="E901" s="23"/>
      <c r="F901" s="23"/>
      <c r="G901" s="23"/>
      <c r="H901" s="23"/>
      <c r="I901" s="23"/>
      <c r="J901" s="23"/>
      <c r="K901" s="23"/>
    </row>
    <row r="902" spans="2:11">
      <c r="B902"/>
      <c r="C902" s="23"/>
      <c r="D902" s="23"/>
      <c r="E902" s="23"/>
      <c r="F902" s="23"/>
      <c r="G902" s="23"/>
      <c r="H902" s="23"/>
      <c r="I902" s="23"/>
      <c r="J902" s="23"/>
      <c r="K902" s="23"/>
    </row>
    <row r="903" spans="2:11">
      <c r="B903"/>
      <c r="C903" s="23"/>
      <c r="D903" s="23"/>
      <c r="E903" s="23"/>
      <c r="F903" s="23"/>
      <c r="G903" s="23"/>
      <c r="H903" s="23"/>
      <c r="I903" s="23"/>
      <c r="J903" s="23"/>
      <c r="K903" s="23"/>
    </row>
    <row r="904" spans="2:11">
      <c r="B904"/>
      <c r="C904" s="23"/>
      <c r="D904" s="23"/>
      <c r="E904" s="23"/>
      <c r="F904" s="23"/>
      <c r="G904" s="23"/>
      <c r="H904" s="23"/>
      <c r="I904" s="23"/>
      <c r="J904" s="23"/>
      <c r="K904" s="23"/>
    </row>
    <row r="905" spans="2:11">
      <c r="B905"/>
      <c r="C905" s="23"/>
      <c r="D905" s="23"/>
      <c r="E905" s="23"/>
      <c r="F905" s="23"/>
      <c r="G905" s="23"/>
      <c r="H905" s="23"/>
      <c r="I905" s="23"/>
      <c r="J905" s="23"/>
      <c r="K905" s="23"/>
    </row>
    <row r="906" spans="2:11">
      <c r="B906"/>
      <c r="C906" s="23"/>
      <c r="D906" s="23"/>
      <c r="E906" s="23"/>
      <c r="F906" s="23"/>
      <c r="G906" s="23"/>
      <c r="H906" s="23"/>
      <c r="I906" s="23"/>
      <c r="J906" s="23"/>
      <c r="K906" s="23"/>
    </row>
    <row r="907" spans="2:11">
      <c r="B907"/>
      <c r="C907" s="23"/>
      <c r="D907" s="23"/>
      <c r="E907" s="23"/>
      <c r="F907" s="23"/>
      <c r="G907" s="23"/>
      <c r="H907" s="23"/>
      <c r="I907" s="23"/>
      <c r="J907" s="23"/>
      <c r="K907" s="23"/>
    </row>
    <row r="908" spans="2:11">
      <c r="B908"/>
      <c r="C908" s="23"/>
      <c r="D908" s="23"/>
      <c r="E908" s="23"/>
      <c r="F908" s="23"/>
      <c r="G908" s="23"/>
      <c r="H908" s="23"/>
      <c r="I908" s="23"/>
      <c r="J908" s="23"/>
      <c r="K908" s="23"/>
    </row>
    <row r="909" spans="2:11">
      <c r="B909"/>
      <c r="C909" s="23"/>
      <c r="D909" s="23"/>
      <c r="E909" s="23"/>
      <c r="F909" s="23"/>
      <c r="G909" s="23"/>
      <c r="H909" s="23"/>
      <c r="I909" s="23"/>
      <c r="J909" s="23"/>
      <c r="K909" s="23"/>
    </row>
    <row r="910" spans="2:11">
      <c r="B910"/>
      <c r="C910" s="23"/>
      <c r="D910" s="23"/>
      <c r="E910" s="23"/>
      <c r="F910" s="23"/>
      <c r="G910" s="23"/>
      <c r="H910" s="23"/>
      <c r="I910" s="23"/>
      <c r="J910" s="23"/>
      <c r="K910" s="23"/>
    </row>
    <row r="911" spans="2:11">
      <c r="B911"/>
      <c r="C911" s="23"/>
      <c r="D911" s="23"/>
      <c r="E911" s="23"/>
      <c r="F911" s="23"/>
      <c r="G911" s="23"/>
      <c r="H911" s="23"/>
      <c r="I911" s="23"/>
      <c r="J911" s="23"/>
      <c r="K911" s="23"/>
    </row>
    <row r="912" spans="2:11">
      <c r="B912"/>
      <c r="C912" s="23"/>
      <c r="D912" s="23"/>
      <c r="E912" s="23"/>
      <c r="F912" s="23"/>
      <c r="G912" s="23"/>
      <c r="H912" s="23"/>
      <c r="I912" s="23"/>
      <c r="J912" s="23"/>
      <c r="K912" s="23"/>
    </row>
    <row r="913" spans="2:11">
      <c r="B913"/>
      <c r="C913" s="23"/>
      <c r="D913" s="23"/>
      <c r="E913" s="23"/>
      <c r="F913" s="23"/>
      <c r="G913" s="23"/>
      <c r="H913" s="23"/>
      <c r="I913" s="23"/>
      <c r="J913" s="23"/>
      <c r="K913" s="23"/>
    </row>
    <row r="914" spans="2:11">
      <c r="B914"/>
      <c r="C914" s="23"/>
      <c r="D914" s="23"/>
      <c r="E914" s="23"/>
      <c r="F914" s="23"/>
      <c r="G914" s="23"/>
      <c r="H914" s="23"/>
      <c r="I914" s="23"/>
      <c r="J914" s="23"/>
      <c r="K914" s="23"/>
    </row>
    <row r="915" spans="2:11">
      <c r="B915"/>
      <c r="C915" s="23"/>
      <c r="D915" s="23"/>
      <c r="E915" s="23"/>
      <c r="F915" s="23"/>
      <c r="G915" s="23"/>
      <c r="H915" s="23"/>
      <c r="I915" s="23"/>
      <c r="J915" s="23"/>
      <c r="K915" s="23"/>
    </row>
    <row r="916" spans="2:11">
      <c r="B916"/>
      <c r="C916" s="23"/>
      <c r="D916" s="23"/>
      <c r="E916" s="23"/>
      <c r="F916" s="23"/>
      <c r="G916" s="23"/>
      <c r="H916" s="23"/>
      <c r="I916" s="23"/>
      <c r="J916" s="23"/>
      <c r="K916" s="23"/>
    </row>
    <row r="917" spans="2:11">
      <c r="B917"/>
      <c r="C917" s="23"/>
      <c r="D917" s="23"/>
      <c r="E917" s="23"/>
      <c r="F917" s="23"/>
      <c r="G917" s="23"/>
      <c r="H917" s="23"/>
      <c r="I917" s="23"/>
      <c r="J917" s="23"/>
      <c r="K917" s="23"/>
    </row>
    <row r="918" spans="2:11">
      <c r="B918"/>
      <c r="C918" s="23"/>
      <c r="D918" s="23"/>
      <c r="E918" s="23"/>
      <c r="F918" s="23"/>
      <c r="G918" s="23"/>
      <c r="H918" s="23"/>
      <c r="I918" s="23"/>
      <c r="J918" s="23"/>
      <c r="K918" s="23"/>
    </row>
    <row r="919" spans="2:11">
      <c r="B919"/>
      <c r="C919" s="23"/>
      <c r="D919" s="23"/>
      <c r="E919" s="23"/>
      <c r="F919" s="23"/>
      <c r="G919" s="23"/>
      <c r="H919" s="23"/>
      <c r="I919" s="23"/>
      <c r="J919" s="23"/>
      <c r="K919" s="23"/>
    </row>
    <row r="920" spans="2:11">
      <c r="B920"/>
      <c r="C920" s="23"/>
      <c r="D920" s="23"/>
      <c r="E920" s="23"/>
      <c r="F920" s="23"/>
      <c r="G920" s="23"/>
      <c r="H920" s="23"/>
      <c r="I920" s="23"/>
      <c r="J920" s="23"/>
      <c r="K920" s="23"/>
    </row>
    <row r="921" spans="2:11">
      <c r="B921"/>
      <c r="C921" s="23"/>
      <c r="D921" s="23"/>
      <c r="E921" s="23"/>
      <c r="F921" s="23"/>
      <c r="G921" s="23"/>
      <c r="H921" s="23"/>
      <c r="I921" s="23"/>
      <c r="J921" s="23"/>
      <c r="K921" s="23"/>
    </row>
    <row r="922" spans="2:11">
      <c r="B922"/>
      <c r="C922" s="23"/>
      <c r="D922" s="23"/>
      <c r="E922" s="23"/>
      <c r="F922" s="23"/>
      <c r="G922" s="23"/>
      <c r="H922" s="23"/>
      <c r="I922" s="23"/>
      <c r="J922" s="23"/>
      <c r="K922" s="23"/>
    </row>
    <row r="923" spans="2:11">
      <c r="B923"/>
      <c r="C923" s="23"/>
      <c r="D923" s="23"/>
      <c r="E923" s="23"/>
      <c r="F923" s="23"/>
      <c r="G923" s="23"/>
      <c r="H923" s="23"/>
      <c r="I923" s="23"/>
      <c r="J923" s="23"/>
      <c r="K923" s="23"/>
    </row>
    <row r="924" spans="2:11">
      <c r="B924"/>
      <c r="C924" s="23"/>
      <c r="D924" s="23"/>
      <c r="E924" s="23"/>
      <c r="F924" s="23"/>
      <c r="G924" s="23"/>
      <c r="H924" s="23"/>
      <c r="I924" s="23"/>
      <c r="J924" s="23"/>
      <c r="K924" s="23"/>
    </row>
    <row r="925" spans="2:11">
      <c r="B925"/>
      <c r="C925" s="23"/>
      <c r="D925" s="23"/>
      <c r="E925" s="23"/>
      <c r="F925" s="23"/>
      <c r="G925" s="23"/>
      <c r="H925" s="23"/>
      <c r="I925" s="23"/>
      <c r="J925" s="23"/>
      <c r="K925" s="23"/>
    </row>
    <row r="926" spans="2:11">
      <c r="B926"/>
      <c r="C926" s="23"/>
      <c r="D926" s="23"/>
      <c r="E926" s="23"/>
      <c r="F926" s="23"/>
      <c r="G926" s="23"/>
      <c r="H926" s="23"/>
      <c r="I926" s="23"/>
      <c r="J926" s="23"/>
      <c r="K926" s="23"/>
    </row>
    <row r="927" spans="2:11">
      <c r="B927"/>
      <c r="C927" s="23"/>
      <c r="D927" s="23"/>
      <c r="E927" s="23"/>
      <c r="F927" s="23"/>
      <c r="G927" s="23"/>
      <c r="H927" s="23"/>
      <c r="I927" s="23"/>
      <c r="J927" s="23"/>
      <c r="K927" s="23"/>
    </row>
    <row r="928" spans="2:11">
      <c r="B928"/>
      <c r="C928" s="23"/>
      <c r="D928" s="23"/>
      <c r="E928" s="23"/>
      <c r="F928" s="23"/>
      <c r="G928" s="23"/>
      <c r="H928" s="23"/>
      <c r="I928" s="23"/>
      <c r="J928" s="23"/>
      <c r="K928" s="23"/>
    </row>
    <row r="929" spans="2:11">
      <c r="B929"/>
      <c r="C929" s="23"/>
      <c r="D929" s="23"/>
      <c r="E929" s="23"/>
      <c r="F929" s="23"/>
      <c r="G929" s="23"/>
      <c r="H929" s="23"/>
      <c r="I929" s="23"/>
      <c r="J929" s="23"/>
      <c r="K929" s="23"/>
    </row>
    <row r="930" spans="2:11">
      <c r="B930"/>
      <c r="C930" s="23"/>
      <c r="D930" s="23"/>
      <c r="E930" s="23"/>
      <c r="F930" s="23"/>
      <c r="G930" s="23"/>
      <c r="H930" s="23"/>
      <c r="I930" s="23"/>
      <c r="J930" s="23"/>
      <c r="K930" s="23"/>
    </row>
    <row r="931" spans="2:11">
      <c r="B931"/>
      <c r="C931" s="23"/>
      <c r="D931" s="23"/>
      <c r="E931" s="23"/>
      <c r="F931" s="23"/>
      <c r="G931" s="23"/>
      <c r="H931" s="23"/>
      <c r="I931" s="23"/>
      <c r="J931" s="23"/>
      <c r="K931" s="23"/>
    </row>
    <row r="932" spans="2:11">
      <c r="B932"/>
      <c r="C932" s="23"/>
      <c r="D932" s="23"/>
      <c r="E932" s="23"/>
      <c r="F932" s="23"/>
      <c r="G932" s="23"/>
      <c r="H932" s="23"/>
      <c r="I932" s="23"/>
      <c r="J932" s="23"/>
      <c r="K932" s="23"/>
    </row>
    <row r="933" spans="2:11">
      <c r="B933"/>
      <c r="C933" s="23"/>
      <c r="D933" s="23"/>
      <c r="E933" s="23"/>
      <c r="F933" s="23"/>
      <c r="G933" s="23"/>
      <c r="H933" s="23"/>
      <c r="I933" s="23"/>
      <c r="J933" s="23"/>
      <c r="K933" s="23"/>
    </row>
    <row r="934" spans="2:11">
      <c r="B934"/>
      <c r="C934" s="23"/>
      <c r="D934" s="23"/>
      <c r="E934" s="23"/>
      <c r="F934" s="23"/>
      <c r="G934" s="23"/>
      <c r="H934" s="23"/>
      <c r="I934" s="23"/>
      <c r="J934" s="23"/>
      <c r="K934" s="23"/>
    </row>
    <row r="935" spans="2:11">
      <c r="B935"/>
      <c r="C935" s="23"/>
      <c r="D935" s="23"/>
      <c r="E935" s="23"/>
      <c r="F935" s="23"/>
      <c r="G935" s="23"/>
      <c r="H935" s="23"/>
      <c r="I935" s="23"/>
      <c r="J935" s="23"/>
      <c r="K935" s="23"/>
    </row>
    <row r="936" spans="2:11">
      <c r="B936"/>
      <c r="C936" s="23"/>
      <c r="D936" s="23"/>
      <c r="E936" s="23"/>
      <c r="F936" s="23"/>
      <c r="G936" s="23"/>
      <c r="H936" s="23"/>
      <c r="I936" s="23"/>
      <c r="J936" s="23"/>
      <c r="K936" s="23"/>
    </row>
    <row r="937" spans="2:11">
      <c r="B937"/>
      <c r="C937" s="23"/>
      <c r="D937" s="23"/>
      <c r="E937" s="23"/>
      <c r="F937" s="23"/>
      <c r="G937" s="23"/>
      <c r="H937" s="23"/>
      <c r="I937" s="23"/>
      <c r="J937" s="23"/>
      <c r="K937" s="23"/>
    </row>
    <row r="938" spans="2:11">
      <c r="B938"/>
      <c r="C938" s="23"/>
      <c r="D938" s="23"/>
      <c r="E938" s="23"/>
      <c r="F938" s="23"/>
      <c r="G938" s="23"/>
      <c r="H938" s="23"/>
      <c r="I938" s="23"/>
      <c r="J938" s="23"/>
      <c r="K938" s="23"/>
    </row>
    <row r="939" spans="2:11">
      <c r="B939"/>
      <c r="C939" s="23"/>
      <c r="D939" s="23"/>
      <c r="E939" s="23"/>
      <c r="F939" s="23"/>
      <c r="G939" s="23"/>
      <c r="H939" s="23"/>
      <c r="I939" s="23"/>
      <c r="J939" s="23"/>
      <c r="K939" s="23"/>
    </row>
    <row r="940" spans="2:11">
      <c r="B940"/>
      <c r="C940" s="23"/>
      <c r="D940" s="23"/>
      <c r="E940" s="23"/>
      <c r="F940" s="23"/>
      <c r="G940" s="23"/>
      <c r="H940" s="23"/>
      <c r="I940" s="23"/>
      <c r="J940" s="23"/>
      <c r="K940" s="23"/>
    </row>
    <row r="941" spans="2:11">
      <c r="B941"/>
      <c r="C941" s="23"/>
      <c r="D941" s="23"/>
      <c r="E941" s="23"/>
      <c r="F941" s="23"/>
      <c r="G941" s="23"/>
      <c r="H941" s="23"/>
      <c r="I941" s="23"/>
      <c r="J941" s="23"/>
      <c r="K941" s="23"/>
    </row>
    <row r="942" spans="2:11">
      <c r="B942"/>
      <c r="C942" s="23"/>
      <c r="D942" s="23"/>
      <c r="E942" s="23"/>
      <c r="F942" s="23"/>
      <c r="G942" s="23"/>
      <c r="H942" s="23"/>
      <c r="I942" s="23"/>
      <c r="J942" s="23"/>
      <c r="K942" s="23"/>
    </row>
    <row r="943" spans="2:11">
      <c r="B943"/>
      <c r="C943" s="23"/>
      <c r="D943" s="23"/>
      <c r="E943" s="23"/>
      <c r="F943" s="23"/>
      <c r="G943" s="23"/>
      <c r="H943" s="23"/>
      <c r="I943" s="23"/>
      <c r="J943" s="23"/>
      <c r="K943" s="23"/>
    </row>
    <row r="944" spans="2:11">
      <c r="B944"/>
      <c r="C944" s="23"/>
      <c r="D944" s="23"/>
      <c r="E944" s="23"/>
      <c r="F944" s="23"/>
      <c r="G944" s="23"/>
      <c r="H944" s="23"/>
      <c r="I944" s="23"/>
      <c r="J944" s="23"/>
      <c r="K944" s="23"/>
    </row>
    <row r="945" spans="2:11">
      <c r="B945"/>
      <c r="C945" s="23"/>
      <c r="D945" s="23"/>
      <c r="E945" s="23"/>
      <c r="F945" s="23"/>
      <c r="G945" s="23"/>
      <c r="H945" s="23"/>
      <c r="I945" s="23"/>
      <c r="J945" s="23"/>
      <c r="K945" s="23"/>
    </row>
    <row r="946" spans="2:11">
      <c r="B946"/>
      <c r="C946" s="23"/>
      <c r="D946" s="23"/>
      <c r="E946" s="23"/>
      <c r="F946" s="23"/>
      <c r="G946" s="23"/>
      <c r="H946" s="23"/>
      <c r="I946" s="23"/>
      <c r="J946" s="23"/>
      <c r="K946" s="23"/>
    </row>
    <row r="947" spans="2:11">
      <c r="B947"/>
      <c r="C947" s="23"/>
      <c r="D947" s="23"/>
      <c r="E947" s="23"/>
      <c r="F947" s="23"/>
      <c r="G947" s="23"/>
      <c r="H947" s="23"/>
      <c r="I947" s="23"/>
      <c r="J947" s="23"/>
      <c r="K947" s="23"/>
    </row>
    <row r="948" spans="2:11">
      <c r="B948"/>
      <c r="C948" s="23"/>
      <c r="D948" s="23"/>
      <c r="E948" s="23"/>
      <c r="F948" s="23"/>
      <c r="G948" s="23"/>
      <c r="H948" s="23"/>
      <c r="I948" s="23"/>
      <c r="J948" s="23"/>
      <c r="K948" s="23"/>
    </row>
    <row r="949" spans="2:11">
      <c r="B949"/>
      <c r="C949" s="23"/>
      <c r="D949" s="23"/>
      <c r="E949" s="23"/>
      <c r="F949" s="23"/>
      <c r="G949" s="23"/>
      <c r="H949" s="23"/>
      <c r="I949" s="23"/>
      <c r="J949" s="23"/>
      <c r="K949" s="23"/>
    </row>
    <row r="950" spans="2:11">
      <c r="B950"/>
      <c r="C950" s="23"/>
      <c r="D950" s="23"/>
      <c r="E950" s="23"/>
      <c r="F950" s="23"/>
      <c r="G950" s="23"/>
      <c r="H950" s="23"/>
      <c r="I950" s="23"/>
      <c r="J950" s="23"/>
      <c r="K950" s="23"/>
    </row>
    <row r="951" spans="2:11">
      <c r="B951"/>
      <c r="C951" s="23"/>
      <c r="D951" s="23"/>
      <c r="E951" s="23"/>
      <c r="F951" s="23"/>
      <c r="G951" s="23"/>
      <c r="H951" s="23"/>
      <c r="I951" s="23"/>
      <c r="J951" s="23"/>
      <c r="K951" s="23"/>
    </row>
    <row r="952" spans="2:11">
      <c r="B952"/>
      <c r="C952" s="23"/>
      <c r="D952" s="23"/>
      <c r="E952" s="23"/>
      <c r="F952" s="23"/>
      <c r="G952" s="23"/>
      <c r="H952" s="23"/>
      <c r="I952" s="23"/>
      <c r="J952" s="23"/>
      <c r="K952" s="23"/>
    </row>
    <row r="953" spans="2:11">
      <c r="B953"/>
      <c r="C953" s="23"/>
      <c r="D953" s="23"/>
      <c r="E953" s="23"/>
      <c r="F953" s="23"/>
      <c r="G953" s="23"/>
      <c r="H953" s="23"/>
      <c r="I953" s="23"/>
      <c r="J953" s="23"/>
      <c r="K953" s="23"/>
    </row>
    <row r="954" spans="2:11">
      <c r="B954"/>
      <c r="C954" s="23"/>
      <c r="D954" s="23"/>
      <c r="E954" s="23"/>
      <c r="F954" s="23"/>
      <c r="G954" s="23"/>
      <c r="H954" s="23"/>
      <c r="I954" s="23"/>
      <c r="J954" s="23"/>
      <c r="K954" s="23"/>
    </row>
    <row r="955" spans="2:11">
      <c r="B955"/>
      <c r="C955" s="23"/>
      <c r="D955" s="23"/>
      <c r="E955" s="23"/>
      <c r="F955" s="23"/>
      <c r="G955" s="23"/>
      <c r="H955" s="23"/>
      <c r="I955" s="23"/>
      <c r="J955" s="23"/>
      <c r="K955" s="23"/>
    </row>
    <row r="956" spans="2:11">
      <c r="B956"/>
      <c r="C956" s="23"/>
      <c r="D956" s="23"/>
      <c r="E956" s="23"/>
      <c r="F956" s="23"/>
      <c r="G956" s="23"/>
      <c r="H956" s="23"/>
      <c r="I956" s="23"/>
      <c r="J956" s="23"/>
      <c r="K956" s="23"/>
    </row>
    <row r="957" spans="2:11">
      <c r="B957"/>
      <c r="C957" s="23"/>
      <c r="D957" s="23"/>
      <c r="E957" s="23"/>
      <c r="F957" s="23"/>
      <c r="G957" s="23"/>
      <c r="H957" s="23"/>
      <c r="I957" s="23"/>
      <c r="J957" s="23"/>
      <c r="K957" s="23"/>
    </row>
    <row r="958" spans="2:11">
      <c r="B958"/>
      <c r="C958" s="23"/>
      <c r="D958" s="23"/>
      <c r="E958" s="23"/>
      <c r="F958" s="23"/>
      <c r="G958" s="23"/>
      <c r="H958" s="23"/>
      <c r="I958" s="23"/>
      <c r="J958" s="23"/>
      <c r="K958" s="23"/>
    </row>
    <row r="959" spans="2:11">
      <c r="B959"/>
      <c r="C959" s="23"/>
      <c r="D959" s="23"/>
      <c r="E959" s="23"/>
      <c r="F959" s="23"/>
      <c r="G959" s="23"/>
      <c r="H959" s="23"/>
      <c r="I959" s="23"/>
      <c r="J959" s="23"/>
      <c r="K959" s="23"/>
    </row>
    <row r="960" spans="2:11">
      <c r="B960"/>
      <c r="C960" s="23"/>
      <c r="D960" s="23"/>
      <c r="E960" s="23"/>
      <c r="F960" s="23"/>
      <c r="G960" s="23"/>
      <c r="H960" s="23"/>
      <c r="I960" s="23"/>
      <c r="J960" s="23"/>
      <c r="K960" s="23"/>
    </row>
    <row r="961" spans="2:11">
      <c r="B961"/>
      <c r="C961" s="23"/>
      <c r="D961" s="23"/>
      <c r="E961" s="23"/>
      <c r="F961" s="23"/>
      <c r="G961" s="23"/>
      <c r="H961" s="23"/>
      <c r="I961" s="23"/>
      <c r="J961" s="23"/>
      <c r="K961" s="23"/>
    </row>
    <row r="962" spans="2:11">
      <c r="B962"/>
      <c r="C962" s="23"/>
      <c r="D962" s="23"/>
      <c r="E962" s="23"/>
      <c r="F962" s="23"/>
      <c r="G962" s="23"/>
      <c r="H962" s="23"/>
      <c r="I962" s="23"/>
      <c r="J962" s="23"/>
      <c r="K962" s="23"/>
    </row>
    <row r="963" spans="2:11">
      <c r="B963"/>
      <c r="C963" s="23"/>
      <c r="D963" s="23"/>
      <c r="E963" s="23"/>
      <c r="F963" s="23"/>
      <c r="G963" s="23"/>
      <c r="H963" s="23"/>
      <c r="I963" s="23"/>
      <c r="J963" s="23"/>
      <c r="K963" s="23"/>
    </row>
    <row r="964" spans="2:11">
      <c r="B964"/>
      <c r="C964" s="23"/>
      <c r="D964" s="23"/>
      <c r="E964" s="23"/>
      <c r="F964" s="23"/>
      <c r="G964" s="23"/>
      <c r="H964" s="23"/>
      <c r="I964" s="23"/>
      <c r="J964" s="23"/>
      <c r="K964" s="23"/>
    </row>
    <row r="965" spans="2:11">
      <c r="B965"/>
      <c r="C965" s="23"/>
      <c r="D965" s="23"/>
      <c r="E965" s="23"/>
      <c r="F965" s="23"/>
      <c r="G965" s="23"/>
      <c r="H965" s="23"/>
      <c r="I965" s="23"/>
      <c r="J965" s="23"/>
      <c r="K965" s="23"/>
    </row>
    <row r="966" spans="2:11">
      <c r="B966"/>
      <c r="C966" s="23"/>
      <c r="D966" s="23"/>
      <c r="E966" s="23"/>
      <c r="F966" s="23"/>
      <c r="G966" s="23"/>
      <c r="H966" s="23"/>
      <c r="I966" s="23"/>
      <c r="J966" s="23"/>
      <c r="K966" s="23"/>
    </row>
    <row r="967" spans="2:11">
      <c r="B967"/>
      <c r="C967" s="23"/>
      <c r="D967" s="23"/>
      <c r="E967" s="23"/>
      <c r="F967" s="23"/>
      <c r="G967" s="23"/>
      <c r="H967" s="23"/>
      <c r="I967" s="23"/>
      <c r="J967" s="23"/>
      <c r="K967" s="23"/>
    </row>
    <row r="968" spans="2:11">
      <c r="B968"/>
      <c r="C968" s="23"/>
      <c r="D968" s="23"/>
      <c r="E968" s="23"/>
      <c r="F968" s="23"/>
      <c r="G968" s="23"/>
      <c r="H968" s="23"/>
      <c r="I968" s="23"/>
      <c r="J968" s="23"/>
      <c r="K968" s="23"/>
    </row>
    <row r="969" spans="2:11">
      <c r="B969"/>
      <c r="C969" s="23"/>
      <c r="D969" s="23"/>
      <c r="E969" s="23"/>
      <c r="F969" s="23"/>
      <c r="G969" s="23"/>
      <c r="H969" s="23"/>
      <c r="I969" s="23"/>
      <c r="J969" s="23"/>
      <c r="K969" s="23"/>
    </row>
    <row r="970" spans="2:11">
      <c r="B970"/>
      <c r="C970" s="23"/>
      <c r="D970" s="23"/>
      <c r="E970" s="23"/>
      <c r="F970" s="23"/>
      <c r="G970" s="23"/>
      <c r="H970" s="23"/>
      <c r="I970" s="23"/>
      <c r="J970" s="23"/>
      <c r="K970" s="23"/>
    </row>
    <row r="971" spans="2:11">
      <c r="B971"/>
      <c r="C971" s="23"/>
      <c r="D971" s="23"/>
      <c r="E971" s="23"/>
      <c r="F971" s="23"/>
      <c r="G971" s="23"/>
      <c r="H971" s="23"/>
      <c r="I971" s="23"/>
      <c r="J971" s="23"/>
      <c r="K971" s="23"/>
    </row>
    <row r="972" spans="2:11">
      <c r="B972"/>
      <c r="C972" s="23"/>
      <c r="D972" s="23"/>
      <c r="E972" s="23"/>
      <c r="F972" s="23"/>
      <c r="G972" s="23"/>
      <c r="H972" s="23"/>
      <c r="I972" s="23"/>
      <c r="J972" s="23"/>
      <c r="K972" s="23"/>
    </row>
    <row r="973" spans="2:11">
      <c r="B973"/>
      <c r="C973" s="23"/>
      <c r="D973" s="23"/>
      <c r="E973" s="23"/>
      <c r="F973" s="23"/>
      <c r="G973" s="23"/>
      <c r="H973" s="23"/>
      <c r="I973" s="23"/>
      <c r="J973" s="23"/>
      <c r="K973" s="23"/>
    </row>
    <row r="974" spans="2:11">
      <c r="B974"/>
      <c r="C974" s="23"/>
      <c r="D974" s="23"/>
      <c r="E974" s="23"/>
      <c r="F974" s="23"/>
      <c r="G974" s="23"/>
      <c r="H974" s="23"/>
      <c r="I974" s="23"/>
      <c r="J974" s="23"/>
      <c r="K974" s="23"/>
    </row>
    <row r="975" spans="2:11">
      <c r="B975"/>
      <c r="C975" s="23"/>
      <c r="D975" s="23"/>
      <c r="E975" s="23"/>
      <c r="F975" s="23"/>
      <c r="G975" s="23"/>
      <c r="H975" s="23"/>
      <c r="I975" s="23"/>
      <c r="J975" s="23"/>
      <c r="K975" s="23"/>
    </row>
    <row r="976" spans="2:11">
      <c r="B976"/>
      <c r="C976" s="23"/>
      <c r="D976" s="23"/>
      <c r="E976" s="23"/>
      <c r="F976" s="23"/>
      <c r="G976" s="23"/>
      <c r="H976" s="23"/>
      <c r="I976" s="23"/>
      <c r="J976" s="23"/>
      <c r="K976" s="23"/>
    </row>
    <row r="977" spans="2:11">
      <c r="B977"/>
      <c r="C977" s="23"/>
      <c r="D977" s="23"/>
      <c r="E977" s="23"/>
      <c r="F977" s="23"/>
      <c r="G977" s="23"/>
      <c r="H977" s="23"/>
      <c r="I977" s="23"/>
      <c r="J977" s="23"/>
      <c r="K977" s="23"/>
    </row>
    <row r="978" spans="2:11">
      <c r="B978"/>
      <c r="C978" s="23"/>
      <c r="D978" s="23"/>
      <c r="E978" s="23"/>
      <c r="F978" s="23"/>
      <c r="G978" s="23"/>
      <c r="H978" s="23"/>
      <c r="I978" s="23"/>
      <c r="J978" s="23"/>
      <c r="K978" s="23"/>
    </row>
    <row r="979" spans="2:11">
      <c r="B979"/>
      <c r="C979" s="23"/>
      <c r="D979" s="23"/>
      <c r="E979" s="23"/>
      <c r="F979" s="23"/>
      <c r="G979" s="23"/>
      <c r="H979" s="23"/>
      <c r="I979" s="23"/>
      <c r="J979" s="23"/>
      <c r="K979" s="23"/>
    </row>
    <row r="980" spans="2:11">
      <c r="B980"/>
      <c r="C980" s="23"/>
      <c r="D980" s="23"/>
      <c r="E980" s="23"/>
      <c r="F980" s="23"/>
      <c r="G980" s="23"/>
      <c r="H980" s="23"/>
      <c r="I980" s="23"/>
      <c r="J980" s="23"/>
      <c r="K980" s="23"/>
    </row>
    <row r="981" spans="2:11">
      <c r="B981"/>
      <c r="C981" s="23"/>
      <c r="D981" s="23"/>
      <c r="E981" s="23"/>
      <c r="F981" s="23"/>
      <c r="G981" s="23"/>
      <c r="H981" s="23"/>
      <c r="I981" s="23"/>
      <c r="J981" s="23"/>
      <c r="K981" s="23"/>
    </row>
    <row r="982" spans="2:11">
      <c r="B982"/>
      <c r="C982" s="23"/>
      <c r="D982" s="23"/>
      <c r="E982" s="23"/>
      <c r="F982" s="23"/>
      <c r="G982" s="23"/>
      <c r="H982" s="23"/>
      <c r="I982" s="23"/>
      <c r="J982" s="23"/>
      <c r="K982" s="23"/>
    </row>
    <row r="983" spans="2:11">
      <c r="B983"/>
      <c r="C983" s="23"/>
      <c r="D983" s="23"/>
      <c r="E983" s="23"/>
      <c r="F983" s="23"/>
      <c r="G983" s="23"/>
      <c r="H983" s="23"/>
      <c r="I983" s="23"/>
      <c r="J983" s="23"/>
      <c r="K983" s="23"/>
    </row>
    <row r="984" spans="2:11">
      <c r="B984"/>
    </row>
    <row r="985" spans="2:11">
      <c r="B985"/>
    </row>
    <row r="986" spans="2:11">
      <c r="B986"/>
    </row>
    <row r="987" spans="2:11">
      <c r="B987"/>
    </row>
    <row r="988" spans="2:11">
      <c r="B988"/>
    </row>
    <row r="989" spans="2:11">
      <c r="B989"/>
    </row>
    <row r="990" spans="2:11">
      <c r="B990"/>
    </row>
    <row r="991" spans="2:11">
      <c r="B991"/>
    </row>
    <row r="992" spans="2:11">
      <c r="B992"/>
    </row>
    <row r="993" spans="2:2" hidden="1">
      <c r="B993"/>
    </row>
    <row r="994" spans="2:2" hidden="1">
      <c r="B994"/>
    </row>
    <row r="995" spans="2:2" hidden="1">
      <c r="B995"/>
    </row>
    <row r="996" spans="2:2" hidden="1">
      <c r="B996"/>
    </row>
    <row r="997" spans="2:2" hidden="1">
      <c r="B997"/>
    </row>
    <row r="998" spans="2:2" hidden="1">
      <c r="B998"/>
    </row>
    <row r="999" spans="2:2" hidden="1">
      <c r="B999"/>
    </row>
    <row r="1000" spans="2:2" hidden="1">
      <c r="B1000"/>
    </row>
    <row r="1001" spans="2:2" hidden="1">
      <c r="B1001"/>
    </row>
    <row r="1002" spans="2:2" hidden="1">
      <c r="B1002"/>
    </row>
    <row r="1003" spans="2:2" hidden="1">
      <c r="B1003"/>
    </row>
    <row r="1004" spans="2:2" hidden="1">
      <c r="B1004"/>
    </row>
    <row r="1005" spans="2:2" hidden="1">
      <c r="B1005"/>
    </row>
    <row r="1006" spans="2:2" hidden="1">
      <c r="B1006"/>
    </row>
    <row r="1007" spans="2:2" hidden="1">
      <c r="B1007"/>
    </row>
    <row r="1008" spans="2:2" hidden="1">
      <c r="B1008"/>
    </row>
    <row r="1009" spans="2:2" hidden="1">
      <c r="B1009"/>
    </row>
    <row r="1010" spans="2:2" hidden="1">
      <c r="B1010"/>
    </row>
    <row r="1011" spans="2:2" hidden="1">
      <c r="B1011"/>
    </row>
    <row r="1012" spans="2:2" hidden="1">
      <c r="B1012"/>
    </row>
    <row r="1013" spans="2:2" hidden="1">
      <c r="B1013"/>
    </row>
    <row r="1014" spans="2:2" hidden="1">
      <c r="B1014"/>
    </row>
    <row r="1015" spans="2:2" hidden="1">
      <c r="B1015"/>
    </row>
    <row r="1016" spans="2:2" hidden="1">
      <c r="B1016"/>
    </row>
    <row r="1017" spans="2:2" hidden="1">
      <c r="B1017"/>
    </row>
    <row r="1018" spans="2:2" hidden="1">
      <c r="B1018"/>
    </row>
    <row r="1019" spans="2:2" hidden="1">
      <c r="B1019"/>
    </row>
    <row r="1020" spans="2:2" hidden="1">
      <c r="B1020"/>
    </row>
    <row r="1021" spans="2:2" hidden="1">
      <c r="B1021"/>
    </row>
    <row r="1022" spans="2:2" hidden="1">
      <c r="B1022"/>
    </row>
    <row r="1023" spans="2:2" hidden="1">
      <c r="B1023"/>
    </row>
    <row r="1024" spans="2:2" hidden="1">
      <c r="B1024"/>
    </row>
    <row r="1025" spans="2:2" hidden="1">
      <c r="B1025"/>
    </row>
    <row r="1026" spans="2:2" hidden="1">
      <c r="B1026"/>
    </row>
    <row r="1027" spans="2:2" hidden="1"/>
    <row r="1028" spans="2:2" hidden="1"/>
    <row r="1029" spans="2:2" hidden="1"/>
    <row r="1030" spans="2:2" hidden="1"/>
    <row r="1031" spans="2:2" hidden="1"/>
    <row r="1032" spans="2:2" hidden="1"/>
    <row r="1033" spans="2:2" hidden="1"/>
    <row r="1034" spans="2:2" hidden="1"/>
    <row r="1035" spans="2:2" hidden="1"/>
    <row r="1036" spans="2:2" hidden="1"/>
    <row r="1037" spans="2:2" hidden="1"/>
    <row r="1038" spans="2:2" hidden="1"/>
    <row r="1039" spans="2:2" hidden="1"/>
    <row r="1040" spans="2:2"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sheetData>
  <mergeCells count="1">
    <mergeCell ref="B1:D2"/>
  </mergeCells>
  <pageMargins left="0.7" right="0.7" top="0.75" bottom="0.75" header="0.3" footer="0.3"/>
  <pageSetup paperSize="9" scale="49"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0F452"/>
    <pageSetUpPr fitToPage="1"/>
  </sheetPr>
  <dimension ref="A1:CD671"/>
  <sheetViews>
    <sheetView showGridLines="0" showRowColHeaders="0" tabSelected="1" topLeftCell="A3" zoomScale="60" zoomScaleNormal="60" workbookViewId="0">
      <selection activeCell="A3" sqref="A3"/>
    </sheetView>
  </sheetViews>
  <sheetFormatPr defaultColWidth="0" defaultRowHeight="15" zeroHeight="1"/>
  <cols>
    <col min="1" max="1" width="1.453125" style="23" customWidth="1"/>
    <col min="2" max="2" width="2.81640625" style="23" customWidth="1"/>
    <col min="3" max="3" width="8.90625" style="23" customWidth="1"/>
    <col min="4" max="4" width="13.81640625" style="23" customWidth="1"/>
    <col min="5" max="7" width="8.90625" style="23" customWidth="1"/>
    <col min="8" max="9" width="9.81640625" style="23" customWidth="1"/>
    <col min="10" max="10" width="12.90625" style="23" customWidth="1"/>
    <col min="11" max="13" width="9.81640625" style="23" customWidth="1"/>
    <col min="14" max="14" width="12.90625" style="23" customWidth="1"/>
    <col min="15" max="16" width="10.08984375" style="23" customWidth="1"/>
    <col min="17" max="17" width="8.1796875" style="23" customWidth="1"/>
    <col min="18" max="18" width="8.90625" style="23" customWidth="1"/>
    <col min="19" max="19" width="13.81640625" style="23" customWidth="1"/>
    <col min="20" max="20" width="8.90625" style="23" customWidth="1"/>
    <col min="21" max="21" width="8.08984375" style="23" customWidth="1"/>
    <col min="22" max="22" width="1" style="23" customWidth="1"/>
    <col min="23" max="23" width="2.6328125" style="23" customWidth="1"/>
    <col min="24" max="24" width="1" style="23" customWidth="1"/>
    <col min="25" max="26" width="8.90625" style="23" hidden="1" customWidth="1"/>
    <col min="27" max="27" width="38.36328125" style="130" hidden="1" customWidth="1"/>
    <col min="28" max="28" width="37" style="130" hidden="1" customWidth="1"/>
    <col min="29" max="31" width="22.81640625" style="23" hidden="1" customWidth="1"/>
    <col min="32" max="37" width="8.90625" style="23" hidden="1" customWidth="1"/>
    <col min="38" max="38" width="15.08984375" style="23" hidden="1" customWidth="1"/>
    <col min="39" max="41" width="8.90625" style="23" hidden="1" customWidth="1"/>
    <col min="42" max="42" width="24.81640625" style="23" hidden="1" customWidth="1"/>
    <col min="43" max="43" width="19.6328125" style="23" hidden="1" customWidth="1"/>
    <col min="44" max="44" width="18.6328125" style="23" hidden="1" customWidth="1"/>
    <col min="45" max="56" width="8.90625" style="23" hidden="1" customWidth="1"/>
    <col min="57" max="57" width="22.81640625" style="23" hidden="1" customWidth="1"/>
    <col min="58" max="58" width="17.453125" style="23" hidden="1" customWidth="1"/>
    <col min="59" max="61" width="8.90625" style="23" hidden="1" customWidth="1"/>
    <col min="62" max="62" width="24" style="23" hidden="1" customWidth="1"/>
    <col min="63" max="63" width="18.6328125" style="23" hidden="1" customWidth="1"/>
    <col min="64" max="64" width="19.6328125" style="23" hidden="1" customWidth="1"/>
    <col min="65" max="79" width="8.90625" style="23" hidden="1" customWidth="1"/>
    <col min="80" max="80" width="26.453125" style="23" hidden="1" customWidth="1"/>
    <col min="81" max="16384" width="8.90625" style="23" hidden="1"/>
  </cols>
  <sheetData>
    <row r="1" spans="1:58" hidden="1">
      <c r="B1" s="65"/>
      <c r="V1" s="65"/>
      <c r="W1" s="65"/>
    </row>
    <row r="2" spans="1:58" hidden="1">
      <c r="B2" s="65"/>
      <c r="V2" s="65"/>
      <c r="W2" s="65"/>
    </row>
    <row r="3" spans="1:58" ht="7.5" customHeight="1" thickBot="1">
      <c r="A3" s="65"/>
      <c r="B3" s="65"/>
      <c r="C3" s="65"/>
      <c r="D3" s="65"/>
      <c r="E3" s="65"/>
      <c r="F3" s="65"/>
      <c r="G3" s="65"/>
      <c r="H3" s="65"/>
      <c r="I3" s="65"/>
      <c r="J3" s="65"/>
      <c r="K3" s="65"/>
      <c r="L3" s="65"/>
      <c r="M3" s="65"/>
      <c r="N3" s="65"/>
      <c r="O3" s="65"/>
      <c r="P3" s="65"/>
      <c r="Q3" s="65"/>
      <c r="R3" s="65"/>
      <c r="S3" s="65"/>
      <c r="T3" s="65"/>
      <c r="U3" s="65"/>
      <c r="V3" s="65"/>
      <c r="W3" s="65"/>
      <c r="X3" s="65"/>
    </row>
    <row r="4" spans="1:58" ht="27.75" customHeight="1">
      <c r="A4" s="65"/>
      <c r="B4" s="65"/>
      <c r="C4" s="239"/>
      <c r="D4" s="240"/>
      <c r="E4" s="240"/>
      <c r="F4" s="240"/>
      <c r="G4" s="240"/>
      <c r="H4" s="240"/>
      <c r="I4" s="240"/>
      <c r="J4" s="240"/>
      <c r="K4" s="240"/>
      <c r="L4" s="240"/>
      <c r="M4" s="240"/>
      <c r="N4" s="240"/>
      <c r="O4" s="240"/>
      <c r="P4" s="240"/>
      <c r="Q4" s="240"/>
      <c r="R4" s="240"/>
      <c r="S4" s="240"/>
      <c r="T4" s="240"/>
      <c r="U4" s="240"/>
      <c r="V4" s="241"/>
      <c r="W4" s="65"/>
      <c r="X4" s="65"/>
    </row>
    <row r="5" spans="1:58" ht="21.75" customHeight="1">
      <c r="A5" s="65"/>
      <c r="B5" s="65"/>
      <c r="C5" s="242"/>
      <c r="D5" s="133"/>
      <c r="E5" s="133"/>
      <c r="F5" s="133"/>
      <c r="G5" s="133"/>
      <c r="H5" s="133"/>
      <c r="I5" s="133"/>
      <c r="J5" s="133"/>
      <c r="K5" s="136" t="s">
        <v>458</v>
      </c>
      <c r="L5" s="136" t="str" vm="959">
        <f>'Enter Parameters'!D17</f>
        <v>York (member)</v>
      </c>
      <c r="M5" s="133"/>
      <c r="N5" s="133"/>
      <c r="O5" s="133"/>
      <c r="P5" s="133"/>
      <c r="Q5" s="133"/>
      <c r="R5" s="133"/>
      <c r="S5" s="133"/>
      <c r="T5" s="133"/>
      <c r="U5" s="133"/>
      <c r="V5" s="243"/>
      <c r="W5" s="65"/>
      <c r="X5" s="65"/>
    </row>
    <row r="6" spans="1:58" ht="21.75" customHeight="1">
      <c r="A6" s="65"/>
      <c r="B6" s="65"/>
      <c r="C6" s="242"/>
      <c r="D6" s="133"/>
      <c r="E6" s="133"/>
      <c r="F6" s="133"/>
      <c r="G6" s="133"/>
      <c r="H6" s="133"/>
      <c r="I6" s="133"/>
      <c r="J6" s="135"/>
      <c r="K6" s="136" t="s">
        <v>153</v>
      </c>
      <c r="L6" s="136" t="str" vm="949">
        <f>'Enter Parameters'!D18</f>
        <v>2016-17</v>
      </c>
      <c r="M6" s="133"/>
      <c r="N6" s="133"/>
      <c r="O6" s="133"/>
      <c r="P6" s="133"/>
      <c r="Q6" s="133"/>
      <c r="R6" s="133"/>
      <c r="S6" s="133"/>
      <c r="T6" s="133"/>
      <c r="U6" s="133"/>
      <c r="V6" s="243"/>
      <c r="W6" s="65"/>
      <c r="X6" s="65"/>
    </row>
    <row r="7" spans="1:58" ht="21.75" customHeight="1">
      <c r="A7" s="65"/>
      <c r="B7" s="65"/>
      <c r="C7" s="242"/>
      <c r="D7" s="137"/>
      <c r="E7" s="133"/>
      <c r="F7" s="133"/>
      <c r="G7" s="133"/>
      <c r="H7" s="133"/>
      <c r="I7" s="133"/>
      <c r="J7" s="133"/>
      <c r="K7" s="136" t="s">
        <v>154</v>
      </c>
      <c r="L7" s="136" t="str" vm="941">
        <f>'Enter Parameters'!D19</f>
        <v>All</v>
      </c>
      <c r="M7" s="133"/>
      <c r="N7" s="133"/>
      <c r="O7" s="133"/>
      <c r="P7" s="133"/>
      <c r="Q7" s="133"/>
      <c r="R7" s="133"/>
      <c r="S7" s="133"/>
      <c r="T7" s="133"/>
      <c r="U7" s="133"/>
      <c r="V7" s="243"/>
      <c r="W7" s="65"/>
      <c r="X7" s="65"/>
    </row>
    <row r="8" spans="1:58" ht="17.25" customHeight="1" thickBot="1">
      <c r="A8" s="65"/>
      <c r="B8" s="65"/>
      <c r="C8" s="244"/>
      <c r="D8" s="245"/>
      <c r="E8" s="245"/>
      <c r="F8" s="245"/>
      <c r="G8" s="245"/>
      <c r="H8" s="245"/>
      <c r="I8" s="245"/>
      <c r="J8" s="245"/>
      <c r="K8" s="245"/>
      <c r="L8" s="245"/>
      <c r="M8" s="245"/>
      <c r="N8" s="245"/>
      <c r="O8" s="245"/>
      <c r="P8" s="245"/>
      <c r="Q8" s="245"/>
      <c r="R8" s="245"/>
      <c r="S8" s="245"/>
      <c r="T8" s="245"/>
      <c r="U8" s="245"/>
      <c r="V8" s="246"/>
      <c r="W8" s="65"/>
      <c r="X8" s="65"/>
    </row>
    <row r="9" spans="1:58" ht="6.75" customHeight="1">
      <c r="A9" s="65"/>
      <c r="B9" s="65"/>
      <c r="C9" s="65"/>
      <c r="D9" s="65"/>
      <c r="E9" s="65"/>
      <c r="F9" s="65"/>
      <c r="G9" s="65"/>
      <c r="H9" s="65"/>
      <c r="I9" s="65"/>
      <c r="J9" s="65"/>
      <c r="K9" s="65"/>
      <c r="L9" s="65"/>
      <c r="M9" s="65"/>
      <c r="N9" s="65"/>
      <c r="O9" s="65"/>
      <c r="P9" s="65"/>
      <c r="Q9" s="65"/>
      <c r="R9" s="65"/>
      <c r="S9" s="65"/>
      <c r="T9" s="65"/>
      <c r="U9" s="65"/>
      <c r="V9" s="65"/>
      <c r="W9" s="65"/>
      <c r="X9" s="65"/>
    </row>
    <row r="10" spans="1:58">
      <c r="A10" s="65"/>
      <c r="B10" s="65"/>
      <c r="C10" s="65"/>
      <c r="D10" s="65"/>
      <c r="E10" s="65"/>
      <c r="F10" s="65"/>
      <c r="G10" s="65"/>
      <c r="H10" s="65"/>
      <c r="I10" s="65"/>
      <c r="J10" s="65"/>
      <c r="K10" s="65"/>
      <c r="L10" s="65"/>
      <c r="M10" s="65"/>
      <c r="N10" s="65"/>
      <c r="O10" s="65"/>
      <c r="P10" s="65"/>
      <c r="Q10" s="65"/>
      <c r="R10" s="65"/>
      <c r="S10" s="65"/>
      <c r="T10" s="65"/>
      <c r="U10" s="65"/>
      <c r="V10" s="65"/>
      <c r="W10" s="65"/>
      <c r="X10" s="65"/>
    </row>
    <row r="11" spans="1:58">
      <c r="A11" s="65"/>
      <c r="B11" s="65"/>
      <c r="C11" s="65"/>
      <c r="D11" s="65"/>
      <c r="E11" s="65"/>
      <c r="F11" s="65"/>
      <c r="G11" s="65"/>
      <c r="H11" s="65"/>
      <c r="I11" s="65"/>
      <c r="J11" s="65"/>
      <c r="K11" s="65"/>
      <c r="L11" s="65"/>
      <c r="M11" s="65"/>
      <c r="N11" s="65"/>
      <c r="O11" s="65"/>
      <c r="P11" s="65"/>
      <c r="Q11" s="65"/>
      <c r="R11" s="65"/>
      <c r="S11" s="65"/>
      <c r="T11" s="65"/>
      <c r="U11" s="65"/>
      <c r="V11" s="65"/>
      <c r="W11" s="65"/>
      <c r="X11" s="65"/>
    </row>
    <row r="12" spans="1:58">
      <c r="A12" s="65"/>
      <c r="B12" s="65"/>
      <c r="C12" s="65"/>
      <c r="D12" s="65"/>
      <c r="E12" s="65"/>
      <c r="F12" s="65"/>
      <c r="G12" s="65"/>
      <c r="H12" s="65"/>
      <c r="I12" s="65"/>
      <c r="J12" s="65"/>
      <c r="K12" s="65"/>
      <c r="L12" s="65"/>
      <c r="M12" s="65"/>
      <c r="N12" s="65"/>
      <c r="O12" s="65"/>
      <c r="P12" s="65"/>
      <c r="Q12" s="65"/>
      <c r="R12" s="65"/>
      <c r="S12" s="65"/>
      <c r="T12" s="65"/>
      <c r="U12" s="65"/>
      <c r="V12" s="65"/>
      <c r="W12" s="65"/>
      <c r="X12" s="65"/>
      <c r="AC12" s="23" t="s">
        <v>0</v>
      </c>
      <c r="AD12" s="23" t="str" vm="1">
        <f>CUBESET("cabcrmsqlrs1 CABReportingCubes Local Advice Event","{[Advice Event Type].[Advice Event Type].&amp;[Gateway AIC Creation],[Advice Event Type].[Advice Event Type].&amp;[Day sheet AIC Creation],[Advice Event Type].[Advice Event Type].&amp;[Enquiry AIC/Outcome Creation]}","(Multiple Items)")</f>
        <v>(Multiple Items)</v>
      </c>
    </row>
    <row r="13" spans="1:58">
      <c r="A13" s="65"/>
      <c r="B13" s="65"/>
      <c r="C13" s="65"/>
      <c r="D13" s="65"/>
      <c r="E13" s="65"/>
      <c r="F13" s="65"/>
      <c r="G13" s="65"/>
      <c r="H13" s="65"/>
      <c r="I13" s="65"/>
      <c r="J13" s="65"/>
      <c r="K13" s="65"/>
      <c r="L13" s="65"/>
      <c r="M13" s="65"/>
      <c r="N13" s="65"/>
      <c r="O13" s="65"/>
      <c r="P13" s="65"/>
      <c r="Q13" s="65"/>
      <c r="R13" s="65"/>
      <c r="S13" s="65"/>
      <c r="T13" s="65"/>
      <c r="U13" s="65"/>
      <c r="V13" s="65"/>
      <c r="W13" s="65"/>
      <c r="X13" s="65"/>
      <c r="AC13" s="23" t="s">
        <v>4</v>
      </c>
      <c r="AD13" s="23" t="str" vm="959">
        <f>'Enter Parameters'!D17</f>
        <v>York (member)</v>
      </c>
      <c r="AL13" s="140" t="s" vm="45">
        <v>42</v>
      </c>
      <c r="AM13" s="141">
        <f>Contacts!C41</f>
        <v>906</v>
      </c>
      <c r="AN13" s="142">
        <f>AM13/SUM($AM$13:$AM$17)</f>
        <v>4.775962045334739E-2</v>
      </c>
    </row>
    <row r="14" spans="1:58">
      <c r="A14" s="65"/>
      <c r="B14" s="65"/>
      <c r="C14" s="65"/>
      <c r="D14" s="65"/>
      <c r="E14" s="65"/>
      <c r="F14" s="65"/>
      <c r="G14" s="65"/>
      <c r="H14" s="65"/>
      <c r="I14" s="65"/>
      <c r="J14" s="65"/>
      <c r="K14" s="65"/>
      <c r="L14" s="65"/>
      <c r="M14" s="65"/>
      <c r="N14" s="65"/>
      <c r="O14" s="65"/>
      <c r="P14" s="65"/>
      <c r="Q14" s="65"/>
      <c r="R14" s="65"/>
      <c r="S14" s="65"/>
      <c r="T14" s="65"/>
      <c r="U14" s="65"/>
      <c r="V14" s="65"/>
      <c r="W14" s="65"/>
      <c r="X14" s="65"/>
      <c r="AC14" s="23" t="s">
        <v>3</v>
      </c>
      <c r="AD14" s="23" t="str" vm="949">
        <f>'Enter Parameters'!D18</f>
        <v>2016-17</v>
      </c>
      <c r="AL14" s="140" t="s">
        <v>142</v>
      </c>
      <c r="AM14" s="141">
        <f>Contacts!C44+AM18+AM19</f>
        <v>948</v>
      </c>
      <c r="AN14" s="142">
        <f t="shared" ref="AN14:AN17" si="0">AM14/SUM($AM$13:$AM$17)</f>
        <v>4.997364259356879E-2</v>
      </c>
    </row>
    <row r="15" spans="1:58">
      <c r="A15" s="65"/>
      <c r="B15" s="65"/>
      <c r="C15" s="65"/>
      <c r="D15" s="65"/>
      <c r="E15" s="65"/>
      <c r="F15" s="65"/>
      <c r="G15" s="65"/>
      <c r="H15" s="65"/>
      <c r="I15" s="65"/>
      <c r="J15" s="65"/>
      <c r="K15" s="65"/>
      <c r="L15" s="65"/>
      <c r="M15" s="65"/>
      <c r="N15" s="65"/>
      <c r="O15" s="65"/>
      <c r="P15" s="65"/>
      <c r="Q15" s="65"/>
      <c r="R15" s="65"/>
      <c r="S15" s="65"/>
      <c r="T15" s="65"/>
      <c r="U15" s="65"/>
      <c r="V15" s="65"/>
      <c r="W15" s="65"/>
      <c r="X15" s="65"/>
      <c r="AC15" s="23" t="s">
        <v>21</v>
      </c>
      <c r="AD15" s="23" t="str" vm="941">
        <f>'Enter Parameters'!D19</f>
        <v>All</v>
      </c>
      <c r="AL15" s="140" t="s" vm="39">
        <v>36</v>
      </c>
      <c r="AM15" s="141">
        <f>Contacts!C40</f>
        <v>6898</v>
      </c>
      <c r="AN15" s="142">
        <f t="shared" si="0"/>
        <v>0.36362677912493413</v>
      </c>
      <c r="BE15" s="23" t="s">
        <v>0</v>
      </c>
      <c r="BF15" s="23" t="str" vm="298">
        <f>CUBEMEMBER("cabcrmsqlrs1 CABReportingCubes Local Advice Event","[Advice Event Type].[Advice Event Type].&amp;[BEF AIC Creation]")</f>
        <v>BEF AIC Creation</v>
      </c>
    </row>
    <row r="16" spans="1:58">
      <c r="A16" s="65"/>
      <c r="B16" s="65"/>
      <c r="C16" s="65"/>
      <c r="D16" s="65"/>
      <c r="E16" s="65"/>
      <c r="F16" s="65"/>
      <c r="G16" s="65"/>
      <c r="H16" s="65"/>
      <c r="I16" s="65"/>
      <c r="J16" s="65"/>
      <c r="K16" s="65"/>
      <c r="L16" s="65"/>
      <c r="M16" s="65"/>
      <c r="N16" s="65"/>
      <c r="O16" s="65"/>
      <c r="P16" s="65"/>
      <c r="Q16" s="65"/>
      <c r="R16" s="65"/>
      <c r="S16" s="65"/>
      <c r="T16" s="65"/>
      <c r="U16" s="65"/>
      <c r="V16" s="65"/>
      <c r="W16" s="65"/>
      <c r="X16" s="65"/>
      <c r="AL16" s="140" t="s" vm="43">
        <v>44</v>
      </c>
      <c r="AM16" s="141">
        <f>Contacts!C43</f>
        <v>6959</v>
      </c>
      <c r="AN16" s="142">
        <f t="shared" si="0"/>
        <v>0.36684238270954139</v>
      </c>
      <c r="BE16" s="23" t="s">
        <v>4</v>
      </c>
      <c r="BF16" s="23" t="str" vm="959">
        <f>'Enter Parameters'!D17</f>
        <v>York (member)</v>
      </c>
    </row>
    <row r="17" spans="1:82" ht="15.6">
      <c r="A17" s="65"/>
      <c r="B17" s="65"/>
      <c r="C17" s="65"/>
      <c r="D17" s="65"/>
      <c r="E17" s="65"/>
      <c r="F17" s="65"/>
      <c r="G17" s="65"/>
      <c r="H17" s="65"/>
      <c r="I17" s="65"/>
      <c r="J17" s="65"/>
      <c r="K17" s="65"/>
      <c r="L17" s="65"/>
      <c r="M17" s="65"/>
      <c r="N17" s="65"/>
      <c r="O17" s="65"/>
      <c r="P17" s="65"/>
      <c r="Q17" s="65"/>
      <c r="R17" s="65"/>
      <c r="S17" s="65"/>
      <c r="T17" s="65"/>
      <c r="U17" s="65"/>
      <c r="V17" s="65"/>
      <c r="W17" s="65"/>
      <c r="X17" s="65"/>
      <c r="AC17" s="23" t="s">
        <v>46</v>
      </c>
      <c r="AD17" s="23" t="str" vm="15">
        <f>CUBEMEMBER("cabcrmsqlrs1 CABReportingCubes Local Advice Event","[Measures].[Number of Advice Events]")</f>
        <v>Number of Advice Events</v>
      </c>
      <c r="AL17" s="140" t="s" vm="41">
        <v>39</v>
      </c>
      <c r="AM17" s="141">
        <f>Contacts!C42</f>
        <v>3259</v>
      </c>
      <c r="AN17" s="142">
        <f t="shared" si="0"/>
        <v>0.17179757511860833</v>
      </c>
      <c r="BE17" s="23" t="s">
        <v>3</v>
      </c>
      <c r="BF17" s="23" t="str" vm="949">
        <f>'Enter Parameters'!D18</f>
        <v>2016-17</v>
      </c>
      <c r="CB17" s="143" t="s">
        <v>105</v>
      </c>
      <c r="CC17" s="144" t="s">
        <v>99</v>
      </c>
      <c r="CD17" s="144" t="s">
        <v>45</v>
      </c>
    </row>
    <row r="18" spans="1:82" ht="15.6">
      <c r="A18" s="65"/>
      <c r="B18" s="65"/>
      <c r="C18" s="65"/>
      <c r="D18" s="65"/>
      <c r="E18" s="65"/>
      <c r="F18" s="65"/>
      <c r="G18" s="65"/>
      <c r="H18" s="65"/>
      <c r="I18" s="65"/>
      <c r="J18" s="65"/>
      <c r="K18" s="65"/>
      <c r="L18" s="65"/>
      <c r="M18" s="65"/>
      <c r="N18" s="65"/>
      <c r="O18" s="65"/>
      <c r="P18" s="65"/>
      <c r="Q18" s="65"/>
      <c r="R18" s="65"/>
      <c r="S18" s="65"/>
      <c r="T18" s="65"/>
      <c r="U18" s="65"/>
      <c r="V18" s="65"/>
      <c r="W18" s="65"/>
      <c r="X18" s="65"/>
      <c r="AA18" s="130">
        <f>RANK($AD18,$AD$18:$AD$32,0)</f>
        <v>1</v>
      </c>
      <c r="AB18" s="130">
        <f>IF(ISNA(IF(VLOOKUP($AA18,$AA17:$AA$18,1,FALSE)=AA18,AA18+AE18,0)),AA18,(IF(VLOOKUP($AA18,$AA$17:$AA18,1,FALSE)=AA18,AA18+AE18,0)))</f>
        <v>1</v>
      </c>
      <c r="AC18" s="29" t="str" vm="20">
        <f>CUBEMEMBER("cabcrmsqlrs1 CABReportingCubes Local Advice Event","[AIC Outcome].[AIC Part1].&amp;[Benefits &amp; tax credits]")</f>
        <v>Benefits &amp; tax credits</v>
      </c>
      <c r="AD18" s="145" vm="1173">
        <f t="shared" ref="AD18:AD33" si="1">CUBEVALUE("cabcrmsqlrs1 CABReportingCubes Local Advice Event",$AD$12,$AD$13,$AD$14,$AD$15,$AC18,AD$17)</f>
        <v>5259</v>
      </c>
      <c r="AE18" s="23">
        <f>COUNTIF($AA$18:$AA$18,$AA18)-1</f>
        <v>0</v>
      </c>
      <c r="AG18" s="23">
        <v>1</v>
      </c>
      <c r="AH18" s="23" t="str" vm="20">
        <f>VLOOKUP(AG18,$AB$18:$AC$32,2,FALSE)</f>
        <v>Benefits &amp; tax credits</v>
      </c>
      <c r="AI18" s="141" vm="1173">
        <f>VLOOKUP(AH18,$AC$18:$AD$32,2,FALSE)</f>
        <v>5259</v>
      </c>
      <c r="AL18" s="140" t="s" vm="38">
        <v>40</v>
      </c>
      <c r="AM18" s="141">
        <f>Contacts!C46</f>
        <v>0</v>
      </c>
      <c r="AN18" s="142">
        <f>AM18/SUM($AM$13:$AM$18)</f>
        <v>0</v>
      </c>
      <c r="AP18" s="225" t="s">
        <v>0</v>
      </c>
      <c r="AQ18" s="226" t="s" vm="1">
        <v>2</v>
      </c>
      <c r="BE18" s="23" t="s">
        <v>21</v>
      </c>
      <c r="BF18" s="23" t="str" vm="941">
        <f>'Enter Parameters'!D19</f>
        <v>All</v>
      </c>
      <c r="BJ18" s="225" t="s">
        <v>0</v>
      </c>
      <c r="BK18" s="226" t="s" vm="1">
        <v>2</v>
      </c>
      <c r="CB18" s="146" t="s">
        <v>224</v>
      </c>
      <c r="CC18" s="147">
        <f>Client_Profile!C89+Client_Profile!C90</f>
        <v>1704</v>
      </c>
      <c r="CD18" s="148">
        <f>Client_Profile!D89+Client_Profile!D90</f>
        <v>0.49635886979318378</v>
      </c>
    </row>
    <row r="19" spans="1:82" ht="15.6">
      <c r="A19" s="65"/>
      <c r="B19" s="65"/>
      <c r="C19" s="65"/>
      <c r="D19" s="65"/>
      <c r="E19" s="65"/>
      <c r="F19" s="65"/>
      <c r="G19" s="65"/>
      <c r="H19" s="65"/>
      <c r="I19" s="65"/>
      <c r="J19" s="65"/>
      <c r="K19" s="65"/>
      <c r="L19" s="65"/>
      <c r="M19" s="65"/>
      <c r="N19" s="65"/>
      <c r="O19" s="65"/>
      <c r="P19" s="65"/>
      <c r="Q19" s="65"/>
      <c r="R19" s="65"/>
      <c r="S19" s="65"/>
      <c r="T19" s="65"/>
      <c r="U19" s="65"/>
      <c r="V19" s="65"/>
      <c r="W19" s="65"/>
      <c r="X19" s="65"/>
      <c r="AA19" s="130">
        <f t="shared" ref="AA19:AA32" si="2">RANK($AD19,$AD$18:$AD$32,0)</f>
        <v>9</v>
      </c>
      <c r="AB19" s="130">
        <f>IF(ISNA(IF(VLOOKUP($AA19,$AA18:$AA$18,1,FALSE)=AA19,AA19+AE19,0)),AA19,(IF(VLOOKUP($AA19,$AA$18:$AA18,1,FALSE)=AA19,AA19+AE19,0)))</f>
        <v>9</v>
      </c>
      <c r="AC19" s="29" t="str" vm="12">
        <f>CUBEMEMBER("cabcrmsqlrs1 CABReportingCubes Local Advice Event","[AIC Outcome].[AIC Part1].&amp;[Consumer goods &amp; services]")</f>
        <v>Consumer goods &amp; services</v>
      </c>
      <c r="AD19" s="145" vm="1220">
        <f t="shared" si="1"/>
        <v>339</v>
      </c>
      <c r="AE19" s="23">
        <f>COUNTIF($AA$18:$AA$19,$AA19)-1</f>
        <v>0</v>
      </c>
      <c r="AG19" s="23">
        <v>2</v>
      </c>
      <c r="AH19" s="23" t="str" vm="10">
        <f t="shared" ref="AH19:AH22" si="3">VLOOKUP(AG19,$AB$18:$AC$32,2,FALSE)</f>
        <v>Debt</v>
      </c>
      <c r="AI19" s="141" vm="1221">
        <f t="shared" ref="AI19:AI22" si="4">VLOOKUP(AH19,$AC$18:$AD$32,2,FALSE)</f>
        <v>3634</v>
      </c>
      <c r="AL19" s="140" t="s" vm="40">
        <v>38</v>
      </c>
      <c r="AM19" s="141">
        <f>Contacts!C45</f>
        <v>0</v>
      </c>
      <c r="AN19" s="142">
        <f>AM19/SUM($AM$13:$AM$18)</f>
        <v>0</v>
      </c>
      <c r="AP19" s="225" t="s">
        <v>4</v>
      </c>
      <c r="AQ19" s="226" t="s" vm="2">
        <v>1</v>
      </c>
      <c r="BJ19" s="225" t="s">
        <v>4</v>
      </c>
      <c r="BK19" s="226" t="s" vm="2">
        <v>1</v>
      </c>
      <c r="CB19" s="146" t="s" vm="155">
        <v>84</v>
      </c>
      <c r="CC19" s="147">
        <f>Client_Profile!C91</f>
        <v>1729</v>
      </c>
      <c r="CD19" s="148">
        <f>Client_Profile!D91</f>
        <v>0.50364113020681622</v>
      </c>
    </row>
    <row r="20" spans="1:82">
      <c r="A20" s="65"/>
      <c r="B20" s="65"/>
      <c r="C20" s="65"/>
      <c r="D20" s="65"/>
      <c r="E20" s="65"/>
      <c r="F20" s="65"/>
      <c r="G20" s="65"/>
      <c r="H20" s="65"/>
      <c r="I20" s="65"/>
      <c r="J20" s="65"/>
      <c r="K20" s="65"/>
      <c r="L20" s="65"/>
      <c r="M20" s="65"/>
      <c r="N20" s="65"/>
      <c r="O20" s="65"/>
      <c r="P20" s="65"/>
      <c r="Q20" s="65"/>
      <c r="R20" s="65"/>
      <c r="S20" s="65"/>
      <c r="T20" s="65"/>
      <c r="U20" s="65"/>
      <c r="V20" s="65"/>
      <c r="W20" s="65"/>
      <c r="X20" s="65"/>
      <c r="AA20" s="130">
        <f t="shared" si="2"/>
        <v>2</v>
      </c>
      <c r="AB20" s="130">
        <f>IF(ISNA(IF(VLOOKUP($AA20,$AA$18:$AA19,1,FALSE)=AA20,AA20+AE20,0)),AA20,(IF(VLOOKUP($AA20,$AA$18:$AA19,1,FALSE)=AA20,AA20+AE20,0)))</f>
        <v>2</v>
      </c>
      <c r="AC20" s="29" t="str" vm="10">
        <f>CUBEMEMBER("cabcrmsqlrs1 CABReportingCubes Local Advice Event","[AIC Outcome].[AIC Part1].&amp;[Debt]")</f>
        <v>Debt</v>
      </c>
      <c r="AD20" s="145" vm="1221">
        <f t="shared" si="1"/>
        <v>3634</v>
      </c>
      <c r="AE20" s="23">
        <f>COUNTIF($AA$18:$AA20,$AA20)-1</f>
        <v>0</v>
      </c>
      <c r="AG20" s="23">
        <v>3</v>
      </c>
      <c r="AH20" s="23" t="str" vm="13">
        <f t="shared" si="3"/>
        <v>Employment</v>
      </c>
      <c r="AI20" s="141" vm="1223">
        <f t="shared" si="4"/>
        <v>948</v>
      </c>
      <c r="AP20" s="225" t="s">
        <v>3</v>
      </c>
      <c r="AQ20" s="226" t="s" vm="949">
        <v>405</v>
      </c>
      <c r="BE20" s="23" t="str" vm="15">
        <f>CUBEMEMBER("cabcrmsqlrs1 CABReportingCubes Local Advice Event","[Measures].[Number of Advice Events]")</f>
        <v>Number of Advice Events</v>
      </c>
      <c r="BJ20" s="225" t="s">
        <v>3</v>
      </c>
      <c r="BK20" s="226" t="s" vm="949">
        <v>405</v>
      </c>
    </row>
    <row r="21" spans="1:82" ht="15.6">
      <c r="A21" s="65"/>
      <c r="B21" s="65"/>
      <c r="C21" s="65"/>
      <c r="D21" s="65"/>
      <c r="E21" s="65"/>
      <c r="F21" s="65"/>
      <c r="G21" s="65"/>
      <c r="H21" s="65"/>
      <c r="I21" s="65"/>
      <c r="J21" s="65"/>
      <c r="K21" s="65"/>
      <c r="L21" s="65"/>
      <c r="M21" s="65"/>
      <c r="N21" s="65"/>
      <c r="O21" s="65"/>
      <c r="P21" s="65"/>
      <c r="Q21" s="65"/>
      <c r="R21" s="65"/>
      <c r="S21" s="65"/>
      <c r="T21" s="65"/>
      <c r="U21" s="65"/>
      <c r="V21" s="65"/>
      <c r="W21" s="65"/>
      <c r="X21" s="65"/>
      <c r="AA21" s="130">
        <f t="shared" si="2"/>
        <v>15</v>
      </c>
      <c r="AB21" s="130">
        <f>IF(ISNA(IF(VLOOKUP($AA21,$AA$18:$AA20,1,FALSE)=AA21,AA21+AE21,0)),AA21,(IF(VLOOKUP($AA21,$AA$18:$AA20,1,FALSE)=AA21,AA21+AE21,0)))</f>
        <v>15</v>
      </c>
      <c r="AC21" s="29" t="str" vm="6">
        <f>CUBEMEMBER("cabcrmsqlrs1 CABReportingCubes Local Advice Event","[AIC Outcome].[AIC Part1].&amp;[Education]")</f>
        <v>Education</v>
      </c>
      <c r="AD21" s="145" vm="1286">
        <f t="shared" si="1"/>
        <v>42</v>
      </c>
      <c r="AE21" s="23">
        <f>COUNTIF($AA$18:$AA21,$AA21)-1</f>
        <v>0</v>
      </c>
      <c r="AG21" s="23">
        <v>4</v>
      </c>
      <c r="AH21" s="23" t="str" vm="5">
        <f t="shared" si="3"/>
        <v>Housing</v>
      </c>
      <c r="AI21" s="141" vm="1326">
        <f t="shared" si="4"/>
        <v>908</v>
      </c>
      <c r="AP21" s="225" t="s">
        <v>21</v>
      </c>
      <c r="AQ21" s="226" t="s" vm="941">
        <v>1</v>
      </c>
      <c r="BE21" s="149" vm="1116">
        <f>CUBEVALUE("cabcrmsqlrs1 CABReportingCubes Local Advice Event",$BF$15,$BF$16,$BF$17,$BF$18,$BE$20)</f>
        <v>313</v>
      </c>
      <c r="BJ21" s="225" t="s">
        <v>21</v>
      </c>
      <c r="BK21" s="226" t="s" vm="941">
        <v>1</v>
      </c>
    </row>
    <row r="22" spans="1:82">
      <c r="A22" s="65"/>
      <c r="B22" s="65"/>
      <c r="C22" s="65"/>
      <c r="D22" s="65"/>
      <c r="E22" s="65"/>
      <c r="F22" s="65"/>
      <c r="G22" s="65"/>
      <c r="H22" s="65"/>
      <c r="I22" s="65"/>
      <c r="J22" s="65"/>
      <c r="K22" s="65"/>
      <c r="L22" s="65"/>
      <c r="M22" s="65"/>
      <c r="N22" s="65"/>
      <c r="O22" s="65"/>
      <c r="P22" s="65"/>
      <c r="Q22" s="65"/>
      <c r="R22" s="65"/>
      <c r="S22" s="65"/>
      <c r="T22" s="65"/>
      <c r="U22" s="65"/>
      <c r="V22" s="65"/>
      <c r="W22" s="65"/>
      <c r="X22" s="65"/>
      <c r="AA22" s="130">
        <f t="shared" si="2"/>
        <v>3</v>
      </c>
      <c r="AB22" s="130">
        <f>IF(ISNA(IF(VLOOKUP($AA22,$AA$18:$AA21,1,FALSE)=AA22,AA22+AE22,0)),AA22,(IF(VLOOKUP($AA22,$AA$18:$AA21,1,FALSE)=AA22,AA22+AE22,0)))</f>
        <v>3</v>
      </c>
      <c r="AC22" s="29" t="str" vm="13">
        <f>CUBEMEMBER("cabcrmsqlrs1 CABReportingCubes Local Advice Event","[AIC Outcome].[AIC Part1].&amp;[Employment]")</f>
        <v>Employment</v>
      </c>
      <c r="AD22" s="145" vm="1223">
        <f t="shared" si="1"/>
        <v>948</v>
      </c>
      <c r="AE22" s="23">
        <f>COUNTIF($AA$18:$AA22,$AA22)-1</f>
        <v>0</v>
      </c>
      <c r="AG22" s="23">
        <v>5</v>
      </c>
      <c r="AH22" s="23" t="str" vm="9">
        <f t="shared" si="3"/>
        <v>Other</v>
      </c>
      <c r="AI22" s="141" vm="1239">
        <f t="shared" si="4"/>
        <v>611</v>
      </c>
      <c r="AL22" s="23" t="s">
        <v>145</v>
      </c>
      <c r="AM22" s="141">
        <f>'Enquiry - Gateway'!C21+'Enquiry - Gateway'!C23</f>
        <v>1096</v>
      </c>
      <c r="AN22" s="142">
        <f>AM22/$AM$25</f>
        <v>0.19536541889483067</v>
      </c>
      <c r="BE22" s="141" vm="1001">
        <f>'AIC1'!C37</f>
        <v>14371</v>
      </c>
    </row>
    <row r="23" spans="1:82" ht="15.6">
      <c r="A23" s="65"/>
      <c r="B23" s="65"/>
      <c r="C23" s="65"/>
      <c r="D23" s="65"/>
      <c r="E23" s="65"/>
      <c r="F23" s="65"/>
      <c r="G23" s="65"/>
      <c r="H23" s="65"/>
      <c r="I23" s="65"/>
      <c r="J23" s="65"/>
      <c r="K23" s="65"/>
      <c r="L23" s="65"/>
      <c r="M23" s="65"/>
      <c r="N23" s="65"/>
      <c r="O23" s="65"/>
      <c r="P23" s="65"/>
      <c r="Q23" s="65"/>
      <c r="R23" s="65"/>
      <c r="S23" s="65"/>
      <c r="T23" s="65"/>
      <c r="U23" s="65"/>
      <c r="V23" s="65"/>
      <c r="W23" s="65"/>
      <c r="X23" s="65"/>
      <c r="AA23" s="130">
        <f t="shared" si="2"/>
        <v>8</v>
      </c>
      <c r="AB23" s="130">
        <f>IF(ISNA(IF(VLOOKUP($AA23,$AA$18:$AA22,1,FALSE)=AA23,AA23+AE23,0)),AA23,(IF(VLOOKUP($AA23,$AA$18:$AA22,1,FALSE)=AA23,AA23+AE23,0)))</f>
        <v>8</v>
      </c>
      <c r="AC23" s="29" t="str" vm="18">
        <f>CUBEMEMBER("cabcrmsqlrs1 CABReportingCubes Local Advice Event","[AIC Outcome].[AIC Part1].&amp;[Financial services &amp; capability]")</f>
        <v>Financial services &amp; capability</v>
      </c>
      <c r="AD23" s="145" vm="1325">
        <f t="shared" si="1"/>
        <v>404</v>
      </c>
      <c r="AE23" s="23">
        <f>COUNTIF($AA$18:$AA23,$AA23)-1</f>
        <v>0</v>
      </c>
      <c r="AH23" s="23" t="s">
        <v>223</v>
      </c>
      <c r="AI23" s="141">
        <f>AD33-SUM(AI18:AI22)</f>
        <v>3011</v>
      </c>
      <c r="AL23" s="23" t="s">
        <v>24</v>
      </c>
      <c r="AM23" s="141">
        <f>'Enquiry - Gateway'!C18+'Enquiry - Gateway'!C19+'Enquiry - Gateway'!C20</f>
        <v>2172</v>
      </c>
      <c r="AN23" s="142">
        <f t="shared" ref="AN23:AN25" si="5">AM23/$AM$25</f>
        <v>0.3871657754010695</v>
      </c>
      <c r="AP23" s="225" t="s">
        <v>46</v>
      </c>
      <c r="AQ23" s="226" t="s">
        <v>116</v>
      </c>
      <c r="AR23" s="226" t="s">
        <v>6</v>
      </c>
      <c r="BE23" s="150">
        <f>BE21/BE22</f>
        <v>2.1779973557859579E-2</v>
      </c>
      <c r="BJ23" s="225" t="s">
        <v>46</v>
      </c>
      <c r="BK23" s="226" t="s">
        <v>6</v>
      </c>
      <c r="BL23" s="226" t="s">
        <v>116</v>
      </c>
    </row>
    <row r="24" spans="1:82">
      <c r="A24" s="65"/>
      <c r="B24" s="65"/>
      <c r="C24" s="65"/>
      <c r="D24" s="65"/>
      <c r="E24" s="65"/>
      <c r="F24" s="65"/>
      <c r="G24" s="65"/>
      <c r="H24" s="65"/>
      <c r="I24" s="65"/>
      <c r="J24" s="65"/>
      <c r="K24" s="65"/>
      <c r="L24" s="65"/>
      <c r="M24" s="65"/>
      <c r="N24" s="65"/>
      <c r="O24" s="65"/>
      <c r="P24" s="65"/>
      <c r="Q24" s="65"/>
      <c r="R24" s="65"/>
      <c r="S24" s="65"/>
      <c r="T24" s="65"/>
      <c r="U24" s="65"/>
      <c r="V24" s="65"/>
      <c r="W24" s="65"/>
      <c r="X24" s="65"/>
      <c r="AA24" s="130">
        <f t="shared" si="2"/>
        <v>12</v>
      </c>
      <c r="AB24" s="130">
        <f>IF(ISNA(IF(VLOOKUP($AA24,$AA$18:$AA23,1,FALSE)=AA24,AA24+AE24,0)),AA24,(IF(VLOOKUP($AA24,$AA$18:$AA23,1,FALSE)=AA24,AA24+AE24,0)))</f>
        <v>12</v>
      </c>
      <c r="AC24" s="29" t="str" vm="14">
        <f>CUBEMEMBER("cabcrmsqlrs1 CABReportingCubes Local Advice Event","[AIC Outcome].[AIC Part1].&amp;[Health &amp; community care]")</f>
        <v>Health &amp; community care</v>
      </c>
      <c r="AD24" s="145" vm="1012">
        <f t="shared" si="1"/>
        <v>202</v>
      </c>
      <c r="AE24" s="23">
        <f>COUNTIF($AA$18:$AA24,$AA24)-1</f>
        <v>0</v>
      </c>
      <c r="AL24" s="23" t="s">
        <v>461</v>
      </c>
      <c r="AM24" s="141">
        <f>'Enquiry - Gateway'!C24+'Enquiry - Gateway'!C22</f>
        <v>2342</v>
      </c>
      <c r="AN24" s="142">
        <f t="shared" si="5"/>
        <v>0.41746880570409983</v>
      </c>
      <c r="AP24" s="227" t="s">
        <v>1420</v>
      </c>
      <c r="AQ24" s="279">
        <v>15</v>
      </c>
      <c r="AR24" s="279">
        <v>1</v>
      </c>
      <c r="AU24" s="23" t="str">
        <f>INDEX($AP$24:$AP$500,MATCH(1,$AQ$24:$AQ$500,0))</f>
        <v>York</v>
      </c>
      <c r="AY24" s="23">
        <v>1</v>
      </c>
      <c r="AZ24" s="23">
        <f>IF(AU24="Not recorded/not applicable",0,1)</f>
        <v>1</v>
      </c>
      <c r="BA24" s="23" t="str">
        <f>AU24</f>
        <v>York</v>
      </c>
      <c r="BB24" s="23" t="str">
        <f>IF(ISNA(VLOOKUP(1,$AZ$24:$BA$29,2,FALSE)),"",VLOOKUP(1,$AZ$24:$BA$29,2,FALSE))</f>
        <v>York</v>
      </c>
      <c r="BC24" s="23">
        <f>IF(ISNA(VLOOKUP(BB24,$AP$24:$AR$500,3,FALSE)),"",VLOOKUP(BB24,$AP$24:$AR$500,3,FALSE))</f>
        <v>2913</v>
      </c>
      <c r="BG24" s="130">
        <f>RANK($BL24,$BL$24:$BL$432,0)</f>
        <v>19</v>
      </c>
      <c r="BH24" s="130">
        <f>IF(ISNA(IF(VLOOKUP($BG24,$BG$23:$BG23,1,FALSE)=BG24,BG24+BI24,0)),BG24,(IF(VLOOKUP($BG24,$BG$23:$BG23,1,FALSE)=BG24,BG24+BI24,0)))</f>
        <v>19</v>
      </c>
      <c r="BI24" s="23">
        <f>COUNTIF($BG$24:$BG24,BG24)-1</f>
        <v>0</v>
      </c>
      <c r="BJ24" s="227" t="s">
        <v>1355</v>
      </c>
      <c r="BK24" s="279">
        <v>17</v>
      </c>
      <c r="BL24" s="279">
        <v>1</v>
      </c>
      <c r="BO24" s="23" t="str">
        <f>VLOOKUP(BS24,$BH$24:$BJ$432,3,FALSE)</f>
        <v>York Central</v>
      </c>
      <c r="BS24" s="23">
        <v>1</v>
      </c>
      <c r="BT24" s="23">
        <f>IF(BO24="Not recorded/not applicable",0,1)</f>
        <v>1</v>
      </c>
      <c r="BU24" s="23" t="str">
        <f>BO24</f>
        <v>York Central</v>
      </c>
      <c r="BV24" s="23" t="str">
        <f t="shared" ref="BV24:BV29" si="6">IF(ISERROR(VLOOKUP($BS24,$BT$24:$BU$29,2,FALSE)),"",VLOOKUP($BS24,$BT$24:$BU$29,2,FALSE))</f>
        <v>York Central</v>
      </c>
      <c r="BW24" s="23">
        <f t="shared" ref="BW24:BW29" si="7">IF(ISERROR(VLOOKUP($BV24,$BJ$24:$BL$716,3,FALSE)),"",VLOOKUP($BV24,$BJ$24:$BL$716,3,FALSE))</f>
        <v>2061</v>
      </c>
    </row>
    <row r="25" spans="1:82">
      <c r="A25" s="65"/>
      <c r="B25" s="65"/>
      <c r="C25" s="65"/>
      <c r="D25" s="65"/>
      <c r="E25" s="65"/>
      <c r="F25" s="65"/>
      <c r="G25" s="65"/>
      <c r="H25" s="65"/>
      <c r="I25" s="65"/>
      <c r="J25" s="65"/>
      <c r="K25" s="65"/>
      <c r="L25" s="65"/>
      <c r="M25" s="65"/>
      <c r="N25" s="65"/>
      <c r="O25" s="65"/>
      <c r="P25" s="65"/>
      <c r="Q25" s="65"/>
      <c r="R25" s="65"/>
      <c r="S25" s="65"/>
      <c r="T25" s="65"/>
      <c r="U25" s="65"/>
      <c r="V25" s="65"/>
      <c r="W25" s="65"/>
      <c r="X25" s="65"/>
      <c r="AA25" s="130">
        <f t="shared" si="2"/>
        <v>4</v>
      </c>
      <c r="AB25" s="130">
        <f>IF(ISNA(IF(VLOOKUP($AA25,$AA$18:$AA24,1,FALSE)=AA25,AA25+AE25,0)),AA25,(IF(VLOOKUP($AA25,$AA$18:$AA24,1,FALSE)=AA25,AA25+AE25,0)))</f>
        <v>4</v>
      </c>
      <c r="AC25" s="29" t="str" vm="5">
        <f>CUBEMEMBER("cabcrmsqlrs1 CABReportingCubes Local Advice Event","[AIC Outcome].[AIC Part1].&amp;[Housing]")</f>
        <v>Housing</v>
      </c>
      <c r="AD25" s="145" vm="1326">
        <f t="shared" si="1"/>
        <v>908</v>
      </c>
      <c r="AE25" s="23">
        <f>COUNTIF($AA$18:$AA25,$AA25)-1</f>
        <v>0</v>
      </c>
      <c r="AL25" s="23" t="s">
        <v>146</v>
      </c>
      <c r="AM25" s="141">
        <f>SUM(AM22:AM24)</f>
        <v>5610</v>
      </c>
      <c r="AN25" s="142">
        <f t="shared" si="5"/>
        <v>1</v>
      </c>
      <c r="AP25" s="227" t="s">
        <v>1421</v>
      </c>
      <c r="AQ25" s="279">
        <v>15</v>
      </c>
      <c r="AR25" s="279">
        <v>1</v>
      </c>
      <c r="AU25" s="23" t="str">
        <f>INDEX($AP$24:$AP$500,MATCH(2,$AQ$24:$AQ$500,0))</f>
        <v>East Riding of Yorkshire</v>
      </c>
      <c r="AY25" s="23">
        <v>2</v>
      </c>
      <c r="AZ25" s="23">
        <f>IF(AU25="Not recorded/not applicable",0,COUNTIF($AZ$24:AZ24,"&gt;0")+1)</f>
        <v>2</v>
      </c>
      <c r="BA25" s="23" t="str">
        <f t="shared" ref="BA25:BA29" si="8">AU25</f>
        <v>East Riding of Yorkshire</v>
      </c>
      <c r="BB25" s="23" t="str">
        <f>IF(ISNA(VLOOKUP(2,$AZ$24:$BA$29,2,FALSE)),"",VLOOKUP(2,$AZ$24:$BA$29,2,FALSE))</f>
        <v>East Riding of Yorkshire</v>
      </c>
      <c r="BC25" s="23">
        <f>IF(ISNA(VLOOKUP(BB25,$AP$24:$AR$500,3,FALSE)),"",VLOOKUP(BB25,$AP$24:$AR$500,3,FALSE))</f>
        <v>161</v>
      </c>
      <c r="BG25" s="130">
        <f t="shared" ref="BG25:BG88" si="9">RANK($BL25,$BL$24:$BL$432,0)</f>
        <v>19</v>
      </c>
      <c r="BH25" s="130">
        <f>IF(ISNA(IF(VLOOKUP($BG25,$BG$24:$BG24,1,FALSE)=BG25,BG25+BI25,0)),BG25,(IF(VLOOKUP($BG25,$BG$24:$BG24,1,FALSE)=BG25,BG25+BI25,0)))</f>
        <v>20</v>
      </c>
      <c r="BI25" s="23">
        <f>COUNTIF($BG$24:$BG25,BG25)-1</f>
        <v>1</v>
      </c>
      <c r="BJ25" s="227" t="s">
        <v>1356</v>
      </c>
      <c r="BK25" s="279">
        <v>17</v>
      </c>
      <c r="BL25" s="279">
        <v>1</v>
      </c>
      <c r="BO25" s="23" t="str">
        <f t="shared" ref="BO25:BO29" si="10">VLOOKUP(BS25,$BH$24:$BJ$432,3,FALSE)</f>
        <v>York Outer</v>
      </c>
      <c r="BS25" s="23">
        <v>2</v>
      </c>
      <c r="BT25" s="23">
        <f>IF(BO25="Not recorded/not applicable",0,COUNTIF($BT$24:BT24,"&gt;0")+1)</f>
        <v>2</v>
      </c>
      <c r="BU25" s="23" t="str">
        <f t="shared" ref="BU25:BU29" si="11">BO25</f>
        <v>York Outer</v>
      </c>
      <c r="BV25" s="23" t="str">
        <f t="shared" si="6"/>
        <v>York Outer</v>
      </c>
      <c r="BW25" s="23">
        <f t="shared" si="7"/>
        <v>861</v>
      </c>
    </row>
    <row r="26" spans="1:82">
      <c r="A26" s="65"/>
      <c r="B26" s="65"/>
      <c r="C26" s="65"/>
      <c r="D26" s="65"/>
      <c r="E26" s="65"/>
      <c r="F26" s="65"/>
      <c r="G26" s="65"/>
      <c r="H26" s="65"/>
      <c r="I26" s="65"/>
      <c r="J26" s="65"/>
      <c r="K26" s="65"/>
      <c r="L26" s="65"/>
      <c r="M26" s="65"/>
      <c r="N26" s="65"/>
      <c r="O26" s="65"/>
      <c r="P26" s="65"/>
      <c r="Q26" s="65"/>
      <c r="R26" s="65"/>
      <c r="S26" s="65"/>
      <c r="T26" s="65"/>
      <c r="U26" s="65"/>
      <c r="V26" s="65"/>
      <c r="W26" s="65"/>
      <c r="X26" s="65"/>
      <c r="AA26" s="130">
        <f t="shared" si="2"/>
        <v>11</v>
      </c>
      <c r="AB26" s="130">
        <f>IF(ISNA(IF(VLOOKUP($AA26,$AA$18:$AA25,1,FALSE)=AA26,AA26+AE26,0)),AA26,(IF(VLOOKUP($AA26,$AA$18:$AA25,1,FALSE)=AA26,AA26+AE26,0)))</f>
        <v>11</v>
      </c>
      <c r="AC26" s="29" t="str" vm="17">
        <f>CUBEMEMBER("cabcrmsqlrs1 CABReportingCubes Local Advice Event","[AIC Outcome].[AIC Part1].&amp;[Immigration &amp; asylum]")</f>
        <v>Immigration &amp; asylum</v>
      </c>
      <c r="AD26" s="145" vm="1011">
        <f t="shared" si="1"/>
        <v>299</v>
      </c>
      <c r="AE26" s="23">
        <f>COUNTIF($AA$18:$AA26,$AA26)-1</f>
        <v>0</v>
      </c>
      <c r="AP26" s="227" t="s">
        <v>1422</v>
      </c>
      <c r="AQ26" s="279">
        <v>15</v>
      </c>
      <c r="AR26" s="279">
        <v>1</v>
      </c>
      <c r="AU26" s="23" t="str">
        <f>INDEX($AP$24:$AP$500,MATCH(3,$AQ$24:$AQ$500,0))</f>
        <v>Selby</v>
      </c>
      <c r="AY26" s="23">
        <v>3</v>
      </c>
      <c r="AZ26" s="23">
        <f>IF(AU26="Not recorded/not applicable",0,COUNTIF($AZ$24:AZ25,"&gt;0")+1)</f>
        <v>3</v>
      </c>
      <c r="BA26" s="23" t="str">
        <f t="shared" si="8"/>
        <v>Selby</v>
      </c>
      <c r="BB26" s="23" t="str">
        <f>IF(ISNA(VLOOKUP(3,$AZ$24:$BA$29,2,FALSE)),"",VLOOKUP(3,$AZ$24:$BA$29,2,FALSE))</f>
        <v>Selby</v>
      </c>
      <c r="BC26" s="23">
        <f>IF(ISNA(VLOOKUP(BB26,$AP$24:$AR$500,3,FALSE)),"",VLOOKUP(BB26,$AP$24:$AR$500,3,FALSE))</f>
        <v>108</v>
      </c>
      <c r="BG26" s="130">
        <f t="shared" si="9"/>
        <v>11</v>
      </c>
      <c r="BH26" s="130">
        <f>IF(ISNA(IF(VLOOKUP($BG26,$BG$24:$BG25,1,FALSE)=BG26,BG26+BI26,0)),BG26,(IF(VLOOKUP($BG26,$BG$24:$BG25,1,FALSE)=BG26,BG26+BI26,0)))</f>
        <v>11</v>
      </c>
      <c r="BI26" s="23">
        <f>COUNTIF($BG$24:$BG26,BG26)-1</f>
        <v>0</v>
      </c>
      <c r="BJ26" s="227" t="s">
        <v>1357</v>
      </c>
      <c r="BK26" s="279">
        <v>9</v>
      </c>
      <c r="BL26" s="279">
        <v>41</v>
      </c>
      <c r="BO26" s="23" t="str">
        <f t="shared" si="10"/>
        <v>Selby and Ainsty</v>
      </c>
      <c r="BS26" s="23">
        <v>3</v>
      </c>
      <c r="BT26" s="23">
        <f>IF(BO26="Not recorded/not applicable",0,COUNTIF($BT$24:BT25,"&gt;0")+1)</f>
        <v>3</v>
      </c>
      <c r="BU26" s="23" t="str">
        <f t="shared" si="11"/>
        <v>Selby and Ainsty</v>
      </c>
      <c r="BV26" s="23" t="str">
        <f t="shared" si="6"/>
        <v>Selby and Ainsty</v>
      </c>
      <c r="BW26" s="23">
        <f t="shared" si="7"/>
        <v>121</v>
      </c>
    </row>
    <row r="27" spans="1:82">
      <c r="A27" s="65"/>
      <c r="B27" s="65"/>
      <c r="C27" s="65"/>
      <c r="D27" s="65"/>
      <c r="E27" s="65"/>
      <c r="F27" s="65"/>
      <c r="G27" s="65"/>
      <c r="H27" s="65"/>
      <c r="I27" s="65"/>
      <c r="J27" s="65"/>
      <c r="K27" s="65"/>
      <c r="L27" s="65"/>
      <c r="M27" s="65"/>
      <c r="N27" s="65"/>
      <c r="O27" s="65"/>
      <c r="P27" s="65"/>
      <c r="Q27" s="65"/>
      <c r="R27" s="65"/>
      <c r="S27" s="65"/>
      <c r="T27" s="65"/>
      <c r="U27" s="65"/>
      <c r="V27" s="65"/>
      <c r="W27" s="65"/>
      <c r="X27" s="65"/>
      <c r="AA27" s="130">
        <f t="shared" si="2"/>
        <v>7</v>
      </c>
      <c r="AB27" s="130">
        <f>IF(ISNA(IF(VLOOKUP($AA27,$AA$18:$AA26,1,FALSE)=AA27,AA27+AE27,0)),AA27,(IF(VLOOKUP($AA27,$AA$18:$AA26,1,FALSE)=AA27,AA27+AE27,0)))</f>
        <v>7</v>
      </c>
      <c r="AC27" s="29" t="str" vm="16">
        <f>CUBEMEMBER("cabcrmsqlrs1 CABReportingCubes Local Advice Event","[AIC Outcome].[AIC Part1].&amp;[Legal]")</f>
        <v>Legal</v>
      </c>
      <c r="AD27" s="145" vm="1056">
        <f t="shared" si="1"/>
        <v>538</v>
      </c>
      <c r="AE27" s="23">
        <f>COUNTIF($AA$18:$AA27,$AA27)-1</f>
        <v>0</v>
      </c>
      <c r="AP27" s="227" t="s">
        <v>1423</v>
      </c>
      <c r="AQ27" s="279">
        <v>15</v>
      </c>
      <c r="AR27" s="279">
        <v>1</v>
      </c>
      <c r="AU27" s="23" t="str">
        <f>INDEX($AP$24:$AP$500,MATCH(4,$AQ$24:$AQ$500,0))</f>
        <v>Not recorded/not applicable</v>
      </c>
      <c r="AY27" s="23">
        <v>4</v>
      </c>
      <c r="AZ27" s="23">
        <f>IF(AU27="Not recorded/not applicable",0,COUNTIF($AZ$24:AZ26,"&gt;0")+1)</f>
        <v>0</v>
      </c>
      <c r="BA27" s="23" t="str">
        <f t="shared" si="8"/>
        <v>Not recorded/not applicable</v>
      </c>
      <c r="BB27" s="23" t="str">
        <f>IF(ISNA(VLOOKUP(4,$AZ$24:$BA$29,2,FALSE)),"",VLOOKUP(4,$AZ$24:$BA$29,2,FALSE))</f>
        <v>Kingston upon Hull, City of</v>
      </c>
      <c r="BC27" s="23">
        <f>IF(ISNA(VLOOKUP(BB27,$AP$24:$AR$500,3,FALSE)),"",VLOOKUP(BB27,$AP$24:$AR$500,3,FALSE))</f>
        <v>101</v>
      </c>
      <c r="BG27" s="130">
        <f t="shared" si="9"/>
        <v>16</v>
      </c>
      <c r="BH27" s="130">
        <f>IF(ISNA(IF(VLOOKUP($BG27,$BG$24:$BG26,1,FALSE)=BG27,BG27+BI27,0)),BG27,(IF(VLOOKUP($BG27,$BG$24:$BG26,1,FALSE)=BG27,BG27+BI27,0)))</f>
        <v>16</v>
      </c>
      <c r="BI27" s="23">
        <f>COUNTIF($BG$24:$BG27,BG27)-1</f>
        <v>0</v>
      </c>
      <c r="BJ27" s="227" t="s">
        <v>1358</v>
      </c>
      <c r="BK27" s="279">
        <v>14</v>
      </c>
      <c r="BL27" s="279">
        <v>15</v>
      </c>
      <c r="BO27" s="23" t="str">
        <f t="shared" si="10"/>
        <v>Not recorded/not applicable</v>
      </c>
      <c r="BS27" s="23">
        <v>4</v>
      </c>
      <c r="BT27" s="23">
        <f>IF(BO27="Not recorded/not applicable",0,COUNTIF($BT$24:BT26,"&gt;0")+1)</f>
        <v>0</v>
      </c>
      <c r="BU27" s="23" t="str">
        <f t="shared" si="11"/>
        <v>Not recorded/not applicable</v>
      </c>
      <c r="BV27" s="23" t="str">
        <f t="shared" si="6"/>
        <v>Thirsk and Malton</v>
      </c>
      <c r="BW27" s="23">
        <f t="shared" si="7"/>
        <v>101</v>
      </c>
    </row>
    <row r="28" spans="1:82">
      <c r="A28" s="65"/>
      <c r="B28" s="65"/>
      <c r="C28" s="65"/>
      <c r="D28" s="65"/>
      <c r="E28" s="65"/>
      <c r="F28" s="65"/>
      <c r="G28" s="65"/>
      <c r="H28" s="65"/>
      <c r="I28" s="65"/>
      <c r="J28" s="65"/>
      <c r="K28" s="65"/>
      <c r="L28" s="65"/>
      <c r="M28" s="65"/>
      <c r="N28" s="65"/>
      <c r="O28" s="65"/>
      <c r="P28" s="65"/>
      <c r="Q28" s="65"/>
      <c r="R28" s="65"/>
      <c r="S28" s="65"/>
      <c r="T28" s="65"/>
      <c r="U28" s="65"/>
      <c r="V28" s="65"/>
      <c r="W28" s="65"/>
      <c r="X28" s="65"/>
      <c r="AA28" s="130">
        <f t="shared" si="2"/>
        <v>5</v>
      </c>
      <c r="AB28" s="130">
        <f>IF(ISNA(IF(VLOOKUP($AA28,$AA$18:$AA27,1,FALSE)=AA28,AA28+AE28,0)),AA28,(IF(VLOOKUP($AA28,$AA$18:$AA27,1,FALSE)=AA28,AA28+AE28,0)))</f>
        <v>5</v>
      </c>
      <c r="AC28" s="29" t="str" vm="9">
        <f>CUBEMEMBER("cabcrmsqlrs1 CABReportingCubes Local Advice Event","[AIC Outcome].[AIC Part1].&amp;[Other]")</f>
        <v>Other</v>
      </c>
      <c r="AD28" s="145" vm="1239">
        <f t="shared" si="1"/>
        <v>611</v>
      </c>
      <c r="AE28" s="23">
        <f>COUNTIF($AA$18:$AA28,$AA28)-1</f>
        <v>0</v>
      </c>
      <c r="AP28" s="227" t="s">
        <v>1424</v>
      </c>
      <c r="AQ28" s="279">
        <v>15</v>
      </c>
      <c r="AR28" s="279">
        <v>1</v>
      </c>
      <c r="AU28" s="23" t="str">
        <f>INDEX($AP$24:$AP$500,MATCH(5,$AQ$24:$AQ$500,0))</f>
        <v>Kingston upon Hull, City of</v>
      </c>
      <c r="AY28" s="23">
        <v>5</v>
      </c>
      <c r="AZ28" s="23">
        <f>IF(AU28="Not recorded/not applicable",0,COUNTIF($AZ$24:AZ27,"&gt;0")+1)</f>
        <v>4</v>
      </c>
      <c r="BA28" s="23" t="str">
        <f t="shared" si="8"/>
        <v>Kingston upon Hull, City of</v>
      </c>
      <c r="BB28" s="23" t="str">
        <f>IF(ISNA(VLOOKUP(5,$AZ$24:$BA$29,2,FALSE)),"",VLOOKUP(5,$AZ$24:$BA$29,2,FALSE))</f>
        <v>Harrogate</v>
      </c>
      <c r="BC28" s="23">
        <f>IF(ISNA(VLOOKUP(BB28,$AP$24:$AR$500,3,FALSE)),"",VLOOKUP(BB28,$AP$24:$AR$500,3,FALSE))</f>
        <v>83</v>
      </c>
      <c r="BG28" s="130">
        <f t="shared" si="9"/>
        <v>19</v>
      </c>
      <c r="BH28" s="130">
        <f>IF(ISNA(IF(VLOOKUP($BG28,$BG$24:$BG27,1,FALSE)=BG28,BG28+BI28,0)),BG28,(IF(VLOOKUP($BG28,$BG$24:$BG27,1,FALSE)=BG28,BG28+BI28,0)))</f>
        <v>21</v>
      </c>
      <c r="BI28" s="23">
        <f>COUNTIF($BG$24:$BG28,BG28)-1</f>
        <v>2</v>
      </c>
      <c r="BJ28" s="227" t="s">
        <v>1359</v>
      </c>
      <c r="BK28" s="279">
        <v>17</v>
      </c>
      <c r="BL28" s="279">
        <v>1</v>
      </c>
      <c r="BO28" s="23" t="str">
        <f t="shared" si="10"/>
        <v>Thirsk and Malton</v>
      </c>
      <c r="BS28" s="23">
        <v>5</v>
      </c>
      <c r="BT28" s="23">
        <f>IF(BO28="Not recorded/not applicable",0,COUNTIF($BT$24:BT27,"&gt;0")+1)</f>
        <v>4</v>
      </c>
      <c r="BU28" s="23" t="str">
        <f t="shared" si="11"/>
        <v>Thirsk and Malton</v>
      </c>
      <c r="BV28" s="23" t="str">
        <f t="shared" si="6"/>
        <v>East Yorkshire</v>
      </c>
      <c r="BW28" s="23">
        <f t="shared" si="7"/>
        <v>73</v>
      </c>
    </row>
    <row r="29" spans="1:82">
      <c r="A29" s="65"/>
      <c r="B29" s="65"/>
      <c r="C29" s="65"/>
      <c r="D29" s="65"/>
      <c r="E29" s="65"/>
      <c r="F29" s="65"/>
      <c r="G29" s="65"/>
      <c r="H29" s="65"/>
      <c r="I29" s="65"/>
      <c r="J29" s="65"/>
      <c r="K29" s="65"/>
      <c r="L29" s="65"/>
      <c r="M29" s="65"/>
      <c r="N29" s="65"/>
      <c r="O29" s="65"/>
      <c r="P29" s="65"/>
      <c r="Q29" s="65"/>
      <c r="R29" s="65"/>
      <c r="S29" s="65"/>
      <c r="T29" s="65"/>
      <c r="U29" s="65"/>
      <c r="V29" s="65"/>
      <c r="W29" s="65"/>
      <c r="X29" s="65"/>
      <c r="AA29" s="130">
        <f t="shared" si="2"/>
        <v>6</v>
      </c>
      <c r="AB29" s="130">
        <f>IF(ISNA(IF(VLOOKUP($AA29,$AA$18:$AA28,1,FALSE)=AA29,AA29+AE29,0)),AA29,(IF(VLOOKUP($AA29,$AA$18:$AA28,1,FALSE)=AA29,AA29+AE29,0)))</f>
        <v>6</v>
      </c>
      <c r="AC29" s="29" t="str" vm="4">
        <f>CUBEMEMBER("cabcrmsqlrs1 CABReportingCubes Local Advice Event","[AIC Outcome].[AIC Part1].&amp;[Relationships &amp; family]")</f>
        <v>Relationships &amp; family</v>
      </c>
      <c r="AD29" s="145" vm="1152">
        <f t="shared" si="1"/>
        <v>608</v>
      </c>
      <c r="AE29" s="23">
        <f>COUNTIF($AA$18:$AA29,$AA29)-1</f>
        <v>0</v>
      </c>
      <c r="AP29" s="227" t="s">
        <v>1425</v>
      </c>
      <c r="AQ29" s="279">
        <v>15</v>
      </c>
      <c r="AR29" s="279">
        <v>1</v>
      </c>
      <c r="AU29" s="23" t="str">
        <f>INDEX($AP$24:$AP$500,MATCH(6,$AQ$24:$AQ$500,0))</f>
        <v>Harrogate</v>
      </c>
      <c r="AZ29" s="23">
        <f>IF(AU29="Not recorded/not applicable",0,COUNTIF($AZ$24:AZ28,"&gt;0")+1)</f>
        <v>5</v>
      </c>
      <c r="BA29" s="23" t="str">
        <f t="shared" si="8"/>
        <v>Harrogate</v>
      </c>
      <c r="BG29" s="130">
        <f t="shared" si="9"/>
        <v>19</v>
      </c>
      <c r="BH29" s="130">
        <f>IF(ISNA(IF(VLOOKUP($BG29,$BG$24:$BG28,1,FALSE)=BG29,BG29+BI29,0)),BG29,(IF(VLOOKUP($BG29,$BG$24:$BG28,1,FALSE)=BG29,BG29+BI29,0)))</f>
        <v>22</v>
      </c>
      <c r="BI29" s="23">
        <f>COUNTIF($BG$24:$BG29,BG29)-1</f>
        <v>3</v>
      </c>
      <c r="BJ29" s="227" t="s">
        <v>1360</v>
      </c>
      <c r="BK29" s="279">
        <v>17</v>
      </c>
      <c r="BL29" s="279">
        <v>1</v>
      </c>
      <c r="BO29" s="23" t="str">
        <f t="shared" si="10"/>
        <v>East Yorkshire</v>
      </c>
      <c r="BS29" s="23">
        <v>6</v>
      </c>
      <c r="BT29" s="23">
        <f>IF(BO29="Not recorded/not applicable",0,COUNTIF($BT$24:BT28,"&gt;0")+1)</f>
        <v>5</v>
      </c>
      <c r="BU29" s="23" t="str">
        <f t="shared" si="11"/>
        <v>East Yorkshire</v>
      </c>
      <c r="BV29" s="23" t="str">
        <f t="shared" si="6"/>
        <v/>
      </c>
      <c r="BW29" s="23" t="str">
        <f t="shared" si="7"/>
        <v/>
      </c>
    </row>
    <row r="30" spans="1:82">
      <c r="A30" s="65"/>
      <c r="B30" s="65"/>
      <c r="C30" s="65"/>
      <c r="D30" s="65"/>
      <c r="E30" s="65"/>
      <c r="F30" s="65"/>
      <c r="G30" s="65"/>
      <c r="H30" s="65"/>
      <c r="I30" s="65"/>
      <c r="J30" s="65"/>
      <c r="K30" s="65"/>
      <c r="L30" s="65"/>
      <c r="M30" s="65"/>
      <c r="N30" s="65"/>
      <c r="O30" s="65"/>
      <c r="P30" s="65"/>
      <c r="Q30" s="65"/>
      <c r="R30" s="65"/>
      <c r="S30" s="65"/>
      <c r="T30" s="65"/>
      <c r="U30" s="65"/>
      <c r="V30" s="65"/>
      <c r="W30" s="65"/>
      <c r="X30" s="65"/>
      <c r="AA30" s="130">
        <f t="shared" si="2"/>
        <v>13</v>
      </c>
      <c r="AB30" s="130">
        <f>IF(ISNA(IF(VLOOKUP($AA30,$AA$18:$AA29,1,FALSE)=AA30,AA30+AE30,0)),AA30,(IF(VLOOKUP($AA30,$AA$18:$AA29,1,FALSE)=AA30,AA30+AE30,0)))</f>
        <v>13</v>
      </c>
      <c r="AC30" s="29" t="str" vm="19">
        <f>CUBEMEMBER("cabcrmsqlrs1 CABReportingCubes Local Advice Event","[AIC Outcome].[AIC Part1].&amp;[Tax]")</f>
        <v>Tax</v>
      </c>
      <c r="AD30" s="145" vm="1285">
        <f t="shared" si="1"/>
        <v>146</v>
      </c>
      <c r="AE30" s="23">
        <f>COUNTIF($AA$18:$AA30,$AA30)-1</f>
        <v>0</v>
      </c>
      <c r="AP30" s="227" t="s">
        <v>1426</v>
      </c>
      <c r="AQ30" s="279">
        <v>15</v>
      </c>
      <c r="AR30" s="279">
        <v>1</v>
      </c>
      <c r="BG30" s="130">
        <f t="shared" si="9"/>
        <v>19</v>
      </c>
      <c r="BH30" s="130">
        <f>IF(ISNA(IF(VLOOKUP($BG30,$BG$24:$BG29,1,FALSE)=BG30,BG30+BI30,0)),BG30,(IF(VLOOKUP($BG30,$BG$24:$BG29,1,FALSE)=BG30,BG30+BI30,0)))</f>
        <v>23</v>
      </c>
      <c r="BI30" s="23">
        <f>COUNTIF($BG$24:$BG30,BG30)-1</f>
        <v>4</v>
      </c>
      <c r="BJ30" s="227" t="s">
        <v>1361</v>
      </c>
      <c r="BK30" s="279">
        <v>17</v>
      </c>
      <c r="BL30" s="279">
        <v>1</v>
      </c>
    </row>
    <row r="31" spans="1:82">
      <c r="A31" s="65"/>
      <c r="B31" s="65"/>
      <c r="C31" s="65"/>
      <c r="D31" s="65"/>
      <c r="E31" s="65"/>
      <c r="F31" s="65"/>
      <c r="G31" s="65"/>
      <c r="H31" s="65"/>
      <c r="I31" s="65"/>
      <c r="J31" s="65"/>
      <c r="K31" s="65"/>
      <c r="L31" s="65"/>
      <c r="M31" s="65"/>
      <c r="N31" s="65"/>
      <c r="O31" s="65"/>
      <c r="P31" s="65"/>
      <c r="Q31" s="65"/>
      <c r="R31" s="65"/>
      <c r="S31" s="65"/>
      <c r="T31" s="65"/>
      <c r="U31" s="65"/>
      <c r="V31" s="65"/>
      <c r="W31" s="65"/>
      <c r="X31" s="65"/>
      <c r="AA31" s="130">
        <f t="shared" si="2"/>
        <v>14</v>
      </c>
      <c r="AB31" s="130">
        <f>IF(ISNA(IF(VLOOKUP($AA31,$AA$18:$AA30,1,FALSE)=AA31,AA31+AE31,0)),AA31,(IF(VLOOKUP($AA31,$AA$18:$AA30,1,FALSE)=AA31,AA31+AE31,0)))</f>
        <v>14</v>
      </c>
      <c r="AC31" s="29" t="str" vm="11">
        <f>CUBEMEMBER("cabcrmsqlrs1 CABReportingCubes Local Advice Event","[AIC Outcome].[AIC Part1].&amp;[Travel &amp; transport]")</f>
        <v>Travel &amp; transport</v>
      </c>
      <c r="AD31" s="145" vm="1284">
        <f t="shared" si="1"/>
        <v>47</v>
      </c>
      <c r="AE31" s="23">
        <f>COUNTIF($AA$18:$AA31,$AA31)-1</f>
        <v>0</v>
      </c>
      <c r="AP31" s="227" t="s">
        <v>1427</v>
      </c>
      <c r="AQ31" s="279">
        <v>15</v>
      </c>
      <c r="AR31" s="279">
        <v>1</v>
      </c>
      <c r="BG31" s="130">
        <f t="shared" si="9"/>
        <v>6</v>
      </c>
      <c r="BH31" s="130">
        <f>IF(ISNA(IF(VLOOKUP($BG31,$BG$24:$BG30,1,FALSE)=BG31,BG31+BI31,0)),BG31,(IF(VLOOKUP($BG31,$BG$24:$BG30,1,FALSE)=BG31,BG31+BI31,0)))</f>
        <v>6</v>
      </c>
      <c r="BI31" s="23">
        <f>COUNTIF($BG$24:$BG31,BG31)-1</f>
        <v>0</v>
      </c>
      <c r="BJ31" s="227" t="s">
        <v>1362</v>
      </c>
      <c r="BK31" s="279">
        <v>5</v>
      </c>
      <c r="BL31" s="279">
        <v>73</v>
      </c>
    </row>
    <row r="32" spans="1:82">
      <c r="A32" s="65"/>
      <c r="B32" s="65"/>
      <c r="C32" s="65"/>
      <c r="D32" s="65"/>
      <c r="E32" s="65"/>
      <c r="F32" s="65"/>
      <c r="G32" s="65"/>
      <c r="H32" s="65"/>
      <c r="I32" s="65"/>
      <c r="J32" s="65"/>
      <c r="K32" s="65"/>
      <c r="L32" s="65"/>
      <c r="M32" s="65"/>
      <c r="N32" s="65"/>
      <c r="O32" s="65"/>
      <c r="P32" s="65"/>
      <c r="Q32" s="65"/>
      <c r="R32" s="65"/>
      <c r="S32" s="65"/>
      <c r="T32" s="65"/>
      <c r="U32" s="65"/>
      <c r="V32" s="65"/>
      <c r="W32" s="65"/>
      <c r="X32" s="65"/>
      <c r="AA32" s="130">
        <f t="shared" si="2"/>
        <v>10</v>
      </c>
      <c r="AB32" s="130">
        <f>IF(ISNA(IF(VLOOKUP($AA32,$AA$18:$AA31,1,FALSE)=AA32,AA32+AE32,0)),AA32,(IF(VLOOKUP($AA32,$AA$18:$AA31,1,FALSE)=AA32,AA32+AE32,0)))</f>
        <v>10</v>
      </c>
      <c r="AC32" s="29" t="str" vm="8">
        <f>CUBEMEMBER("cabcrmsqlrs1 CABReportingCubes Local Advice Event","[AIC Outcome].[AIC Part1].&amp;[Utilities &amp; communications]")</f>
        <v>Utilities &amp; communications</v>
      </c>
      <c r="AD32" s="145" vm="1339">
        <f t="shared" si="1"/>
        <v>328</v>
      </c>
      <c r="AE32" s="23">
        <f>COUNTIF($AA$18:$AA32,$AA32)-1</f>
        <v>0</v>
      </c>
      <c r="AP32" s="227" t="s">
        <v>1428</v>
      </c>
      <c r="AQ32" s="279">
        <v>11</v>
      </c>
      <c r="AR32" s="279">
        <v>26</v>
      </c>
      <c r="BG32" s="130">
        <f t="shared" si="9"/>
        <v>18</v>
      </c>
      <c r="BH32" s="130">
        <f>IF(ISNA(IF(VLOOKUP($BG32,$BG$24:$BG31,1,FALSE)=BG32,BG32+BI32,0)),BG32,(IF(VLOOKUP($BG32,$BG$24:$BG31,1,FALSE)=BG32,BG32+BI32,0)))</f>
        <v>18</v>
      </c>
      <c r="BI32" s="23">
        <f>COUNTIF($BG$24:$BG32,BG32)-1</f>
        <v>0</v>
      </c>
      <c r="BJ32" s="227" t="s">
        <v>1363</v>
      </c>
      <c r="BK32" s="279">
        <v>16</v>
      </c>
      <c r="BL32" s="279">
        <v>2</v>
      </c>
    </row>
    <row r="33" spans="1:64">
      <c r="A33" s="65"/>
      <c r="B33" s="65"/>
      <c r="C33" s="65"/>
      <c r="D33" s="65"/>
      <c r="E33" s="65"/>
      <c r="F33" s="65"/>
      <c r="G33" s="65"/>
      <c r="H33" s="65"/>
      <c r="I33" s="65"/>
      <c r="J33" s="65"/>
      <c r="K33" s="65"/>
      <c r="L33" s="65"/>
      <c r="M33" s="65"/>
      <c r="N33" s="65"/>
      <c r="O33" s="65"/>
      <c r="P33" s="65"/>
      <c r="Q33" s="65"/>
      <c r="R33" s="65"/>
      <c r="S33" s="65"/>
      <c r="T33" s="65"/>
      <c r="U33" s="65"/>
      <c r="V33" s="65"/>
      <c r="W33" s="65"/>
      <c r="X33" s="65"/>
      <c r="AC33" s="29" t="str" vm="3">
        <f>CUBEMEMBER("cabcrmsqlrs1 CABReportingCubes Local Advice Event","[AIC Outcome].[AIC Part1].[All]","Grand Total")</f>
        <v>Grand Total</v>
      </c>
      <c r="AD33" s="145" vm="1263">
        <f t="shared" si="1"/>
        <v>14371</v>
      </c>
      <c r="AP33" s="227" t="s">
        <v>1360</v>
      </c>
      <c r="AQ33" s="279">
        <v>15</v>
      </c>
      <c r="AR33" s="279">
        <v>1</v>
      </c>
      <c r="BG33" s="130">
        <f t="shared" si="9"/>
        <v>19</v>
      </c>
      <c r="BH33" s="130">
        <f>IF(ISNA(IF(VLOOKUP($BG33,$BG$24:$BG32,1,FALSE)=BG33,BG33+BI33,0)),BG33,(IF(VLOOKUP($BG33,$BG$24:$BG32,1,FALSE)=BG33,BG33+BI33,0)))</f>
        <v>24</v>
      </c>
      <c r="BI33" s="23">
        <f>COUNTIF($BG$24:$BG33,BG33)-1</f>
        <v>5</v>
      </c>
      <c r="BJ33" s="227" t="s">
        <v>1364</v>
      </c>
      <c r="BK33" s="279">
        <v>17</v>
      </c>
      <c r="BL33" s="279">
        <v>1</v>
      </c>
    </row>
    <row r="34" spans="1:64">
      <c r="A34" s="65"/>
      <c r="B34" s="65"/>
      <c r="C34" s="65"/>
      <c r="D34" s="65"/>
      <c r="E34" s="65"/>
      <c r="F34" s="65"/>
      <c r="G34" s="65"/>
      <c r="H34" s="65"/>
      <c r="I34" s="65"/>
      <c r="J34" s="65"/>
      <c r="K34" s="65"/>
      <c r="L34" s="65"/>
      <c r="M34" s="65"/>
      <c r="N34" s="65"/>
      <c r="O34" s="65"/>
      <c r="P34" s="65"/>
      <c r="Q34" s="65"/>
      <c r="R34" s="65"/>
      <c r="S34" s="65"/>
      <c r="T34" s="65"/>
      <c r="U34" s="65"/>
      <c r="V34" s="65"/>
      <c r="W34" s="65"/>
      <c r="X34" s="65"/>
      <c r="AP34" s="227" t="s">
        <v>1429</v>
      </c>
      <c r="AQ34" s="279">
        <v>15</v>
      </c>
      <c r="AR34" s="279">
        <v>1</v>
      </c>
      <c r="BG34" s="130">
        <f t="shared" si="9"/>
        <v>15</v>
      </c>
      <c r="BH34" s="130">
        <f>IF(ISNA(IF(VLOOKUP($BG34,$BG$24:$BG33,1,FALSE)=BG34,BG34+BI34,0)),BG34,(IF(VLOOKUP($BG34,$BG$24:$BG33,1,FALSE)=BG34,BG34+BI34,0)))</f>
        <v>15</v>
      </c>
      <c r="BI34" s="23">
        <f>COUNTIF($BG$24:$BG34,BG34)-1</f>
        <v>0</v>
      </c>
      <c r="BJ34" s="227" t="s">
        <v>1365</v>
      </c>
      <c r="BK34" s="279">
        <v>13</v>
      </c>
      <c r="BL34" s="279">
        <v>25</v>
      </c>
    </row>
    <row r="35" spans="1:64">
      <c r="A35" s="65"/>
      <c r="B35" s="65"/>
      <c r="C35" s="65"/>
      <c r="D35" s="65"/>
      <c r="E35" s="65"/>
      <c r="F35" s="65"/>
      <c r="G35" s="65"/>
      <c r="H35" s="65"/>
      <c r="I35" s="65"/>
      <c r="J35" s="65"/>
      <c r="K35" s="65"/>
      <c r="L35" s="65"/>
      <c r="M35" s="65"/>
      <c r="N35" s="65"/>
      <c r="O35" s="65"/>
      <c r="P35" s="65"/>
      <c r="Q35" s="65"/>
      <c r="R35" s="65"/>
      <c r="S35" s="65"/>
      <c r="T35" s="65"/>
      <c r="U35" s="65"/>
      <c r="V35" s="65"/>
      <c r="W35" s="65"/>
      <c r="X35" s="65"/>
      <c r="AP35" s="227" t="s">
        <v>1430</v>
      </c>
      <c r="AQ35" s="279">
        <v>2</v>
      </c>
      <c r="AR35" s="279">
        <v>161</v>
      </c>
      <c r="BG35" s="130">
        <f t="shared" si="9"/>
        <v>9</v>
      </c>
      <c r="BH35" s="130">
        <f>IF(ISNA(IF(VLOOKUP($BG35,$BG$24:$BG34,1,FALSE)=BG35,BG35+BI35,0)),BG35,(IF(VLOOKUP($BG35,$BG$24:$BG34,1,FALSE)=BG35,BG35+BI35,0)))</f>
        <v>9</v>
      </c>
      <c r="BI35" s="23">
        <f>COUNTIF($BG$24:$BG35,BG35)-1</f>
        <v>0</v>
      </c>
      <c r="BJ35" s="227" t="s">
        <v>1366</v>
      </c>
      <c r="BK35" s="279">
        <v>8</v>
      </c>
      <c r="BL35" s="279">
        <v>48</v>
      </c>
    </row>
    <row r="36" spans="1:64">
      <c r="A36" s="65"/>
      <c r="B36" s="65"/>
      <c r="C36" s="65"/>
      <c r="D36" s="65"/>
      <c r="E36" s="65"/>
      <c r="F36" s="65"/>
      <c r="G36" s="65"/>
      <c r="H36" s="65"/>
      <c r="I36" s="65"/>
      <c r="J36" s="65"/>
      <c r="K36" s="65"/>
      <c r="L36" s="65"/>
      <c r="M36" s="65"/>
      <c r="N36" s="65"/>
      <c r="O36" s="65"/>
      <c r="P36" s="65"/>
      <c r="Q36" s="65"/>
      <c r="R36" s="65"/>
      <c r="S36" s="65"/>
      <c r="T36" s="65"/>
      <c r="U36" s="65"/>
      <c r="V36" s="65"/>
      <c r="W36" s="65"/>
      <c r="X36" s="65"/>
      <c r="AP36" s="227" t="s">
        <v>1364</v>
      </c>
      <c r="AQ36" s="279">
        <v>15</v>
      </c>
      <c r="AR36" s="279">
        <v>1</v>
      </c>
      <c r="BG36" s="130">
        <f t="shared" si="9"/>
        <v>19</v>
      </c>
      <c r="BH36" s="130">
        <f>IF(ISNA(IF(VLOOKUP($BG36,$BG$24:$BG35,1,FALSE)=BG36,BG36+BI36,0)),BG36,(IF(VLOOKUP($BG36,$BG$24:$BG35,1,FALSE)=BG36,BG36+BI36,0)))</f>
        <v>25</v>
      </c>
      <c r="BI36" s="23">
        <f>COUNTIF($BG$24:$BG36,BG36)-1</f>
        <v>6</v>
      </c>
      <c r="BJ36" s="227" t="s">
        <v>1367</v>
      </c>
      <c r="BK36" s="279">
        <v>17</v>
      </c>
      <c r="BL36" s="279">
        <v>1</v>
      </c>
    </row>
    <row r="37" spans="1:64">
      <c r="A37" s="65"/>
      <c r="B37" s="65"/>
      <c r="C37" s="65"/>
      <c r="D37" s="65"/>
      <c r="E37" s="65"/>
      <c r="F37" s="65"/>
      <c r="G37" s="65"/>
      <c r="H37" s="65"/>
      <c r="I37" s="65"/>
      <c r="J37" s="65"/>
      <c r="K37" s="65"/>
      <c r="L37" s="65"/>
      <c r="M37" s="65"/>
      <c r="N37" s="65"/>
      <c r="O37" s="65"/>
      <c r="P37" s="65"/>
      <c r="Q37" s="65"/>
      <c r="R37" s="65"/>
      <c r="S37" s="65"/>
      <c r="T37" s="65"/>
      <c r="U37" s="65"/>
      <c r="V37" s="65"/>
      <c r="W37" s="65"/>
      <c r="X37" s="65"/>
      <c r="AP37" s="227" t="s">
        <v>1431</v>
      </c>
      <c r="AQ37" s="279">
        <v>8</v>
      </c>
      <c r="AR37" s="279">
        <v>70</v>
      </c>
      <c r="BG37" s="130">
        <f t="shared" si="9"/>
        <v>12</v>
      </c>
      <c r="BH37" s="130">
        <f>IF(ISNA(IF(VLOOKUP($BG37,$BG$24:$BG36,1,FALSE)=BG37,BG37+BI37,0)),BG37,(IF(VLOOKUP($BG37,$BG$24:$BG36,1,FALSE)=BG37,BG37+BI37,0)))</f>
        <v>12</v>
      </c>
      <c r="BI37" s="23">
        <f>COUNTIF($BG$24:$BG37,BG37)-1</f>
        <v>0</v>
      </c>
      <c r="BJ37" s="227" t="s">
        <v>1368</v>
      </c>
      <c r="BK37" s="279">
        <v>10</v>
      </c>
      <c r="BL37" s="279">
        <v>39</v>
      </c>
    </row>
    <row r="38" spans="1:64">
      <c r="A38" s="65"/>
      <c r="B38" s="65"/>
      <c r="C38" s="65"/>
      <c r="D38" s="65"/>
      <c r="E38" s="65"/>
      <c r="F38" s="65"/>
      <c r="G38" s="65"/>
      <c r="H38" s="65"/>
      <c r="I38" s="65"/>
      <c r="J38" s="65"/>
      <c r="K38" s="65"/>
      <c r="L38" s="65"/>
      <c r="M38" s="65"/>
      <c r="N38" s="65"/>
      <c r="O38" s="65"/>
      <c r="P38" s="65"/>
      <c r="Q38" s="65"/>
      <c r="R38" s="65"/>
      <c r="S38" s="65"/>
      <c r="T38" s="65"/>
      <c r="U38" s="65"/>
      <c r="V38" s="65"/>
      <c r="W38" s="65"/>
      <c r="X38" s="65"/>
      <c r="AP38" s="227" t="s">
        <v>1432</v>
      </c>
      <c r="AQ38" s="279">
        <v>6</v>
      </c>
      <c r="AR38" s="279">
        <v>83</v>
      </c>
      <c r="BG38" s="130">
        <f t="shared" si="9"/>
        <v>14</v>
      </c>
      <c r="BH38" s="130">
        <f>IF(ISNA(IF(VLOOKUP($BG38,$BG$24:$BG37,1,FALSE)=BG38,BG38+BI38,0)),BG38,(IF(VLOOKUP($BG38,$BG$24:$BG37,1,FALSE)=BG38,BG38+BI38,0)))</f>
        <v>14</v>
      </c>
      <c r="BI38" s="23">
        <f>COUNTIF($BG$24:$BG38,BG38)-1</f>
        <v>0</v>
      </c>
      <c r="BJ38" s="227" t="s">
        <v>1369</v>
      </c>
      <c r="BK38" s="279">
        <v>12</v>
      </c>
      <c r="BL38" s="279">
        <v>33</v>
      </c>
    </row>
    <row r="39" spans="1:64">
      <c r="A39" s="65"/>
      <c r="B39" s="65"/>
      <c r="C39" s="65"/>
      <c r="D39" s="65"/>
      <c r="E39" s="65"/>
      <c r="F39" s="65"/>
      <c r="G39" s="65"/>
      <c r="H39" s="65"/>
      <c r="I39" s="65"/>
      <c r="J39" s="65"/>
      <c r="K39" s="65"/>
      <c r="L39" s="65"/>
      <c r="M39" s="65"/>
      <c r="N39" s="65"/>
      <c r="O39" s="65"/>
      <c r="P39" s="65"/>
      <c r="Q39" s="65"/>
      <c r="R39" s="65"/>
      <c r="S39" s="65"/>
      <c r="T39" s="65"/>
      <c r="U39" s="65"/>
      <c r="V39" s="65"/>
      <c r="W39" s="65"/>
      <c r="X39" s="65"/>
      <c r="AP39" s="227" t="s">
        <v>1433</v>
      </c>
      <c r="AQ39" s="279">
        <v>15</v>
      </c>
      <c r="AR39" s="279">
        <v>1</v>
      </c>
      <c r="BG39" s="130">
        <f t="shared" si="9"/>
        <v>13</v>
      </c>
      <c r="BH39" s="130">
        <f>IF(ISNA(IF(VLOOKUP($BG39,$BG$24:$BG38,1,FALSE)=BG39,BG39+BI39,0)),BG39,(IF(VLOOKUP($BG39,$BG$24:$BG38,1,FALSE)=BG39,BG39+BI39,0)))</f>
        <v>13</v>
      </c>
      <c r="BI39" s="23">
        <f>COUNTIF($BG$24:$BG39,BG39)-1</f>
        <v>0</v>
      </c>
      <c r="BJ39" s="227" t="s">
        <v>1370</v>
      </c>
      <c r="BK39" s="279">
        <v>11</v>
      </c>
      <c r="BL39" s="279">
        <v>36</v>
      </c>
    </row>
    <row r="40" spans="1:64">
      <c r="A40" s="65"/>
      <c r="B40" s="65"/>
      <c r="C40" s="65"/>
      <c r="D40" s="65"/>
      <c r="E40" s="65"/>
      <c r="F40" s="65"/>
      <c r="G40" s="65"/>
      <c r="H40" s="65"/>
      <c r="I40" s="65"/>
      <c r="J40" s="65"/>
      <c r="K40" s="65"/>
      <c r="L40" s="65"/>
      <c r="M40" s="65"/>
      <c r="N40" s="65"/>
      <c r="O40" s="65"/>
      <c r="P40" s="65"/>
      <c r="Q40" s="65"/>
      <c r="R40" s="65"/>
      <c r="S40" s="65"/>
      <c r="T40" s="65"/>
      <c r="U40" s="65"/>
      <c r="V40" s="65"/>
      <c r="W40" s="65"/>
      <c r="X40" s="65"/>
      <c r="AP40" s="227" t="s">
        <v>1434</v>
      </c>
      <c r="AQ40" s="279">
        <v>5</v>
      </c>
      <c r="AR40" s="279">
        <v>101</v>
      </c>
      <c r="BG40" s="130">
        <f t="shared" si="9"/>
        <v>19</v>
      </c>
      <c r="BH40" s="130">
        <f>IF(ISNA(IF(VLOOKUP($BG40,$BG$24:$BG39,1,FALSE)=BG40,BG40+BI40,0)),BG40,(IF(VLOOKUP($BG40,$BG$24:$BG39,1,FALSE)=BG40,BG40+BI40,0)))</f>
        <v>26</v>
      </c>
      <c r="BI40" s="23">
        <f>COUNTIF($BG$24:$BG40,BG40)-1</f>
        <v>7</v>
      </c>
      <c r="BJ40" s="227" t="s">
        <v>505</v>
      </c>
      <c r="BK40" s="279">
        <v>17</v>
      </c>
      <c r="BL40" s="279">
        <v>1</v>
      </c>
    </row>
    <row r="41" spans="1:64">
      <c r="A41" s="65"/>
      <c r="B41" s="65"/>
      <c r="C41" s="65"/>
      <c r="D41" s="65"/>
      <c r="E41" s="65"/>
      <c r="F41" s="65"/>
      <c r="G41" s="65"/>
      <c r="H41" s="65"/>
      <c r="I41" s="65"/>
      <c r="J41" s="65"/>
      <c r="K41" s="65"/>
      <c r="L41" s="65"/>
      <c r="M41" s="65"/>
      <c r="N41" s="65"/>
      <c r="O41" s="65"/>
      <c r="P41" s="65"/>
      <c r="Q41" s="65"/>
      <c r="R41" s="65"/>
      <c r="S41" s="65"/>
      <c r="T41" s="65"/>
      <c r="U41" s="65"/>
      <c r="V41" s="65"/>
      <c r="W41" s="65"/>
      <c r="X41" s="65"/>
      <c r="AC41" s="23" t="s">
        <v>0</v>
      </c>
      <c r="AD41" s="23" t="str" vm="1">
        <f>CUBESET("cabcrmsqlrs1 CABReportingCubes Local Advice Event","{[Advice Event Type].[Advice Event Type].&amp;[Gateway AIC Creation],[Advice Event Type].[Advice Event Type].&amp;[Day sheet AIC Creation],[Advice Event Type].[Advice Event Type].&amp;[Enquiry AIC/Outcome Creation]}","(Multiple Items)")</f>
        <v>(Multiple Items)</v>
      </c>
      <c r="AP41" s="227" t="s">
        <v>502</v>
      </c>
      <c r="AQ41" s="279">
        <v>12</v>
      </c>
      <c r="AR41" s="279">
        <v>5</v>
      </c>
      <c r="BG41" s="130">
        <f t="shared" si="9"/>
        <v>19</v>
      </c>
      <c r="BH41" s="130">
        <f>IF(ISNA(IF(VLOOKUP($BG41,$BG$24:$BG40,1,FALSE)=BG41,BG41+BI41,0)),BG41,(IF(VLOOKUP($BG41,$BG$24:$BG40,1,FALSE)=BG41,BG41+BI41,0)))</f>
        <v>27</v>
      </c>
      <c r="BI41" s="23">
        <f>COUNTIF($BG$24:$BG41,BG41)-1</f>
        <v>8</v>
      </c>
      <c r="BJ41" s="227" t="s">
        <v>1371</v>
      </c>
      <c r="BK41" s="279">
        <v>17</v>
      </c>
      <c r="BL41" s="279">
        <v>1</v>
      </c>
    </row>
    <row r="42" spans="1:64">
      <c r="A42" s="65"/>
      <c r="B42" s="65"/>
      <c r="C42" s="65"/>
      <c r="D42" s="65"/>
      <c r="E42" s="65"/>
      <c r="F42" s="65"/>
      <c r="G42" s="65"/>
      <c r="H42" s="65"/>
      <c r="I42" s="65"/>
      <c r="J42" s="65"/>
      <c r="K42" s="65"/>
      <c r="L42" s="65"/>
      <c r="M42" s="65"/>
      <c r="N42" s="65"/>
      <c r="O42" s="65"/>
      <c r="P42" s="65"/>
      <c r="Q42" s="65"/>
      <c r="R42" s="65"/>
      <c r="S42" s="65"/>
      <c r="T42" s="65"/>
      <c r="U42" s="65"/>
      <c r="V42" s="65"/>
      <c r="W42" s="65"/>
      <c r="X42" s="65"/>
      <c r="AC42" s="23" t="s">
        <v>4</v>
      </c>
      <c r="AD42" s="23" t="str" vm="959">
        <f>'Enter Parameters'!D17</f>
        <v>York (member)</v>
      </c>
      <c r="AP42" s="227" t="s">
        <v>1373</v>
      </c>
      <c r="AQ42" s="279">
        <v>15</v>
      </c>
      <c r="AR42" s="279">
        <v>1</v>
      </c>
      <c r="BG42" s="130">
        <f t="shared" si="9"/>
        <v>19</v>
      </c>
      <c r="BH42" s="130">
        <f>IF(ISNA(IF(VLOOKUP($BG42,$BG$24:$BG41,1,FALSE)=BG42,BG42+BI42,0)),BG42,(IF(VLOOKUP($BG42,$BG$24:$BG41,1,FALSE)=BG42,BG42+BI42,0)))</f>
        <v>28</v>
      </c>
      <c r="BI42" s="23">
        <f>COUNTIF($BG$24:$BG42,BG42)-1</f>
        <v>9</v>
      </c>
      <c r="BJ42" s="227" t="s">
        <v>1372</v>
      </c>
      <c r="BK42" s="279">
        <v>17</v>
      </c>
      <c r="BL42" s="279">
        <v>1</v>
      </c>
    </row>
    <row r="43" spans="1:64">
      <c r="A43" s="65"/>
      <c r="B43" s="65"/>
      <c r="C43" s="65"/>
      <c r="D43" s="65"/>
      <c r="E43" s="65"/>
      <c r="F43" s="65"/>
      <c r="G43" s="65"/>
      <c r="H43" s="65"/>
      <c r="I43" s="65"/>
      <c r="J43" s="65"/>
      <c r="K43" s="65"/>
      <c r="L43" s="65"/>
      <c r="M43" s="65"/>
      <c r="N43" s="65"/>
      <c r="O43" s="65"/>
      <c r="P43" s="65"/>
      <c r="Q43" s="65"/>
      <c r="R43" s="65"/>
      <c r="S43" s="65"/>
      <c r="T43" s="65"/>
      <c r="U43" s="65"/>
      <c r="V43" s="65"/>
      <c r="W43" s="65"/>
      <c r="X43" s="65"/>
      <c r="AC43" s="23" t="s">
        <v>3</v>
      </c>
      <c r="AD43" s="23" t="str" vm="949">
        <f>'Enter Parameters'!D18</f>
        <v>2016-17</v>
      </c>
      <c r="AP43" s="227" t="s">
        <v>1435</v>
      </c>
      <c r="AQ43" s="279">
        <v>15</v>
      </c>
      <c r="AR43" s="279">
        <v>1</v>
      </c>
      <c r="BG43" s="130">
        <f t="shared" si="9"/>
        <v>19</v>
      </c>
      <c r="BH43" s="130">
        <f>IF(ISNA(IF(VLOOKUP($BG43,$BG$24:$BG42,1,FALSE)=BG43,BG43+BI43,0)),BG43,(IF(VLOOKUP($BG43,$BG$24:$BG42,1,FALSE)=BG43,BG43+BI43,0)))</f>
        <v>29</v>
      </c>
      <c r="BI43" s="23">
        <f>COUNTIF($BG$24:$BG43,BG43)-1</f>
        <v>10</v>
      </c>
      <c r="BJ43" s="227" t="s">
        <v>1373</v>
      </c>
      <c r="BK43" s="279">
        <v>17</v>
      </c>
      <c r="BL43" s="279">
        <v>1</v>
      </c>
    </row>
    <row r="44" spans="1:64">
      <c r="A44" s="65"/>
      <c r="B44" s="65"/>
      <c r="C44" s="65"/>
      <c r="D44" s="65"/>
      <c r="E44" s="65"/>
      <c r="F44" s="65"/>
      <c r="G44" s="65"/>
      <c r="H44" s="65"/>
      <c r="I44" s="65"/>
      <c r="J44" s="65"/>
      <c r="K44" s="65"/>
      <c r="L44" s="65"/>
      <c r="M44" s="65"/>
      <c r="N44" s="65"/>
      <c r="O44" s="65"/>
      <c r="P44" s="65"/>
      <c r="Q44" s="65"/>
      <c r="R44" s="65"/>
      <c r="S44" s="65"/>
      <c r="T44" s="65"/>
      <c r="U44" s="65"/>
      <c r="V44" s="65"/>
      <c r="W44" s="65"/>
      <c r="X44" s="65"/>
      <c r="AC44" s="23" t="s">
        <v>21</v>
      </c>
      <c r="AD44" s="23" t="str" vm="941">
        <f>'Enter Parameters'!D19</f>
        <v>All</v>
      </c>
      <c r="AP44" s="227" t="s">
        <v>1436</v>
      </c>
      <c r="AQ44" s="279">
        <v>15</v>
      </c>
      <c r="AR44" s="279">
        <v>1</v>
      </c>
      <c r="BG44" s="130">
        <f t="shared" si="9"/>
        <v>19</v>
      </c>
      <c r="BH44" s="130">
        <f>IF(ISNA(IF(VLOOKUP($BG44,$BG$24:$BG43,1,FALSE)=BG44,BG44+BI44,0)),BG44,(IF(VLOOKUP($BG44,$BG$24:$BG43,1,FALSE)=BG44,BG44+BI44,0)))</f>
        <v>30</v>
      </c>
      <c r="BI44" s="23">
        <f>COUNTIF($BG$24:$BG44,BG44)-1</f>
        <v>11</v>
      </c>
      <c r="BJ44" s="227" t="s">
        <v>1374</v>
      </c>
      <c r="BK44" s="279">
        <v>17</v>
      </c>
      <c r="BL44" s="279">
        <v>1</v>
      </c>
    </row>
    <row r="45" spans="1:64">
      <c r="A45" s="65"/>
      <c r="B45" s="65"/>
      <c r="C45" s="65"/>
      <c r="D45" s="65"/>
      <c r="E45" s="65"/>
      <c r="F45" s="65"/>
      <c r="G45" s="65"/>
      <c r="H45" s="65"/>
      <c r="I45" s="65"/>
      <c r="J45" s="65"/>
      <c r="K45" s="65"/>
      <c r="L45" s="65"/>
      <c r="M45" s="65"/>
      <c r="N45" s="65"/>
      <c r="O45" s="65"/>
      <c r="P45" s="65"/>
      <c r="Q45" s="65"/>
      <c r="R45" s="65"/>
      <c r="S45" s="65"/>
      <c r="T45" s="65"/>
      <c r="U45" s="65"/>
      <c r="V45" s="65"/>
      <c r="W45" s="65"/>
      <c r="X45" s="65"/>
      <c r="AP45" s="227" t="s">
        <v>1379</v>
      </c>
      <c r="AQ45" s="279">
        <v>15</v>
      </c>
      <c r="AR45" s="279">
        <v>1</v>
      </c>
      <c r="BG45" s="130">
        <f t="shared" si="9"/>
        <v>19</v>
      </c>
      <c r="BH45" s="130">
        <f>IF(ISNA(IF(VLOOKUP($BG45,$BG$24:$BG44,1,FALSE)=BG45,BG45+BI45,0)),BG45,(IF(VLOOKUP($BG45,$BG$24:$BG44,1,FALSE)=BG45,BG45+BI45,0)))</f>
        <v>31</v>
      </c>
      <c r="BI45" s="23">
        <f>COUNTIF($BG$24:$BG45,BG45)-1</f>
        <v>12</v>
      </c>
      <c r="BJ45" s="227" t="s">
        <v>1375</v>
      </c>
      <c r="BK45" s="279">
        <v>17</v>
      </c>
      <c r="BL45" s="279">
        <v>1</v>
      </c>
    </row>
    <row r="46" spans="1:64">
      <c r="A46" s="65"/>
      <c r="B46" s="65"/>
      <c r="C46" s="65"/>
      <c r="D46" s="65"/>
      <c r="E46" s="65"/>
      <c r="F46" s="65"/>
      <c r="G46" s="65"/>
      <c r="H46" s="65"/>
      <c r="I46" s="65"/>
      <c r="J46" s="65"/>
      <c r="K46" s="65"/>
      <c r="L46" s="65"/>
      <c r="M46" s="65"/>
      <c r="N46" s="65"/>
      <c r="O46" s="65"/>
      <c r="P46" s="65"/>
      <c r="Q46" s="65"/>
      <c r="R46" s="65"/>
      <c r="S46" s="65"/>
      <c r="T46" s="65"/>
      <c r="U46" s="65"/>
      <c r="V46" s="65"/>
      <c r="W46" s="65"/>
      <c r="X46" s="65"/>
      <c r="AC46" s="23" t="s">
        <v>16</v>
      </c>
      <c r="AD46" s="23" t="s">
        <v>17</v>
      </c>
      <c r="AE46" s="23" t="str" vm="15">
        <f>CUBEMEMBER("cabcrmsqlrs1 CABReportingCubes Local Advice Event","[Measures].[Number of Advice Events]")</f>
        <v>Number of Advice Events</v>
      </c>
      <c r="AP46" s="227" t="s">
        <v>1380</v>
      </c>
      <c r="AQ46" s="279">
        <v>14</v>
      </c>
      <c r="AR46" s="279">
        <v>2</v>
      </c>
      <c r="BG46" s="130">
        <f t="shared" si="9"/>
        <v>19</v>
      </c>
      <c r="BH46" s="130">
        <f>IF(ISNA(IF(VLOOKUP($BG46,$BG$24:$BG45,1,FALSE)=BG46,BG46+BI46,0)),BG46,(IF(VLOOKUP($BG46,$BG$24:$BG45,1,FALSE)=BG46,BG46+BI46,0)))</f>
        <v>32</v>
      </c>
      <c r="BI46" s="23">
        <f>COUNTIF($BG$24:$BG46,BG46)-1</f>
        <v>13</v>
      </c>
      <c r="BJ46" s="227" t="s">
        <v>1376</v>
      </c>
      <c r="BK46" s="279">
        <v>17</v>
      </c>
      <c r="BL46" s="279">
        <v>1</v>
      </c>
    </row>
    <row r="47" spans="1:64">
      <c r="A47" s="65"/>
      <c r="B47" s="65"/>
      <c r="C47" s="65"/>
      <c r="D47" s="65"/>
      <c r="E47" s="65"/>
      <c r="F47" s="65"/>
      <c r="G47" s="65"/>
      <c r="H47" s="65"/>
      <c r="I47" s="65"/>
      <c r="J47" s="65"/>
      <c r="K47" s="65"/>
      <c r="L47" s="65"/>
      <c r="M47" s="65"/>
      <c r="N47" s="65"/>
      <c r="O47" s="65"/>
      <c r="P47" s="65"/>
      <c r="Q47" s="65"/>
      <c r="R47" s="65"/>
      <c r="S47" s="65"/>
      <c r="T47" s="65"/>
      <c r="U47" s="65"/>
      <c r="V47" s="65"/>
      <c r="W47" s="65"/>
      <c r="X47" s="65"/>
      <c r="Z47" s="23" t="str">
        <f>AC47&amp;AD47</f>
        <v>Benefits &amp; tax credits01 Discrimination</v>
      </c>
      <c r="AA47" s="130" t="e">
        <f>RANK($AE47,$AE$32:$AE$338,0)</f>
        <v>#VALUE!</v>
      </c>
      <c r="AB47" s="130" t="e">
        <f>IF(ISNA(IF(VLOOKUP($AA47,$AA46:$AA$47,1,FALSE)=AA47,AA47+AF47,0)),AA47,(IF(VLOOKUP($AA47,$AA$46:$AA47,1,FALSE)=AA47,AA47+AF47,0)))</f>
        <v>#VALUE!</v>
      </c>
      <c r="AC47" s="23" t="str" vm="20">
        <f t="shared" ref="AC47:AC85" si="12">CUBEMEMBER("cabcrmsqlrs1 CABReportingCubes Local Advice Event","[AIC Outcome].[AIC Part1].&amp;[Benefits &amp; tax credits]")</f>
        <v>Benefits &amp; tax credits</v>
      </c>
      <c r="AD47" s="23" t="str" vm="431">
        <f>CUBEMEMBER("cabcrmsqlrs1 CABReportingCubes Local Advice Event",{"[AIC Outcome].[AIC Part1].&amp;[Benefits &amp; tax credits]","[AIC Outcome].[AIC Part2].&amp;[Benefits &amp; tax credits]&amp;[01 Discrimination]"})</f>
        <v>01 Discrimination</v>
      </c>
      <c r="AE47" s="141" t="str" vm="1053">
        <f t="shared" ref="AE47:AE110" si="13">CUBEVALUE("cabcrmsqlrs1 CABReportingCubes Local Advice Event",$AD$41,$AD$42,$AD$43,$AD$44,$AD47,AE$46)</f>
        <v/>
      </c>
      <c r="AF47" s="23">
        <f>COUNTIF($AA$47:$AA$47,$AA47)-1</f>
        <v>0</v>
      </c>
      <c r="AG47" s="23">
        <v>1</v>
      </c>
      <c r="AH47" s="23" t="e">
        <f>VLOOKUP($AG47,$AB$47:$AD$338,2,FALSE)</f>
        <v>#N/A</v>
      </c>
      <c r="AI47" s="23" t="str">
        <f>IF(ISERROR(VLOOKUP($AG47,$AB$47:$AD$338,3,FALSE)),"",VLOOKUP($AG47,$AB$47:$AD$338,3,FALSE))</f>
        <v/>
      </c>
      <c r="AJ47" s="23" t="e">
        <f>AH47&amp;AI47</f>
        <v>#N/A</v>
      </c>
      <c r="AK47" s="141" t="str">
        <f>IF(ISERROR(VLOOKUP(AJ47,$Z$47:$AE$338,6,FALSE)),"",VLOOKUP(AJ47,$Z$47:$AE$338,6,FALSE))</f>
        <v/>
      </c>
      <c r="AP47" s="227" t="s">
        <v>14</v>
      </c>
      <c r="AQ47" s="279">
        <v>4</v>
      </c>
      <c r="AR47" s="279">
        <v>103</v>
      </c>
      <c r="BG47" s="130">
        <f t="shared" si="9"/>
        <v>17</v>
      </c>
      <c r="BH47" s="130">
        <f>IF(ISNA(IF(VLOOKUP($BG47,$BG$24:$BG46,1,FALSE)=BG47,BG47+BI47,0)),BG47,(IF(VLOOKUP($BG47,$BG$24:$BG46,1,FALSE)=BG47,BG47+BI47,0)))</f>
        <v>17</v>
      </c>
      <c r="BI47" s="23">
        <f>COUNTIF($BG$24:$BG47,BG47)-1</f>
        <v>0</v>
      </c>
      <c r="BJ47" s="227" t="s">
        <v>1377</v>
      </c>
      <c r="BK47" s="279">
        <v>15</v>
      </c>
      <c r="BL47" s="279">
        <v>4</v>
      </c>
    </row>
    <row r="48" spans="1:64">
      <c r="A48" s="65"/>
      <c r="B48" s="65"/>
      <c r="C48" s="65"/>
      <c r="D48" s="65"/>
      <c r="E48" s="65"/>
      <c r="F48" s="65"/>
      <c r="G48" s="65"/>
      <c r="H48" s="65"/>
      <c r="I48" s="65"/>
      <c r="J48" s="65"/>
      <c r="K48" s="65"/>
      <c r="L48" s="65"/>
      <c r="M48" s="65"/>
      <c r="N48" s="65"/>
      <c r="O48" s="65"/>
      <c r="P48" s="65"/>
      <c r="Q48" s="65"/>
      <c r="R48" s="65"/>
      <c r="S48" s="65"/>
      <c r="T48" s="65"/>
      <c r="U48" s="65"/>
      <c r="V48" s="65"/>
      <c r="W48" s="65"/>
      <c r="X48" s="65"/>
      <c r="Z48" s="23" t="str">
        <f t="shared" ref="Z48:Z111" si="14">AC48&amp;AD48</f>
        <v>Benefits &amp; tax credits02 Actual homelessness</v>
      </c>
      <c r="AA48" s="130" t="e">
        <f t="shared" ref="AA48:AA111" si="15">RANK($AE48,$AE$32:$AE$338,0)</f>
        <v>#VALUE!</v>
      </c>
      <c r="AB48" s="130" t="e">
        <f>IF(ISNA(IF(VLOOKUP($AA48,$AA47:$AA$47,1,FALSE)=AA48,AA48+AF48,0)),AA48,(IF(VLOOKUP($AA48,$AA$46:$AA48,1,FALSE)=AA48,AA48+AF48,0)))</f>
        <v>#VALUE!</v>
      </c>
      <c r="AC48" s="23" t="str" vm="20">
        <f t="shared" si="12"/>
        <v>Benefits &amp; tax credits</v>
      </c>
      <c r="AD48" s="23" t="str" vm="948">
        <f>CUBEMEMBER("cabcrmsqlrs1 CABReportingCubes Local Advice Event",{"[AIC Outcome].[AIC Part1].&amp;[Benefits &amp; tax credits]","[AIC Outcome].[AIC Part2].&amp;[Benefits &amp; tax credits]&amp;[02 Actual homelessness]"})</f>
        <v>02 Actual homelessness</v>
      </c>
      <c r="AE48" s="141" t="str" vm="1171">
        <f t="shared" si="13"/>
        <v/>
      </c>
      <c r="AF48" s="23">
        <f>COUNTIF($AA$47:$AA$48,$AA48)-1</f>
        <v>1</v>
      </c>
      <c r="AG48" s="23">
        <v>2</v>
      </c>
      <c r="AH48" s="23" t="e">
        <f t="shared" ref="AH48:AH56" si="16">VLOOKUP($AG48,$AB$47:$AD$338,2,FALSE)</f>
        <v>#N/A</v>
      </c>
      <c r="AI48" s="23" t="str">
        <f t="shared" ref="AI48:AI56" si="17">IF(ISERROR(VLOOKUP($AG48,$AB$47:$AD$338,3,FALSE)),"",VLOOKUP($AG48,$AB$47:$AD$338,3,FALSE))</f>
        <v/>
      </c>
      <c r="AJ48" s="23" t="e">
        <f t="shared" ref="AJ48:AJ56" si="18">AH48&amp;AI48</f>
        <v>#N/A</v>
      </c>
      <c r="AK48" s="141" t="str">
        <f t="shared" ref="AK48:AK56" si="19">IF(ISERROR(VLOOKUP(AJ48,$Z$47:$AE$338,6,FALSE)),"",VLOOKUP(AJ48,$Z$47:$AE$338,6,FALSE))</f>
        <v/>
      </c>
      <c r="AP48" s="227" t="s">
        <v>1437</v>
      </c>
      <c r="AQ48" s="279">
        <v>15</v>
      </c>
      <c r="AR48" s="279">
        <v>1</v>
      </c>
      <c r="BG48" s="130">
        <f t="shared" si="9"/>
        <v>19</v>
      </c>
      <c r="BH48" s="130">
        <f>IF(ISNA(IF(VLOOKUP($BG48,$BG$24:$BG47,1,FALSE)=BG48,BG48+BI48,0)),BG48,(IF(VLOOKUP($BG48,$BG$24:$BG47,1,FALSE)=BG48,BG48+BI48,0)))</f>
        <v>33</v>
      </c>
      <c r="BI48" s="23">
        <f>COUNTIF($BG$24:$BG48,BG48)-1</f>
        <v>14</v>
      </c>
      <c r="BJ48" s="227" t="s">
        <v>1378</v>
      </c>
      <c r="BK48" s="279">
        <v>17</v>
      </c>
      <c r="BL48" s="279">
        <v>1</v>
      </c>
    </row>
    <row r="49" spans="1:64">
      <c r="A49" s="65"/>
      <c r="B49" s="65"/>
      <c r="C49" s="65"/>
      <c r="D49" s="65"/>
      <c r="E49" s="65"/>
      <c r="F49" s="65"/>
      <c r="G49" s="65"/>
      <c r="H49" s="65"/>
      <c r="I49" s="65"/>
      <c r="J49" s="65"/>
      <c r="K49" s="65"/>
      <c r="L49" s="65"/>
      <c r="M49" s="65"/>
      <c r="N49" s="65"/>
      <c r="O49" s="65"/>
      <c r="P49" s="65"/>
      <c r="Q49" s="65"/>
      <c r="R49" s="65"/>
      <c r="S49" s="65"/>
      <c r="T49" s="65"/>
      <c r="U49" s="65"/>
      <c r="V49" s="65"/>
      <c r="W49" s="65"/>
      <c r="X49" s="65"/>
      <c r="Z49" s="23" t="str">
        <f t="shared" si="14"/>
        <v>Benefits &amp; tax credits02 Income Support</v>
      </c>
      <c r="AA49" s="130" t="e">
        <f t="shared" si="15"/>
        <v>#N/A</v>
      </c>
      <c r="AB49" s="130" t="e">
        <f>IF(ISNA(IF(VLOOKUP($AA49,$AA$47:$AA48,1,FALSE)=AA49,AA49+AF49,0)),AA49,(IF(VLOOKUP($AA49,$AA$46:$AA49,1,FALSE)=AA49,AA49+AF49,0)))</f>
        <v>#N/A</v>
      </c>
      <c r="AC49" s="23" t="str" vm="20">
        <f t="shared" si="12"/>
        <v>Benefits &amp; tax credits</v>
      </c>
      <c r="AD49" s="23" t="str" vm="361">
        <f>CUBEMEMBER("cabcrmsqlrs1 CABReportingCubes Local Advice Event",{"[AIC Outcome].[AIC Part1].&amp;[Benefits &amp; tax credits]","[AIC Outcome].[AIC Part2].&amp;[Benefits &amp; tax credits]&amp;[02 Income Support]"})</f>
        <v>02 Income Support</v>
      </c>
      <c r="AE49" s="141" vm="1014">
        <f t="shared" si="13"/>
        <v>88</v>
      </c>
      <c r="AF49" s="23">
        <f>COUNTIF($AA$47:$AA49,$AA49)-1</f>
        <v>0</v>
      </c>
      <c r="AG49" s="23">
        <v>3</v>
      </c>
      <c r="AH49" s="23" t="e">
        <f t="shared" si="16"/>
        <v>#N/A</v>
      </c>
      <c r="AI49" s="23" t="str">
        <f t="shared" si="17"/>
        <v/>
      </c>
      <c r="AJ49" s="23" t="e">
        <f t="shared" si="18"/>
        <v>#N/A</v>
      </c>
      <c r="AK49" s="141" t="str">
        <f t="shared" si="19"/>
        <v/>
      </c>
      <c r="AP49" s="227" t="s">
        <v>1382</v>
      </c>
      <c r="AQ49" s="279">
        <v>15</v>
      </c>
      <c r="AR49" s="279">
        <v>1</v>
      </c>
      <c r="BG49" s="130">
        <f t="shared" si="9"/>
        <v>19</v>
      </c>
      <c r="BH49" s="130">
        <f>IF(ISNA(IF(VLOOKUP($BG49,$BG$24:$BG48,1,FALSE)=BG49,BG49+BI49,0)),BG49,(IF(VLOOKUP($BG49,$BG$24:$BG48,1,FALSE)=BG49,BG49+BI49,0)))</f>
        <v>34</v>
      </c>
      <c r="BI49" s="23">
        <f>COUNTIF($BG$24:$BG49,BG49)-1</f>
        <v>15</v>
      </c>
      <c r="BJ49" s="227" t="s">
        <v>1379</v>
      </c>
      <c r="BK49" s="279">
        <v>17</v>
      </c>
      <c r="BL49" s="279">
        <v>1</v>
      </c>
    </row>
    <row r="50" spans="1:64">
      <c r="A50" s="65"/>
      <c r="B50" s="65"/>
      <c r="C50" s="65"/>
      <c r="D50" s="65"/>
      <c r="E50" s="65"/>
      <c r="F50" s="65"/>
      <c r="G50" s="65"/>
      <c r="H50" s="65"/>
      <c r="I50" s="65"/>
      <c r="J50" s="65"/>
      <c r="K50" s="65"/>
      <c r="L50" s="65"/>
      <c r="M50" s="65"/>
      <c r="N50" s="65"/>
      <c r="O50" s="65"/>
      <c r="P50" s="65"/>
      <c r="Q50" s="65"/>
      <c r="R50" s="65"/>
      <c r="S50" s="65"/>
      <c r="T50" s="65"/>
      <c r="U50" s="65"/>
      <c r="V50" s="65"/>
      <c r="W50" s="65"/>
      <c r="X50" s="65"/>
      <c r="Z50" s="23" t="str">
        <f t="shared" si="14"/>
        <v>Benefits &amp; tax credits02 Income Tax</v>
      </c>
      <c r="AA50" s="130" t="e">
        <f t="shared" si="15"/>
        <v>#VALUE!</v>
      </c>
      <c r="AB50" s="130" t="e">
        <f>IF(ISNA(IF(VLOOKUP($AA50,$AA$47:$AA49,1,FALSE)=AA50,AA50+AF50,0)),AA50,(IF(VLOOKUP($AA50,$AA$46:$AA50,1,FALSE)=AA50,AA50+AF50,0)))</f>
        <v>#VALUE!</v>
      </c>
      <c r="AC50" s="23" t="str" vm="20">
        <f t="shared" si="12"/>
        <v>Benefits &amp; tax credits</v>
      </c>
      <c r="AD50" s="23" t="str" vm="521">
        <f>CUBEMEMBER("cabcrmsqlrs1 CABReportingCubes Local Advice Event",{"[AIC Outcome].[AIC Part1].&amp;[Benefits &amp; tax credits]","[AIC Outcome].[AIC Part2].&amp;[Benefits &amp; tax credits]&amp;[02 Income Tax]"})</f>
        <v>02 Income Tax</v>
      </c>
      <c r="AE50" s="141" t="str" vm="1142">
        <f t="shared" si="13"/>
        <v/>
      </c>
      <c r="AF50" s="23">
        <f>COUNTIF($AA$47:$AA50,$AA50)-1</f>
        <v>2</v>
      </c>
      <c r="AG50" s="23">
        <v>4</v>
      </c>
      <c r="AH50" s="23" t="e">
        <f t="shared" si="16"/>
        <v>#N/A</v>
      </c>
      <c r="AI50" s="23" t="str">
        <f t="shared" si="17"/>
        <v/>
      </c>
      <c r="AJ50" s="23" t="e">
        <f t="shared" si="18"/>
        <v>#N/A</v>
      </c>
      <c r="AK50" s="141" t="str">
        <f t="shared" si="19"/>
        <v/>
      </c>
      <c r="AP50" s="227" t="s">
        <v>1438</v>
      </c>
      <c r="AQ50" s="279">
        <v>15</v>
      </c>
      <c r="AR50" s="279">
        <v>1</v>
      </c>
      <c r="BG50" s="130">
        <f t="shared" si="9"/>
        <v>19</v>
      </c>
      <c r="BH50" s="130">
        <f>IF(ISNA(IF(VLOOKUP($BG50,$BG$24:$BG49,1,FALSE)=BG50,BG50+BI50,0)),BG50,(IF(VLOOKUP($BG50,$BG$24:$BG49,1,FALSE)=BG50,BG50+BI50,0)))</f>
        <v>35</v>
      </c>
      <c r="BI50" s="23">
        <f>COUNTIF($BG$24:$BG50,BG50)-1</f>
        <v>16</v>
      </c>
      <c r="BJ50" s="227" t="s">
        <v>1380</v>
      </c>
      <c r="BK50" s="279">
        <v>17</v>
      </c>
      <c r="BL50" s="279">
        <v>1</v>
      </c>
    </row>
    <row r="51" spans="1:64">
      <c r="A51" s="65"/>
      <c r="B51" s="65"/>
      <c r="C51" s="65"/>
      <c r="D51" s="65"/>
      <c r="E51" s="65"/>
      <c r="F51" s="65"/>
      <c r="G51" s="65"/>
      <c r="H51" s="65"/>
      <c r="I51" s="65"/>
      <c r="J51" s="65"/>
      <c r="K51" s="65"/>
      <c r="L51" s="65"/>
      <c r="M51" s="65"/>
      <c r="N51" s="65"/>
      <c r="O51" s="65"/>
      <c r="P51" s="65"/>
      <c r="Q51" s="65"/>
      <c r="R51" s="65"/>
      <c r="S51" s="65"/>
      <c r="T51" s="65"/>
      <c r="U51" s="65"/>
      <c r="V51" s="65"/>
      <c r="W51" s="65"/>
      <c r="X51" s="65"/>
      <c r="Z51" s="23" t="e">
        <f t="shared" si="14"/>
        <v>#N/A</v>
      </c>
      <c r="AA51" s="130" t="e">
        <f t="shared" si="15"/>
        <v>#N/A</v>
      </c>
      <c r="AB51" s="130" t="e">
        <f>IF(ISNA(IF(VLOOKUP($AA51,$AA$47:$AA50,1,FALSE)=AA51,AA51+AF51,0)),AA51,(IF(VLOOKUP($AA51,$AA$46:$AA51,1,FALSE)=AA51,AA51+AF51,0)))</f>
        <v>#N/A</v>
      </c>
      <c r="AC51" s="23" t="str" vm="20">
        <f t="shared" si="12"/>
        <v>Benefits &amp; tax credits</v>
      </c>
      <c r="AD51" s="23" t="e">
        <f>CUBEMEMBER("cabcrmsqlrs1 CABReportingCubes Local Advice Event",{"[AIC Outcome].[AIC Part1].&amp;[Benefits &amp; tax credits]","[AIC Outcome].[AIC Part2].&amp;[Benefits &amp; tax credits]&amp;[02 Schemes for the unemployed]"})</f>
        <v>#N/A</v>
      </c>
      <c r="AE51" s="141" t="e">
        <f t="shared" si="13"/>
        <v>#N/A</v>
      </c>
      <c r="AF51" s="23">
        <f>COUNTIF($AA$47:$AA51,$AA51)-1</f>
        <v>1</v>
      </c>
      <c r="AG51" s="23">
        <v>5</v>
      </c>
      <c r="AH51" s="23" t="e">
        <f t="shared" si="16"/>
        <v>#N/A</v>
      </c>
      <c r="AI51" s="23" t="str">
        <f t="shared" si="17"/>
        <v/>
      </c>
      <c r="AJ51" s="23" t="e">
        <f t="shared" si="18"/>
        <v>#N/A</v>
      </c>
      <c r="AK51" s="141" t="str">
        <f t="shared" si="19"/>
        <v/>
      </c>
      <c r="AP51" s="227" t="s">
        <v>1439</v>
      </c>
      <c r="AQ51" s="279">
        <v>15</v>
      </c>
      <c r="AR51" s="279">
        <v>1</v>
      </c>
      <c r="BG51" s="130">
        <f t="shared" si="9"/>
        <v>4</v>
      </c>
      <c r="BH51" s="130">
        <f>IF(ISNA(IF(VLOOKUP($BG51,$BG$24:$BG50,1,FALSE)=BG51,BG51+BI51,0)),BG51,(IF(VLOOKUP($BG51,$BG$24:$BG50,1,FALSE)=BG51,BG51+BI51,0)))</f>
        <v>4</v>
      </c>
      <c r="BI51" s="23">
        <f>COUNTIF($BG$24:$BG51,BG51)-1</f>
        <v>0</v>
      </c>
      <c r="BJ51" s="227" t="s">
        <v>14</v>
      </c>
      <c r="BK51" s="279">
        <v>4</v>
      </c>
      <c r="BL51" s="279">
        <v>101</v>
      </c>
    </row>
    <row r="52" spans="1:64">
      <c r="A52" s="65"/>
      <c r="B52" s="65"/>
      <c r="C52" s="65"/>
      <c r="D52" s="65"/>
      <c r="E52" s="65"/>
      <c r="F52" s="65"/>
      <c r="G52" s="65"/>
      <c r="H52" s="65"/>
      <c r="I52" s="65"/>
      <c r="J52" s="65"/>
      <c r="K52" s="65"/>
      <c r="L52" s="65"/>
      <c r="M52" s="65"/>
      <c r="N52" s="65"/>
      <c r="O52" s="65"/>
      <c r="P52" s="65"/>
      <c r="Q52" s="65"/>
      <c r="R52" s="65"/>
      <c r="S52" s="65"/>
      <c r="T52" s="65"/>
      <c r="U52" s="65"/>
      <c r="V52" s="65"/>
      <c r="W52" s="65"/>
      <c r="X52" s="65"/>
      <c r="Z52" s="23" t="str">
        <f t="shared" si="14"/>
        <v>Benefits &amp; tax credits03 Council Tax</v>
      </c>
      <c r="AA52" s="130" t="e">
        <f t="shared" si="15"/>
        <v>#VALUE!</v>
      </c>
      <c r="AB52" s="130" t="e">
        <f>IF(ISNA(IF(VLOOKUP($AA52,$AA$47:$AA51,1,FALSE)=AA52,AA52+AF52,0)),AA52,(IF(VLOOKUP($AA52,$AA$46:$AA52,1,FALSE)=AA52,AA52+AF52,0)))</f>
        <v>#VALUE!</v>
      </c>
      <c r="AC52" s="23" t="str" vm="20">
        <f t="shared" si="12"/>
        <v>Benefits &amp; tax credits</v>
      </c>
      <c r="AD52" s="23" t="str" vm="441">
        <f>CUBEMEMBER("cabcrmsqlrs1 CABReportingCubes Local Advice Event",{"[AIC Outcome].[AIC Part1].&amp;[Benefits &amp; tax credits]","[AIC Outcome].[AIC Part2].&amp;[Benefits &amp; tax credits]&amp;[03 Council Tax]"})</f>
        <v>03 Council Tax</v>
      </c>
      <c r="AE52" s="141" t="str" vm="1184">
        <f t="shared" si="13"/>
        <v/>
      </c>
      <c r="AF52" s="23">
        <f>COUNTIF($AA$47:$AA52,$AA52)-1</f>
        <v>3</v>
      </c>
      <c r="AG52" s="23">
        <v>6</v>
      </c>
      <c r="AH52" s="23" t="e">
        <f t="shared" si="16"/>
        <v>#N/A</v>
      </c>
      <c r="AI52" s="23" t="str">
        <f t="shared" si="17"/>
        <v/>
      </c>
      <c r="AJ52" s="23" t="e">
        <f t="shared" si="18"/>
        <v>#N/A</v>
      </c>
      <c r="AK52" s="141" t="str">
        <f t="shared" si="19"/>
        <v/>
      </c>
      <c r="AP52" s="227" t="s">
        <v>1440</v>
      </c>
      <c r="AQ52" s="279">
        <v>15</v>
      </c>
      <c r="AR52" s="279">
        <v>1</v>
      </c>
      <c r="BG52" s="130">
        <f t="shared" si="9"/>
        <v>19</v>
      </c>
      <c r="BH52" s="130">
        <f>IF(ISNA(IF(VLOOKUP($BG52,$BG$24:$BG51,1,FALSE)=BG52,BG52+BI52,0)),BG52,(IF(VLOOKUP($BG52,$BG$24:$BG51,1,FALSE)=BG52,BG52+BI52,0)))</f>
        <v>36</v>
      </c>
      <c r="BI52" s="23">
        <f>COUNTIF($BG$24:$BG52,BG52)-1</f>
        <v>17</v>
      </c>
      <c r="BJ52" s="227" t="s">
        <v>1381</v>
      </c>
      <c r="BK52" s="279">
        <v>17</v>
      </c>
      <c r="BL52" s="279">
        <v>1</v>
      </c>
    </row>
    <row r="53" spans="1:64">
      <c r="A53" s="65"/>
      <c r="B53" s="65"/>
      <c r="C53" s="65"/>
      <c r="D53" s="65"/>
      <c r="E53" s="65"/>
      <c r="F53" s="65"/>
      <c r="G53" s="65"/>
      <c r="H53" s="65"/>
      <c r="I53" s="65"/>
      <c r="J53" s="65"/>
      <c r="K53" s="65"/>
      <c r="L53" s="65"/>
      <c r="M53" s="65"/>
      <c r="N53" s="65"/>
      <c r="O53" s="65"/>
      <c r="P53" s="65"/>
      <c r="Q53" s="65"/>
      <c r="R53" s="65"/>
      <c r="S53" s="65"/>
      <c r="T53" s="65"/>
      <c r="U53" s="65"/>
      <c r="V53" s="65"/>
      <c r="W53" s="65"/>
      <c r="X53" s="65"/>
      <c r="Z53" s="23" t="e">
        <f t="shared" si="14"/>
        <v>#N/A</v>
      </c>
      <c r="AA53" s="130" t="e">
        <f t="shared" si="15"/>
        <v>#N/A</v>
      </c>
      <c r="AB53" s="130" t="e">
        <f>IF(ISNA(IF(VLOOKUP($AA53,$AA$47:$AA52,1,FALSE)=AA53,AA53+AF53,0)),AA53,(IF(VLOOKUP($AA53,$AA$46:$AA53,1,FALSE)=AA53,AA53+AF53,0)))</f>
        <v>#N/A</v>
      </c>
      <c r="AC53" s="23" t="str" vm="20">
        <f t="shared" si="12"/>
        <v>Benefits &amp; tax credits</v>
      </c>
      <c r="AD53" s="23" t="e">
        <f>CUBEMEMBER("cabcrmsqlrs1 CABReportingCubes Local Advice Event",{"[AIC Outcome].[AIC Part1].&amp;[Benefits &amp; tax credits]","[AIC Outcome].[AIC Part2].&amp;[Benefits &amp; tax credits]&amp;[03 Driving]"})</f>
        <v>#N/A</v>
      </c>
      <c r="AE53" s="141" t="e">
        <f t="shared" si="13"/>
        <v>#N/A</v>
      </c>
      <c r="AF53" s="23">
        <f>COUNTIF($AA$47:$AA53,$AA53)-1</f>
        <v>2</v>
      </c>
      <c r="AG53" s="23">
        <v>7</v>
      </c>
      <c r="AH53" s="23" t="e">
        <f t="shared" si="16"/>
        <v>#N/A</v>
      </c>
      <c r="AI53" s="23" t="str">
        <f t="shared" si="17"/>
        <v/>
      </c>
      <c r="AJ53" s="23" t="e">
        <f t="shared" si="18"/>
        <v>#N/A</v>
      </c>
      <c r="AK53" s="141" t="str">
        <f t="shared" si="19"/>
        <v/>
      </c>
      <c r="AP53" s="227" t="s">
        <v>1441</v>
      </c>
      <c r="AQ53" s="279">
        <v>10</v>
      </c>
      <c r="AR53" s="279">
        <v>32</v>
      </c>
      <c r="BG53" s="130">
        <f t="shared" si="9"/>
        <v>19</v>
      </c>
      <c r="BH53" s="130">
        <f>IF(ISNA(IF(VLOOKUP($BG53,$BG$24:$BG52,1,FALSE)=BG53,BG53+BI53,0)),BG53,(IF(VLOOKUP($BG53,$BG$24:$BG52,1,FALSE)=BG53,BG53+BI53,0)))</f>
        <v>37</v>
      </c>
      <c r="BI53" s="23">
        <f>COUNTIF($BG$24:$BG53,BG53)-1</f>
        <v>18</v>
      </c>
      <c r="BJ53" s="227" t="s">
        <v>1382</v>
      </c>
      <c r="BK53" s="279">
        <v>17</v>
      </c>
      <c r="BL53" s="279">
        <v>1</v>
      </c>
    </row>
    <row r="54" spans="1:64">
      <c r="A54" s="65"/>
      <c r="B54" s="65"/>
      <c r="C54" s="65"/>
      <c r="D54" s="65"/>
      <c r="E54" s="65"/>
      <c r="F54" s="65"/>
      <c r="G54" s="65"/>
      <c r="H54" s="65"/>
      <c r="I54" s="65"/>
      <c r="J54" s="65"/>
      <c r="K54" s="65"/>
      <c r="L54" s="65"/>
      <c r="M54" s="65"/>
      <c r="N54" s="65"/>
      <c r="O54" s="65"/>
      <c r="P54" s="65"/>
      <c r="Q54" s="65"/>
      <c r="R54" s="65"/>
      <c r="S54" s="65"/>
      <c r="T54" s="65"/>
      <c r="U54" s="65"/>
      <c r="V54" s="65"/>
      <c r="W54" s="65"/>
      <c r="X54" s="65"/>
      <c r="Z54" s="23" t="str">
        <f t="shared" si="14"/>
        <v>Benefits &amp; tax credits03 Pension Credit</v>
      </c>
      <c r="AA54" s="130" t="e">
        <f t="shared" si="15"/>
        <v>#N/A</v>
      </c>
      <c r="AB54" s="130" t="e">
        <f>IF(ISNA(IF(VLOOKUP($AA54,$AA$47:$AA53,1,FALSE)=AA54,AA54+AF54,0)),AA54,(IF(VLOOKUP($AA54,$AA$46:$AA54,1,FALSE)=AA54,AA54+AF54,0)))</f>
        <v>#N/A</v>
      </c>
      <c r="AC54" s="23" t="str" vm="20">
        <f t="shared" si="12"/>
        <v>Benefits &amp; tax credits</v>
      </c>
      <c r="AD54" s="23" t="str" vm="520">
        <f>CUBEMEMBER("cabcrmsqlrs1 CABReportingCubes Local Advice Event",{"[AIC Outcome].[AIC Part1].&amp;[Benefits &amp; tax credits]","[AIC Outcome].[AIC Part2].&amp;[Benefits &amp; tax credits]&amp;[03 Pension Credit]"})</f>
        <v>03 Pension Credit</v>
      </c>
      <c r="AE54" s="141" vm="1211">
        <f t="shared" si="13"/>
        <v>87</v>
      </c>
      <c r="AF54" s="23">
        <f>COUNTIF($AA$47:$AA54,$AA54)-1</f>
        <v>3</v>
      </c>
      <c r="AG54" s="23">
        <v>8</v>
      </c>
      <c r="AH54" s="23" t="e">
        <f t="shared" si="16"/>
        <v>#N/A</v>
      </c>
      <c r="AI54" s="23" t="str">
        <f t="shared" si="17"/>
        <v/>
      </c>
      <c r="AJ54" s="23" t="e">
        <f t="shared" si="18"/>
        <v>#N/A</v>
      </c>
      <c r="AK54" s="141" t="str">
        <f t="shared" si="19"/>
        <v/>
      </c>
      <c r="AP54" s="227" t="s">
        <v>1387</v>
      </c>
      <c r="AQ54" s="279">
        <v>15</v>
      </c>
      <c r="AR54" s="279">
        <v>1</v>
      </c>
      <c r="BG54" s="130">
        <f t="shared" si="9"/>
        <v>19</v>
      </c>
      <c r="BH54" s="130">
        <f>IF(ISNA(IF(VLOOKUP($BG54,$BG$24:$BG53,1,FALSE)=BG54,BG54+BI54,0)),BG54,(IF(VLOOKUP($BG54,$BG$24:$BG53,1,FALSE)=BG54,BG54+BI54,0)))</f>
        <v>38</v>
      </c>
      <c r="BI54" s="23">
        <f>COUNTIF($BG$24:$BG54,BG54)-1</f>
        <v>19</v>
      </c>
      <c r="BJ54" s="227" t="s">
        <v>1383</v>
      </c>
      <c r="BK54" s="279">
        <v>17</v>
      </c>
      <c r="BL54" s="279">
        <v>1</v>
      </c>
    </row>
    <row r="55" spans="1:64">
      <c r="A55" s="65"/>
      <c r="B55" s="65"/>
      <c r="C55" s="65"/>
      <c r="D55" s="65"/>
      <c r="E55" s="65"/>
      <c r="F55" s="65"/>
      <c r="G55" s="65"/>
      <c r="H55" s="65"/>
      <c r="I55" s="65"/>
      <c r="J55" s="65"/>
      <c r="K55" s="65"/>
      <c r="L55" s="65"/>
      <c r="M55" s="65"/>
      <c r="N55" s="65"/>
      <c r="O55" s="65"/>
      <c r="P55" s="65"/>
      <c r="Q55" s="65"/>
      <c r="R55" s="65"/>
      <c r="S55" s="65"/>
      <c r="T55" s="65"/>
      <c r="U55" s="65"/>
      <c r="V55" s="65"/>
      <c r="W55" s="65"/>
      <c r="X55" s="65"/>
      <c r="Z55" s="23" t="e">
        <f t="shared" si="14"/>
        <v>#N/A</v>
      </c>
      <c r="AA55" s="130" t="e">
        <f t="shared" si="15"/>
        <v>#N/A</v>
      </c>
      <c r="AB55" s="130" t="e">
        <f>IF(ISNA(IF(VLOOKUP($AA55,$AA$47:$AA54,1,FALSE)=AA55,AA55+AF55,0)),AA55,(IF(VLOOKUP($AA55,$AA$46:$AA55,1,FALSE)=AA55,AA55+AF55,0)))</f>
        <v>#N/A</v>
      </c>
      <c r="AC55" s="23" t="str" vm="20">
        <f t="shared" si="12"/>
        <v>Benefits &amp; tax credits</v>
      </c>
      <c r="AD55" s="23" t="e">
        <f>CUBEMEMBER("cabcrmsqlrs1 CABReportingCubes Local Advice Event",{"[AIC Outcome].[AIC Part1].&amp;[Benefits &amp; tax credits]","[AIC Outcome].[AIC Part2].&amp;[Benefits &amp; tax credits]&amp;[03 Self Employment/Business]"})</f>
        <v>#N/A</v>
      </c>
      <c r="AE55" s="141" t="e">
        <f t="shared" si="13"/>
        <v>#N/A</v>
      </c>
      <c r="AF55" s="23">
        <f>COUNTIF($AA$47:$AA55,$AA55)-1</f>
        <v>4</v>
      </c>
      <c r="AG55" s="23">
        <v>9</v>
      </c>
      <c r="AH55" s="23" t="e">
        <f t="shared" si="16"/>
        <v>#N/A</v>
      </c>
      <c r="AI55" s="23" t="str">
        <f t="shared" si="17"/>
        <v/>
      </c>
      <c r="AJ55" s="23" t="e">
        <f t="shared" si="18"/>
        <v>#N/A</v>
      </c>
      <c r="AK55" s="141" t="str">
        <f t="shared" si="19"/>
        <v/>
      </c>
      <c r="AP55" s="227" t="s">
        <v>1442</v>
      </c>
      <c r="AQ55" s="279">
        <v>9</v>
      </c>
      <c r="AR55" s="279">
        <v>45</v>
      </c>
      <c r="BG55" s="130">
        <f t="shared" si="9"/>
        <v>19</v>
      </c>
      <c r="BH55" s="130">
        <f>IF(ISNA(IF(VLOOKUP($BG55,$BG$24:$BG54,1,FALSE)=BG55,BG55+BI55,0)),BG55,(IF(VLOOKUP($BG55,$BG$24:$BG54,1,FALSE)=BG55,BG55+BI55,0)))</f>
        <v>39</v>
      </c>
      <c r="BI55" s="23">
        <f>COUNTIF($BG$24:$BG55,BG55)-1</f>
        <v>20</v>
      </c>
      <c r="BJ55" s="227" t="s">
        <v>1384</v>
      </c>
      <c r="BK55" s="279">
        <v>17</v>
      </c>
      <c r="BL55" s="279">
        <v>1</v>
      </c>
    </row>
    <row r="56" spans="1:64">
      <c r="A56" s="65"/>
      <c r="B56" s="65"/>
      <c r="C56" s="65"/>
      <c r="D56" s="65"/>
      <c r="E56" s="65"/>
      <c r="F56" s="65"/>
      <c r="G56" s="65"/>
      <c r="H56" s="65"/>
      <c r="I56" s="65"/>
      <c r="J56" s="65"/>
      <c r="K56" s="65"/>
      <c r="L56" s="65"/>
      <c r="M56" s="65"/>
      <c r="N56" s="65"/>
      <c r="O56" s="65"/>
      <c r="P56" s="65"/>
      <c r="Q56" s="65"/>
      <c r="R56" s="65"/>
      <c r="S56" s="65"/>
      <c r="T56" s="65"/>
      <c r="U56" s="65"/>
      <c r="V56" s="65"/>
      <c r="W56" s="65"/>
      <c r="X56" s="65"/>
      <c r="Z56" s="23" t="e">
        <f t="shared" si="14"/>
        <v>#N/A</v>
      </c>
      <c r="AA56" s="130" t="e">
        <f t="shared" si="15"/>
        <v>#N/A</v>
      </c>
      <c r="AB56" s="130" t="e">
        <f>IF(ISNA(IF(VLOOKUP($AA56,$AA$47:$AA55,1,FALSE)=AA56,AA56+AF56,0)),AA56,(IF(VLOOKUP($AA56,$AA$46:$AA56,1,FALSE)=AA56,AA56+AF56,0)))</f>
        <v>#N/A</v>
      </c>
      <c r="AC56" s="23" t="str" vm="20">
        <f t="shared" si="12"/>
        <v>Benefits &amp; tax credits</v>
      </c>
      <c r="AD56" s="23" t="e">
        <f>CUBEMEMBER("cabcrmsqlrs1 CABReportingCubes Local Advice Event",{"[AIC Outcome].[AIC Part1].&amp;[Benefits &amp; tax credits]","[AIC Outcome].[AIC Part2].&amp;[Benefits &amp; tax credits]&amp;[04 Applying for jobs]"})</f>
        <v>#N/A</v>
      </c>
      <c r="AE56" s="141" t="e">
        <f t="shared" si="13"/>
        <v>#N/A</v>
      </c>
      <c r="AF56" s="23">
        <f>COUNTIF($AA$47:$AA56,$AA56)-1</f>
        <v>5</v>
      </c>
      <c r="AG56" s="23">
        <v>10</v>
      </c>
      <c r="AH56" s="23" t="e">
        <f t="shared" si="16"/>
        <v>#N/A</v>
      </c>
      <c r="AI56" s="23" t="str">
        <f t="shared" si="17"/>
        <v/>
      </c>
      <c r="AJ56" s="23" t="e">
        <f t="shared" si="18"/>
        <v>#N/A</v>
      </c>
      <c r="AK56" s="141" t="str">
        <f t="shared" si="19"/>
        <v/>
      </c>
      <c r="AP56" s="227" t="s">
        <v>1443</v>
      </c>
      <c r="AQ56" s="279">
        <v>7</v>
      </c>
      <c r="AR56" s="279">
        <v>74</v>
      </c>
      <c r="BG56" s="130">
        <f t="shared" si="9"/>
        <v>8</v>
      </c>
      <c r="BH56" s="130">
        <f>IF(ISNA(IF(VLOOKUP($BG56,$BG$24:$BG55,1,FALSE)=BG56,BG56+BI56,0)),BG56,(IF(VLOOKUP($BG56,$BG$24:$BG55,1,FALSE)=BG56,BG56+BI56,0)))</f>
        <v>8</v>
      </c>
      <c r="BI56" s="23">
        <f>COUNTIF($BG$24:$BG56,BG56)-1</f>
        <v>0</v>
      </c>
      <c r="BJ56" s="227" t="s">
        <v>1385</v>
      </c>
      <c r="BK56" s="279">
        <v>7</v>
      </c>
      <c r="BL56" s="279">
        <v>58</v>
      </c>
    </row>
    <row r="57" spans="1:64">
      <c r="A57" s="65"/>
      <c r="B57" s="65"/>
      <c r="C57" s="65"/>
      <c r="D57" s="65"/>
      <c r="E57" s="65"/>
      <c r="F57" s="65"/>
      <c r="G57" s="65"/>
      <c r="H57" s="65"/>
      <c r="I57" s="65"/>
      <c r="J57" s="65"/>
      <c r="K57" s="65"/>
      <c r="L57" s="65"/>
      <c r="M57" s="65"/>
      <c r="N57" s="65"/>
      <c r="O57" s="65"/>
      <c r="P57" s="65"/>
      <c r="Q57" s="65"/>
      <c r="R57" s="65"/>
      <c r="S57" s="65"/>
      <c r="T57" s="65"/>
      <c r="U57" s="65"/>
      <c r="V57" s="65"/>
      <c r="W57" s="65"/>
      <c r="X57" s="65"/>
      <c r="Z57" s="23" t="str">
        <f t="shared" si="14"/>
        <v>Benefits &amp; tax credits04 Family, dependents &amp; partners</v>
      </c>
      <c r="AA57" s="130" t="e">
        <f t="shared" si="15"/>
        <v>#VALUE!</v>
      </c>
      <c r="AB57" s="130" t="e">
        <f>IF(ISNA(IF(VLOOKUP($AA57,$AA$47:$AA56,1,FALSE)=AA57,AA57+AF57,0)),AA57,(IF(VLOOKUP($AA57,$AA$46:$AA57,1,FALSE)=AA57,AA57+AF57,0)))</f>
        <v>#VALUE!</v>
      </c>
      <c r="AC57" s="23" t="str" vm="20">
        <f t="shared" si="12"/>
        <v>Benefits &amp; tax credits</v>
      </c>
      <c r="AD57" s="23" t="str" vm="360">
        <f>CUBEMEMBER("cabcrmsqlrs1 CABReportingCubes Local Advice Event",{"[AIC Outcome].[AIC Part1].&amp;[Benefits &amp; tax credits]","[AIC Outcome].[AIC Part2].&amp;[Benefits &amp; tax credits]&amp;[04 Family, dependents &amp; partners]"})</f>
        <v>04 Family, dependents &amp; partners</v>
      </c>
      <c r="AE57" s="141" t="str" vm="1224">
        <f t="shared" si="13"/>
        <v/>
      </c>
      <c r="AF57" s="23">
        <f>COUNTIF($AA$47:$AA57,$AA57)-1</f>
        <v>4</v>
      </c>
      <c r="AP57" s="227" t="s">
        <v>1444</v>
      </c>
      <c r="AQ57" s="279">
        <v>3</v>
      </c>
      <c r="AR57" s="279">
        <v>108</v>
      </c>
      <c r="BG57" s="130">
        <f t="shared" si="9"/>
        <v>19</v>
      </c>
      <c r="BH57" s="130">
        <f>IF(ISNA(IF(VLOOKUP($BG57,$BG$24:$BG56,1,FALSE)=BG57,BG57+BI57,0)),BG57,(IF(VLOOKUP($BG57,$BG$24:$BG56,1,FALSE)=BG57,BG57+BI57,0)))</f>
        <v>40</v>
      </c>
      <c r="BI57" s="23">
        <f>COUNTIF($BG$24:$BG57,BG57)-1</f>
        <v>21</v>
      </c>
      <c r="BJ57" s="227" t="s">
        <v>1386</v>
      </c>
      <c r="BK57" s="279">
        <v>17</v>
      </c>
      <c r="BL57" s="279">
        <v>1</v>
      </c>
    </row>
    <row r="58" spans="1:64">
      <c r="A58" s="65"/>
      <c r="B58" s="65"/>
      <c r="C58" s="65"/>
      <c r="D58" s="65"/>
      <c r="E58" s="65"/>
      <c r="F58" s="65"/>
      <c r="G58" s="65"/>
      <c r="H58" s="65"/>
      <c r="I58" s="65"/>
      <c r="J58" s="65"/>
      <c r="K58" s="65"/>
      <c r="L58" s="65"/>
      <c r="M58" s="65"/>
      <c r="N58" s="65"/>
      <c r="O58" s="65"/>
      <c r="P58" s="65"/>
      <c r="Q58" s="65"/>
      <c r="R58" s="65"/>
      <c r="S58" s="65"/>
      <c r="T58" s="65"/>
      <c r="U58" s="65"/>
      <c r="V58" s="65"/>
      <c r="W58" s="65"/>
      <c r="X58" s="65"/>
      <c r="Z58" s="23" t="str">
        <f t="shared" si="14"/>
        <v>Benefits &amp; tax credits04 Social Fund Loans-Crisis</v>
      </c>
      <c r="AA58" s="130" t="e">
        <f t="shared" si="15"/>
        <v>#VALUE!</v>
      </c>
      <c r="AB58" s="130" t="e">
        <f>IF(ISNA(IF(VLOOKUP($AA58,$AA$47:$AA57,1,FALSE)=AA58,AA58+AF58,0)),AA58,(IF(VLOOKUP($AA58,$AA$46:$AA58,1,FALSE)=AA58,AA58+AF58,0)))</f>
        <v>#VALUE!</v>
      </c>
      <c r="AC58" s="23" t="str" vm="20">
        <f t="shared" si="12"/>
        <v>Benefits &amp; tax credits</v>
      </c>
      <c r="AD58" s="23" t="str" vm="519">
        <f>CUBEMEMBER("cabcrmsqlrs1 CABReportingCubes Local Advice Event",{"[AIC Outcome].[AIC Part1].&amp;[Benefits &amp; tax credits]","[AIC Outcome].[AIC Part2].&amp;[Benefits &amp; tax credits]&amp;[04 Social Fund Loans-Crisis]"})</f>
        <v>04 Social Fund Loans-Crisis</v>
      </c>
      <c r="AE58" s="141" t="str" vm="1051">
        <f t="shared" si="13"/>
        <v/>
      </c>
      <c r="AF58" s="23">
        <f>COUNTIF($AA$47:$AA58,$AA58)-1</f>
        <v>5</v>
      </c>
      <c r="AP58" s="227" t="s">
        <v>1445</v>
      </c>
      <c r="AQ58" s="279">
        <v>15</v>
      </c>
      <c r="AR58" s="279">
        <v>1</v>
      </c>
      <c r="BG58" s="130">
        <f t="shared" si="9"/>
        <v>19</v>
      </c>
      <c r="BH58" s="130">
        <f>IF(ISNA(IF(VLOOKUP($BG58,$BG$24:$BG57,1,FALSE)=BG58,BG58+BI58,0)),BG58,(IF(VLOOKUP($BG58,$BG$24:$BG57,1,FALSE)=BG58,BG58+BI58,0)))</f>
        <v>41</v>
      </c>
      <c r="BI58" s="23">
        <f>COUNTIF($BG$24:$BG58,BG58)-1</f>
        <v>22</v>
      </c>
      <c r="BJ58" s="227" t="s">
        <v>1387</v>
      </c>
      <c r="BK58" s="279">
        <v>17</v>
      </c>
      <c r="BL58" s="279">
        <v>1</v>
      </c>
    </row>
    <row r="59" spans="1:64">
      <c r="A59" s="65"/>
      <c r="B59" s="65"/>
      <c r="C59" s="65"/>
      <c r="D59" s="65"/>
      <c r="E59" s="65"/>
      <c r="F59" s="65"/>
      <c r="G59" s="65"/>
      <c r="H59" s="65"/>
      <c r="I59" s="65"/>
      <c r="J59" s="65"/>
      <c r="K59" s="65"/>
      <c r="L59" s="65"/>
      <c r="M59" s="65"/>
      <c r="N59" s="65"/>
      <c r="O59" s="65"/>
      <c r="P59" s="65"/>
      <c r="Q59" s="65"/>
      <c r="R59" s="65"/>
      <c r="S59" s="65"/>
      <c r="T59" s="65"/>
      <c r="U59" s="65"/>
      <c r="V59" s="65"/>
      <c r="W59" s="65"/>
      <c r="X59" s="65"/>
      <c r="Z59" s="23" t="str">
        <f t="shared" si="14"/>
        <v>Benefits &amp; tax credits05 Social Fund Loans-Budgeting</v>
      </c>
      <c r="AA59" s="130" t="e">
        <f t="shared" si="15"/>
        <v>#N/A</v>
      </c>
      <c r="AB59" s="130" t="e">
        <f>IF(ISNA(IF(VLOOKUP($AA59,$AA$47:$AA58,1,FALSE)=AA59,AA59+AF59,0)),AA59,(IF(VLOOKUP($AA59,$AA$46:$AA59,1,FALSE)=AA59,AA59+AF59,0)))</f>
        <v>#N/A</v>
      </c>
      <c r="AC59" s="23" t="str" vm="20">
        <f t="shared" si="12"/>
        <v>Benefits &amp; tax credits</v>
      </c>
      <c r="AD59" s="23" t="str" vm="430">
        <f>CUBEMEMBER("cabcrmsqlrs1 CABReportingCubes Local Advice Event",{"[AIC Outcome].[AIC Part1].&amp;[Benefits &amp; tax credits]","[AIC Outcome].[AIC Part2].&amp;[Benefits &amp; tax credits]&amp;[05 Social Fund Loans-Budgeting]"})</f>
        <v>05 Social Fund Loans-Budgeting</v>
      </c>
      <c r="AE59" s="141" vm="1246">
        <f t="shared" si="13"/>
        <v>11</v>
      </c>
      <c r="AF59" s="23">
        <f>COUNTIF($AA$47:$AA59,$AA59)-1</f>
        <v>6</v>
      </c>
      <c r="AP59" s="227" t="s">
        <v>1446</v>
      </c>
      <c r="AQ59" s="279">
        <v>15</v>
      </c>
      <c r="AR59" s="279">
        <v>1</v>
      </c>
      <c r="BG59" s="130">
        <f t="shared" si="9"/>
        <v>7</v>
      </c>
      <c r="BH59" s="130">
        <f>IF(ISNA(IF(VLOOKUP($BG59,$BG$24:$BG58,1,FALSE)=BG59,BG59+BI59,0)),BG59,(IF(VLOOKUP($BG59,$BG$24:$BG58,1,FALSE)=BG59,BG59+BI59,0)))</f>
        <v>7</v>
      </c>
      <c r="BI59" s="23">
        <f>COUNTIF($BG$24:$BG59,BG59)-1</f>
        <v>0</v>
      </c>
      <c r="BJ59" s="227" t="s">
        <v>1388</v>
      </c>
      <c r="BK59" s="279">
        <v>6</v>
      </c>
      <c r="BL59" s="279">
        <v>62</v>
      </c>
    </row>
    <row r="60" spans="1:64">
      <c r="A60" s="65"/>
      <c r="B60" s="65"/>
      <c r="C60" s="65"/>
      <c r="D60" s="65"/>
      <c r="E60" s="65"/>
      <c r="F60" s="65"/>
      <c r="G60" s="65"/>
      <c r="H60" s="65"/>
      <c r="I60" s="65"/>
      <c r="J60" s="65"/>
      <c r="K60" s="65"/>
      <c r="L60" s="65"/>
      <c r="M60" s="65"/>
      <c r="N60" s="65"/>
      <c r="O60" s="65"/>
      <c r="P60" s="65"/>
      <c r="Q60" s="65"/>
      <c r="R60" s="65"/>
      <c r="S60" s="65"/>
      <c r="T60" s="65"/>
      <c r="U60" s="65"/>
      <c r="V60" s="65"/>
      <c r="W60" s="65"/>
      <c r="X60" s="65"/>
      <c r="Z60" s="23" t="e">
        <f t="shared" si="14"/>
        <v>#N/A</v>
      </c>
      <c r="AA60" s="130" t="e">
        <f t="shared" si="15"/>
        <v>#N/A</v>
      </c>
      <c r="AB60" s="130" t="e">
        <f>IF(ISNA(IF(VLOOKUP($AA60,$AA$47:$AA59,1,FALSE)=AA60,AA60+AF60,0)),AA60,(IF(VLOOKUP($AA60,$AA$46:$AA60,1,FALSE)=AA60,AA60+AF60,0)))</f>
        <v>#N/A</v>
      </c>
      <c r="AC60" s="23" t="str" vm="20">
        <f t="shared" si="12"/>
        <v>Benefits &amp; tax credits</v>
      </c>
      <c r="AD60" s="23" t="e">
        <f>CUBEMEMBER("cabcrmsqlrs1 CABReportingCubes Local Advice Event",{"[AIC Outcome].[AIC Part1].&amp;[Benefits &amp; tax credits]","[AIC Outcome].[AIC Part2].&amp;[Benefits &amp; tax credits]&amp;[06 Rent arrears - LAs or ALMOs]"})</f>
        <v>#N/A</v>
      </c>
      <c r="AE60" s="141" t="e">
        <f t="shared" si="13"/>
        <v>#N/A</v>
      </c>
      <c r="AF60" s="23">
        <f>COUNTIF($AA$47:$AA60,$AA60)-1</f>
        <v>7</v>
      </c>
      <c r="AP60" s="227" t="s">
        <v>1395</v>
      </c>
      <c r="AQ60" s="279">
        <v>15</v>
      </c>
      <c r="AR60" s="279">
        <v>1</v>
      </c>
      <c r="BG60" s="130">
        <f t="shared" si="9"/>
        <v>3</v>
      </c>
      <c r="BH60" s="130">
        <f>IF(ISNA(IF(VLOOKUP($BG60,$BG$24:$BG59,1,FALSE)=BG60,BG60+BI60,0)),BG60,(IF(VLOOKUP($BG60,$BG$24:$BG59,1,FALSE)=BG60,BG60+BI60,0)))</f>
        <v>3</v>
      </c>
      <c r="BI60" s="23">
        <f>COUNTIF($BG$24:$BG60,BG60)-1</f>
        <v>0</v>
      </c>
      <c r="BJ60" s="227" t="s">
        <v>1389</v>
      </c>
      <c r="BK60" s="279">
        <v>3</v>
      </c>
      <c r="BL60" s="279">
        <v>121</v>
      </c>
    </row>
    <row r="61" spans="1:64">
      <c r="A61" s="65"/>
      <c r="B61" s="65"/>
      <c r="C61" s="65"/>
      <c r="D61" s="65"/>
      <c r="E61" s="65"/>
      <c r="F61" s="65"/>
      <c r="G61" s="65"/>
      <c r="H61" s="65"/>
      <c r="I61" s="65"/>
      <c r="J61" s="65"/>
      <c r="K61" s="65"/>
      <c r="L61" s="65"/>
      <c r="M61" s="65"/>
      <c r="N61" s="65"/>
      <c r="O61" s="65"/>
      <c r="P61" s="65"/>
      <c r="Q61" s="65"/>
      <c r="R61" s="65"/>
      <c r="S61" s="65"/>
      <c r="T61" s="65"/>
      <c r="U61" s="65"/>
      <c r="V61" s="65"/>
      <c r="W61" s="65"/>
      <c r="X61" s="65"/>
      <c r="Z61" s="23" t="str">
        <f t="shared" si="14"/>
        <v>Benefits &amp; tax credits06 SF Community Care grants</v>
      </c>
      <c r="AA61" s="130" t="e">
        <f t="shared" si="15"/>
        <v>#VALUE!</v>
      </c>
      <c r="AB61" s="130" t="e">
        <f>IF(ISNA(IF(VLOOKUP($AA61,$AA$47:$AA60,1,FALSE)=AA61,AA61+AF61,0)),AA61,(IF(VLOOKUP($AA61,$AA$46:$AA61,1,FALSE)=AA61,AA61+AF61,0)))</f>
        <v>#VALUE!</v>
      </c>
      <c r="AC61" s="23" t="str" vm="20">
        <f t="shared" si="12"/>
        <v>Benefits &amp; tax credits</v>
      </c>
      <c r="AD61" s="23" t="str" vm="359">
        <f>CUBEMEMBER("cabcrmsqlrs1 CABReportingCubes Local Advice Event",{"[AIC Outcome].[AIC Part1].&amp;[Benefits &amp; tax credits]","[AIC Outcome].[AIC Part2].&amp;[Benefits &amp; tax credits]&amp;[06 SF Community Care grants]"})</f>
        <v>06 SF Community Care grants</v>
      </c>
      <c r="AE61" s="141" t="str" vm="1168">
        <f t="shared" si="13"/>
        <v/>
      </c>
      <c r="AF61" s="23">
        <f>COUNTIF($AA$47:$AA61,$AA61)-1</f>
        <v>6</v>
      </c>
      <c r="AP61" s="227" t="s">
        <v>1447</v>
      </c>
      <c r="AQ61" s="279">
        <v>15</v>
      </c>
      <c r="AR61" s="279">
        <v>1</v>
      </c>
      <c r="BG61" s="130">
        <f t="shared" si="9"/>
        <v>19</v>
      </c>
      <c r="BH61" s="130">
        <f>IF(ISNA(IF(VLOOKUP($BG61,$BG$24:$BG60,1,FALSE)=BG61,BG61+BI61,0)),BG61,(IF(VLOOKUP($BG61,$BG$24:$BG60,1,FALSE)=BG61,BG61+BI61,0)))</f>
        <v>42</v>
      </c>
      <c r="BI61" s="23">
        <f>COUNTIF($BG$24:$BG61,BG61)-1</f>
        <v>23</v>
      </c>
      <c r="BJ61" s="227" t="s">
        <v>1390</v>
      </c>
      <c r="BK61" s="279">
        <v>17</v>
      </c>
      <c r="BL61" s="279">
        <v>1</v>
      </c>
    </row>
    <row r="62" spans="1:64">
      <c r="A62" s="65"/>
      <c r="B62" s="65"/>
      <c r="C62" s="65"/>
      <c r="D62" s="65"/>
      <c r="E62" s="65"/>
      <c r="F62" s="65"/>
      <c r="G62" s="65"/>
      <c r="H62" s="65"/>
      <c r="I62" s="65"/>
      <c r="J62" s="65"/>
      <c r="K62" s="65"/>
      <c r="L62" s="65"/>
      <c r="M62" s="65"/>
      <c r="N62" s="65"/>
      <c r="O62" s="65"/>
      <c r="P62" s="65"/>
      <c r="Q62" s="65"/>
      <c r="R62" s="65"/>
      <c r="S62" s="65"/>
      <c r="T62" s="65"/>
      <c r="U62" s="65"/>
      <c r="V62" s="65"/>
      <c r="W62" s="65"/>
      <c r="X62" s="65"/>
      <c r="Z62" s="23" t="str">
        <f t="shared" si="14"/>
        <v>Benefits &amp; tax credits07 Housing Benefit</v>
      </c>
      <c r="AA62" s="130" t="e">
        <f t="shared" si="15"/>
        <v>#N/A</v>
      </c>
      <c r="AB62" s="130" t="e">
        <f>IF(ISNA(IF(VLOOKUP($AA62,$AA$47:$AA61,1,FALSE)=AA62,AA62+AF62,0)),AA62,(IF(VLOOKUP($AA62,$AA$46:$AA62,1,FALSE)=AA62,AA62+AF62,0)))</f>
        <v>#N/A</v>
      </c>
      <c r="AC62" s="23" t="str" vm="20">
        <f t="shared" si="12"/>
        <v>Benefits &amp; tax credits</v>
      </c>
      <c r="AD62" s="23" t="str" vm="518">
        <f>CUBEMEMBER("cabcrmsqlrs1 CABReportingCubes Local Advice Event",{"[AIC Outcome].[AIC Part1].&amp;[Benefits &amp; tax credits]","[AIC Outcome].[AIC Part2].&amp;[Benefits &amp; tax credits]&amp;[07 Housing Benefit]"})</f>
        <v>07 Housing Benefit</v>
      </c>
      <c r="AE62" s="141" vm="1311">
        <f t="shared" si="13"/>
        <v>449</v>
      </c>
      <c r="AF62" s="23">
        <f>COUNTIF($AA$47:$AA62,$AA62)-1</f>
        <v>8</v>
      </c>
      <c r="AP62" s="227" t="s">
        <v>1448</v>
      </c>
      <c r="AQ62" s="279">
        <v>15</v>
      </c>
      <c r="AR62" s="279">
        <v>1</v>
      </c>
      <c r="BG62" s="130">
        <f t="shared" si="9"/>
        <v>19</v>
      </c>
      <c r="BH62" s="130">
        <f>IF(ISNA(IF(VLOOKUP($BG62,$BG$24:$BG61,1,FALSE)=BG62,BG62+BI62,0)),BG62,(IF(VLOOKUP($BG62,$BG$24:$BG61,1,FALSE)=BG62,BG62+BI62,0)))</f>
        <v>43</v>
      </c>
      <c r="BI62" s="23">
        <f>COUNTIF($BG$24:$BG62,BG62)-1</f>
        <v>24</v>
      </c>
      <c r="BJ62" s="227" t="s">
        <v>1391</v>
      </c>
      <c r="BK62" s="279">
        <v>17</v>
      </c>
      <c r="BL62" s="279">
        <v>1</v>
      </c>
    </row>
    <row r="63" spans="1:64">
      <c r="A63" s="65"/>
      <c r="B63" s="65"/>
      <c r="I63" s="65"/>
      <c r="O63" s="65"/>
      <c r="W63" s="65"/>
      <c r="X63" s="65"/>
      <c r="Z63" s="23" t="str">
        <f t="shared" si="14"/>
        <v>Benefits &amp; tax credits08 Child Benefit</v>
      </c>
      <c r="AA63" s="130" t="e">
        <f t="shared" si="15"/>
        <v>#N/A</v>
      </c>
      <c r="AB63" s="130" t="e">
        <f>IF(ISNA(IF(VLOOKUP($AA63,$AA$47:$AA62,1,FALSE)=AA63,AA63+AF63,0)),AA63,(IF(VLOOKUP($AA63,$AA$46:$AA63,1,FALSE)=AA63,AA63+AF63,0)))</f>
        <v>#N/A</v>
      </c>
      <c r="AC63" s="23" t="str" vm="20">
        <f t="shared" si="12"/>
        <v>Benefits &amp; tax credits</v>
      </c>
      <c r="AD63" s="23" t="str" vm="429">
        <f>CUBEMEMBER("cabcrmsqlrs1 CABReportingCubes Local Advice Event",{"[AIC Outcome].[AIC Part1].&amp;[Benefits &amp; tax credits]","[AIC Outcome].[AIC Part2].&amp;[Benefits &amp; tax credits]&amp;[08 Child Benefit]"})</f>
        <v>08 Child Benefit</v>
      </c>
      <c r="AE63" s="141" vm="1273">
        <f t="shared" si="13"/>
        <v>87</v>
      </c>
      <c r="AF63" s="23">
        <f>COUNTIF($AA$47:$AA63,$AA63)-1</f>
        <v>9</v>
      </c>
      <c r="AP63" s="227" t="s">
        <v>503</v>
      </c>
      <c r="AQ63" s="279">
        <v>15</v>
      </c>
      <c r="AR63" s="279">
        <v>1</v>
      </c>
      <c r="BG63" s="130">
        <f t="shared" si="9"/>
        <v>9</v>
      </c>
      <c r="BH63" s="130">
        <f>IF(ISNA(IF(VLOOKUP($BG63,$BG$24:$BG62,1,FALSE)=BG63,BG63+BI63,0)),BG63,(IF(VLOOKUP($BG63,$BG$24:$BG62,1,FALSE)=BG63,BG63+BI63,0)))</f>
        <v>10</v>
      </c>
      <c r="BI63" s="23">
        <f>COUNTIF($BG$24:$BG63,BG63)-1</f>
        <v>1</v>
      </c>
      <c r="BJ63" s="227" t="s">
        <v>1392</v>
      </c>
      <c r="BK63" s="279">
        <v>8</v>
      </c>
      <c r="BL63" s="279">
        <v>48</v>
      </c>
    </row>
    <row r="64" spans="1:64">
      <c r="A64" s="65"/>
      <c r="B64" s="65"/>
      <c r="I64" s="65"/>
      <c r="O64" s="65"/>
      <c r="W64" s="65"/>
      <c r="X64" s="65"/>
      <c r="Z64" s="23" t="str">
        <f t="shared" si="14"/>
        <v>Benefits &amp; tax credits09 Council Tax Benefit</v>
      </c>
      <c r="AA64" s="130" t="e">
        <f t="shared" si="15"/>
        <v>#VALUE!</v>
      </c>
      <c r="AB64" s="130" t="e">
        <f>IF(ISNA(IF(VLOOKUP($AA64,$AA$47:$AA63,1,FALSE)=AA64,AA64+AF64,0)),AA64,(IF(VLOOKUP($AA64,$AA$46:$AA64,1,FALSE)=AA64,AA64+AF64,0)))</f>
        <v>#VALUE!</v>
      </c>
      <c r="AC64" s="23" t="str" vm="20">
        <f t="shared" si="12"/>
        <v>Benefits &amp; tax credits</v>
      </c>
      <c r="AD64" s="23" t="str" vm="440">
        <f>CUBEMEMBER("cabcrmsqlrs1 CABReportingCubes Local Advice Event",{"[AIC Outcome].[AIC Part1].&amp;[Benefits &amp; tax credits]","[AIC Outcome].[AIC Part2].&amp;[Benefits &amp; tax credits]&amp;[09 Council Tax Benefit]"})</f>
        <v>09 Council Tax Benefit</v>
      </c>
      <c r="AE64" s="141" t="str" vm="1207">
        <f t="shared" si="13"/>
        <v/>
      </c>
      <c r="AF64" s="23">
        <f>COUNTIF($AA$47:$AA64,$AA64)-1</f>
        <v>7</v>
      </c>
      <c r="AP64" s="227" t="s">
        <v>1449</v>
      </c>
      <c r="AQ64" s="279">
        <v>13</v>
      </c>
      <c r="AR64" s="279">
        <v>4</v>
      </c>
      <c r="BG64" s="130">
        <f t="shared" si="9"/>
        <v>19</v>
      </c>
      <c r="BH64" s="130">
        <f>IF(ISNA(IF(VLOOKUP($BG64,$BG$24:$BG63,1,FALSE)=BG64,BG64+BI64,0)),BG64,(IF(VLOOKUP($BG64,$BG$24:$BG63,1,FALSE)=BG64,BG64+BI64,0)))</f>
        <v>44</v>
      </c>
      <c r="BI64" s="23">
        <f>COUNTIF($BG$24:$BG64,BG64)-1</f>
        <v>25</v>
      </c>
      <c r="BJ64" s="227" t="s">
        <v>506</v>
      </c>
      <c r="BK64" s="279">
        <v>17</v>
      </c>
      <c r="BL64" s="279">
        <v>1</v>
      </c>
    </row>
    <row r="65" spans="1:64">
      <c r="A65" s="65"/>
      <c r="B65" s="65"/>
      <c r="I65" s="65"/>
      <c r="O65" s="65"/>
      <c r="W65" s="65"/>
      <c r="X65" s="65"/>
      <c r="Z65" s="23" t="e">
        <f t="shared" si="14"/>
        <v>#N/A</v>
      </c>
      <c r="AA65" s="130" t="e">
        <f t="shared" si="15"/>
        <v>#N/A</v>
      </c>
      <c r="AB65" s="130" t="e">
        <f>IF(ISNA(IF(VLOOKUP($AA65,$AA$47:$AA64,1,FALSE)=AA65,AA65+AF65,0)),AA65,(IF(VLOOKUP($AA65,$AA$46:$AA65,1,FALSE)=AA65,AA65+AF65,0)))</f>
        <v>#N/A</v>
      </c>
      <c r="AC65" s="23" t="str" vm="20">
        <f t="shared" si="12"/>
        <v>Benefits &amp; tax credits</v>
      </c>
      <c r="AD65" s="23" t="e">
        <f>CUBEMEMBER("cabcrmsqlrs1 CABReportingCubes Local Advice Event",{"[AIC Outcome].[AIC Part1].&amp;[Benefits &amp; tax credits]","[AIC Outcome].[AIC Part2].&amp;[Benefits &amp; tax credits]&amp;[10 Incapacity]"})</f>
        <v>#N/A</v>
      </c>
      <c r="AE65" s="141" t="e">
        <f t="shared" si="13"/>
        <v>#N/A</v>
      </c>
      <c r="AF65" s="23">
        <f>COUNTIF($AA$47:$AA65,$AA65)-1</f>
        <v>10</v>
      </c>
      <c r="AP65" s="227" t="s">
        <v>1450</v>
      </c>
      <c r="AQ65" s="279">
        <v>1</v>
      </c>
      <c r="AR65" s="279">
        <v>2913</v>
      </c>
      <c r="BG65" s="130">
        <f t="shared" si="9"/>
        <v>19</v>
      </c>
      <c r="BH65" s="130">
        <f>IF(ISNA(IF(VLOOKUP($BG65,$BG$24:$BG64,1,FALSE)=BG65,BG65+BI65,0)),BG65,(IF(VLOOKUP($BG65,$BG$24:$BG64,1,FALSE)=BG65,BG65+BI65,0)))</f>
        <v>45</v>
      </c>
      <c r="BI65" s="23">
        <f>COUNTIF($BG$24:$BG65,BG65)-1</f>
        <v>26</v>
      </c>
      <c r="BJ65" s="227" t="s">
        <v>1393</v>
      </c>
      <c r="BK65" s="279">
        <v>17</v>
      </c>
      <c r="BL65" s="279">
        <v>1</v>
      </c>
    </row>
    <row r="66" spans="1:64">
      <c r="A66" s="65"/>
      <c r="B66" s="65"/>
      <c r="C66" s="65"/>
      <c r="D66" s="65"/>
      <c r="E66" s="65"/>
      <c r="F66" s="65"/>
      <c r="G66" s="65"/>
      <c r="H66" s="65"/>
      <c r="I66" s="65"/>
      <c r="J66" s="65"/>
      <c r="K66" s="65"/>
      <c r="L66" s="65"/>
      <c r="M66" s="65"/>
      <c r="N66" s="65"/>
      <c r="O66" s="65"/>
      <c r="P66" s="65"/>
      <c r="Q66" s="65"/>
      <c r="R66" s="65"/>
      <c r="S66" s="65"/>
      <c r="T66" s="65"/>
      <c r="U66" s="65"/>
      <c r="V66" s="65"/>
      <c r="W66" s="65"/>
      <c r="X66" s="65"/>
      <c r="Z66" s="23" t="str">
        <f t="shared" si="14"/>
        <v>Benefits &amp; tax credits10 Working &amp; Child Tax Credits</v>
      </c>
      <c r="AA66" s="130" t="e">
        <f t="shared" si="15"/>
        <v>#N/A</v>
      </c>
      <c r="AB66" s="130" t="e">
        <f>IF(ISNA(IF(VLOOKUP($AA66,$AA$47:$AA65,1,FALSE)=AA66,AA66+AF66,0)),AA66,(IF(VLOOKUP($AA66,$AA$46:$AA66,1,FALSE)=AA66,AA66+AF66,0)))</f>
        <v>#N/A</v>
      </c>
      <c r="AC66" s="23" t="str" vm="20">
        <f t="shared" si="12"/>
        <v>Benefits &amp; tax credits</v>
      </c>
      <c r="AD66" s="23" t="str" vm="517">
        <f>CUBEMEMBER("cabcrmsqlrs1 CABReportingCubes Local Advice Event",{"[AIC Outcome].[AIC Part1].&amp;[Benefits &amp; tax credits]","[AIC Outcome].[AIC Part2].&amp;[Benefits &amp; tax credits]&amp;[10 Working &amp; Child Tax Credits]"})</f>
        <v>10 Working &amp; Child Tax Credits</v>
      </c>
      <c r="AE66" s="141" vm="1259">
        <f t="shared" si="13"/>
        <v>492</v>
      </c>
      <c r="AF66" s="23">
        <f>COUNTIF($AA$47:$AA66,$AA66)-1</f>
        <v>11</v>
      </c>
      <c r="AP66" s="227" t="s">
        <v>34</v>
      </c>
      <c r="AQ66" s="279"/>
      <c r="AR66" s="279">
        <v>3747</v>
      </c>
      <c r="BG66" s="130">
        <f t="shared" si="9"/>
        <v>19</v>
      </c>
      <c r="BH66" s="130">
        <f>IF(ISNA(IF(VLOOKUP($BG66,$BG$24:$BG65,1,FALSE)=BG66,BG66+BI66,0)),BG66,(IF(VLOOKUP($BG66,$BG$24:$BG65,1,FALSE)=BG66,BG66+BI66,0)))</f>
        <v>46</v>
      </c>
      <c r="BI66" s="23">
        <f>COUNTIF($BG$24:$BG66,BG66)-1</f>
        <v>27</v>
      </c>
      <c r="BJ66" s="227" t="s">
        <v>1394</v>
      </c>
      <c r="BK66" s="279">
        <v>17</v>
      </c>
      <c r="BL66" s="279">
        <v>1</v>
      </c>
    </row>
    <row r="67" spans="1:64">
      <c r="A67" s="65"/>
      <c r="B67" s="65"/>
      <c r="C67" s="65"/>
      <c r="D67" s="65"/>
      <c r="E67" s="65"/>
      <c r="F67" s="65"/>
      <c r="G67" s="65"/>
      <c r="H67" s="65"/>
      <c r="I67" s="65"/>
      <c r="J67" s="65"/>
      <c r="K67" s="65"/>
      <c r="L67" s="65"/>
      <c r="M67" s="65"/>
      <c r="N67" s="65"/>
      <c r="O67" s="65"/>
      <c r="P67" s="65"/>
      <c r="Q67" s="65"/>
      <c r="R67" s="65"/>
      <c r="S67" s="65"/>
      <c r="T67" s="65"/>
      <c r="U67" s="65"/>
      <c r="V67" s="65"/>
      <c r="W67" s="65"/>
      <c r="X67" s="65"/>
      <c r="Z67" s="23" t="str">
        <f t="shared" si="14"/>
        <v>Benefits &amp; tax credits11 Jobseekers Allowance</v>
      </c>
      <c r="AA67" s="130" t="e">
        <f t="shared" si="15"/>
        <v>#N/A</v>
      </c>
      <c r="AB67" s="130" t="e">
        <f>IF(ISNA(IF(VLOOKUP($AA67,$AA$47:$AA66,1,FALSE)=AA67,AA67+AF67,0)),AA67,(IF(VLOOKUP($AA67,$AA$46:$AA67,1,FALSE)=AA67,AA67+AF67,0)))</f>
        <v>#N/A</v>
      </c>
      <c r="AC67" s="23" t="str" vm="20">
        <f t="shared" si="12"/>
        <v>Benefits &amp; tax credits</v>
      </c>
      <c r="AD67" s="23" t="str" vm="428">
        <f>CUBEMEMBER("cabcrmsqlrs1 CABReportingCubes Local Advice Event",{"[AIC Outcome].[AIC Part1].&amp;[Benefits &amp; tax credits]","[AIC Outcome].[AIC Part2].&amp;[Benefits &amp; tax credits]&amp;[11 Jobseekers Allowance]"})</f>
        <v>11 Jobseekers Allowance</v>
      </c>
      <c r="AE67" s="141" vm="1212">
        <f t="shared" si="13"/>
        <v>169</v>
      </c>
      <c r="AF67" s="23">
        <f>COUNTIF($AA$47:$AA67,$AA67)-1</f>
        <v>12</v>
      </c>
      <c r="AP67"/>
      <c r="AQ67"/>
      <c r="AR67"/>
      <c r="BG67" s="130">
        <f t="shared" si="9"/>
        <v>19</v>
      </c>
      <c r="BH67" s="130">
        <f>IF(ISNA(IF(VLOOKUP($BG67,$BG$24:$BG66,1,FALSE)=BG67,BG67+BI67,0)),BG67,(IF(VLOOKUP($BG67,$BG$24:$BG66,1,FALSE)=BG67,BG67+BI67,0)))</f>
        <v>47</v>
      </c>
      <c r="BI67" s="23">
        <f>COUNTIF($BG$24:$BG67,BG67)-1</f>
        <v>28</v>
      </c>
      <c r="BJ67" s="227" t="s">
        <v>1395</v>
      </c>
      <c r="BK67" s="279">
        <v>17</v>
      </c>
      <c r="BL67" s="279">
        <v>1</v>
      </c>
    </row>
    <row r="68" spans="1:64" hidden="1">
      <c r="Z68" s="23" t="str">
        <f t="shared" si="14"/>
        <v>Benefits &amp; tax credits12 National Insurance</v>
      </c>
      <c r="AA68" s="130" t="e">
        <f t="shared" si="15"/>
        <v>#N/A</v>
      </c>
      <c r="AB68" s="130" t="e">
        <f>IF(ISNA(IF(VLOOKUP($AA68,$AA$47:$AA67,1,FALSE)=AA68,AA68+AF68,0)),AA68,(IF(VLOOKUP($AA68,$AA$46:$AA68,1,FALSE)=AA68,AA68+AF68,0)))</f>
        <v>#N/A</v>
      </c>
      <c r="AC68" s="23" t="str" vm="20">
        <f t="shared" si="12"/>
        <v>Benefits &amp; tax credits</v>
      </c>
      <c r="AD68" s="23" t="str" vm="439">
        <f>CUBEMEMBER("cabcrmsqlrs1 CABReportingCubes Local Advice Event",{"[AIC Outcome].[AIC Part1].&amp;[Benefits &amp; tax credits]","[AIC Outcome].[AIC Part2].&amp;[Benefits &amp; tax credits]&amp;[12 National Insurance]"})</f>
        <v>12 National Insurance</v>
      </c>
      <c r="AE68" s="141" vm="1202">
        <f t="shared" si="13"/>
        <v>15</v>
      </c>
      <c r="AF68" s="23">
        <f>COUNTIF($AA$47:$AA68,$AA68)-1</f>
        <v>13</v>
      </c>
      <c r="AP68"/>
      <c r="AQ68"/>
      <c r="AR68"/>
      <c r="BG68" s="130">
        <f t="shared" si="9"/>
        <v>19</v>
      </c>
      <c r="BH68" s="130">
        <f>IF(ISNA(IF(VLOOKUP($BG68,$BG$24:$BG67,1,FALSE)=BG68,BG68+BI68,0)),BG68,(IF(VLOOKUP($BG68,$BG$24:$BG67,1,FALSE)=BG68,BG68+BI68,0)))</f>
        <v>48</v>
      </c>
      <c r="BI68" s="23">
        <f>COUNTIF($BG$24:$BG68,BG68)-1</f>
        <v>29</v>
      </c>
      <c r="BJ68" s="227" t="s">
        <v>1396</v>
      </c>
      <c r="BK68" s="279">
        <v>17</v>
      </c>
      <c r="BL68" s="279">
        <v>1</v>
      </c>
    </row>
    <row r="69" spans="1:64" hidden="1">
      <c r="Z69" s="23" t="e">
        <f t="shared" si="14"/>
        <v>#N/A</v>
      </c>
      <c r="AA69" s="130" t="e">
        <f t="shared" si="15"/>
        <v>#N/A</v>
      </c>
      <c r="AB69" s="130" t="e">
        <f>IF(ISNA(IF(VLOOKUP($AA69,$AA$47:$AA68,1,FALSE)=AA69,AA69+AF69,0)),AA69,(IF(VLOOKUP($AA69,$AA$46:$AA69,1,FALSE)=AA69,AA69+AF69,0)))</f>
        <v>#N/A</v>
      </c>
      <c r="AC69" s="23" t="str" vm="20">
        <f t="shared" si="12"/>
        <v>Benefits &amp; tax credits</v>
      </c>
      <c r="AD69" s="23" t="e">
        <f>CUBEMEMBER("cabcrmsqlrs1 CABReportingCubes Local Advice Event",{"[AIC Outcome].[AIC Part1].&amp;[Benefits &amp; tax credits]","[AIC Outcome].[AIC Part2].&amp;[Benefits &amp; tax credits]&amp;[13 Employment tribunals &amp; appeals]"})</f>
        <v>#N/A</v>
      </c>
      <c r="AE69" s="141" t="e">
        <f t="shared" si="13"/>
        <v>#N/A</v>
      </c>
      <c r="AF69" s="23">
        <f>COUNTIF($AA$47:$AA69,$AA69)-1</f>
        <v>14</v>
      </c>
      <c r="AP69"/>
      <c r="AQ69"/>
      <c r="AR69"/>
      <c r="BG69" s="130">
        <f t="shared" si="9"/>
        <v>19</v>
      </c>
      <c r="BH69" s="130">
        <f>IF(ISNA(IF(VLOOKUP($BG69,$BG$24:$BG68,1,FALSE)=BG69,BG69+BI69,0)),BG69,(IF(VLOOKUP($BG69,$BG$24:$BG68,1,FALSE)=BG69,BG69+BI69,0)))</f>
        <v>49</v>
      </c>
      <c r="BI69" s="23">
        <f>COUNTIF($BG$24:$BG69,BG69)-1</f>
        <v>30</v>
      </c>
      <c r="BJ69" s="227" t="s">
        <v>1397</v>
      </c>
      <c r="BK69" s="279">
        <v>17</v>
      </c>
      <c r="BL69" s="279">
        <v>1</v>
      </c>
    </row>
    <row r="70" spans="1:64" hidden="1">
      <c r="Z70" s="23" t="str">
        <f t="shared" si="14"/>
        <v>Benefits &amp; tax credits13 State Retirement Pension</v>
      </c>
      <c r="AA70" s="130" t="e">
        <f t="shared" si="15"/>
        <v>#N/A</v>
      </c>
      <c r="AB70" s="130" t="e">
        <f>IF(ISNA(IF(VLOOKUP($AA70,$AA$47:$AA69,1,FALSE)=AA70,AA70+AF70,0)),AA70,(IF(VLOOKUP($AA70,$AA$46:$AA70,1,FALSE)=AA70,AA70+AF70,0)))</f>
        <v>#N/A</v>
      </c>
      <c r="AC70" s="23" t="str" vm="20">
        <f t="shared" si="12"/>
        <v>Benefits &amp; tax credits</v>
      </c>
      <c r="AD70" s="23" t="str" vm="516">
        <f>CUBEMEMBER("cabcrmsqlrs1 CABReportingCubes Local Advice Event",{"[AIC Outcome].[AIC Part1].&amp;[Benefits &amp; tax credits]","[AIC Outcome].[AIC Part2].&amp;[Benefits &amp; tax credits]&amp;[13 State Retirement Pension]"})</f>
        <v>13 State Retirement Pension</v>
      </c>
      <c r="AE70" s="141" vm="1030">
        <f t="shared" si="13"/>
        <v>44</v>
      </c>
      <c r="AF70" s="23">
        <f>COUNTIF($AA$47:$AA70,$AA70)-1</f>
        <v>15</v>
      </c>
      <c r="AP70"/>
      <c r="AQ70"/>
      <c r="AR70"/>
      <c r="BG70" s="130">
        <f t="shared" si="9"/>
        <v>19</v>
      </c>
      <c r="BH70" s="130">
        <f>IF(ISNA(IF(VLOOKUP($BG70,$BG$24:$BG69,1,FALSE)=BG70,BG70+BI70,0)),BG70,(IF(VLOOKUP($BG70,$BG$24:$BG69,1,FALSE)=BG70,BG70+BI70,0)))</f>
        <v>50</v>
      </c>
      <c r="BI70" s="23">
        <f>COUNTIF($BG$24:$BG70,BG70)-1</f>
        <v>31</v>
      </c>
      <c r="BJ70" s="227" t="s">
        <v>1398</v>
      </c>
      <c r="BK70" s="279">
        <v>17</v>
      </c>
      <c r="BL70" s="279">
        <v>1</v>
      </c>
    </row>
    <row r="71" spans="1:64" hidden="1">
      <c r="Z71" s="23" t="str">
        <f t="shared" si="14"/>
        <v>Benefits &amp; tax credits14 Incapacity Benefit</v>
      </c>
      <c r="AA71" s="130" t="e">
        <f t="shared" si="15"/>
        <v>#N/A</v>
      </c>
      <c r="AB71" s="130" t="e">
        <f>IF(ISNA(IF(VLOOKUP($AA71,$AA$47:$AA70,1,FALSE)=AA71,AA71+AF71,0)),AA71,(IF(VLOOKUP($AA71,$AA$46:$AA71,1,FALSE)=AA71,AA71+AF71,0)))</f>
        <v>#N/A</v>
      </c>
      <c r="AC71" s="23" t="str" vm="20">
        <f t="shared" si="12"/>
        <v>Benefits &amp; tax credits</v>
      </c>
      <c r="AD71" s="23" t="str" vm="427">
        <f>CUBEMEMBER("cabcrmsqlrs1 CABReportingCubes Local Advice Event",{"[AIC Outcome].[AIC Part1].&amp;[Benefits &amp; tax credits]","[AIC Outcome].[AIC Part2].&amp;[Benefits &amp; tax credits]&amp;[14 Incapacity Benefit]"})</f>
        <v>14 Incapacity Benefit</v>
      </c>
      <c r="AE71" s="141" vm="1050">
        <f t="shared" si="13"/>
        <v>2</v>
      </c>
      <c r="AF71" s="23">
        <f>COUNTIF($AA$47:$AA71,$AA71)-1</f>
        <v>16</v>
      </c>
      <c r="AP71"/>
      <c r="AQ71"/>
      <c r="AR71"/>
      <c r="BG71" s="130">
        <f t="shared" si="9"/>
        <v>4</v>
      </c>
      <c r="BH71" s="130">
        <f>IF(ISNA(IF(VLOOKUP($BG71,$BG$24:$BG70,1,FALSE)=BG71,BG71+BI71,0)),BG71,(IF(VLOOKUP($BG71,$BG$24:$BG70,1,FALSE)=BG71,BG71+BI71,0)))</f>
        <v>5</v>
      </c>
      <c r="BI71" s="23">
        <f>COUNTIF($BG$24:$BG71,BG71)-1</f>
        <v>1</v>
      </c>
      <c r="BJ71" s="227" t="s">
        <v>1399</v>
      </c>
      <c r="BK71" s="279">
        <v>4</v>
      </c>
      <c r="BL71" s="279">
        <v>101</v>
      </c>
    </row>
    <row r="72" spans="1:64" hidden="1">
      <c r="Z72" s="23" t="e">
        <f t="shared" si="14"/>
        <v>#N/A</v>
      </c>
      <c r="AA72" s="130" t="e">
        <f t="shared" si="15"/>
        <v>#N/A</v>
      </c>
      <c r="AB72" s="130" t="e">
        <f>IF(ISNA(IF(VLOOKUP($AA72,$AA$47:$AA71,1,FALSE)=AA72,AA72+AF72,0)),AA72,(IF(VLOOKUP($AA72,$AA$46:$AA72,1,FALSE)=AA72,AA72+AF72,0)))</f>
        <v>#N/A</v>
      </c>
      <c r="AC72" s="23" t="str" vm="20">
        <f t="shared" si="12"/>
        <v>Benefits &amp; tax credits</v>
      </c>
      <c r="AD72" s="23" t="e">
        <f>CUBEMEMBER("cabcrmsqlrs1 CABReportingCubes Local Advice Event",{"[AIC Outcome].[AIC Part1].&amp;[Benefits &amp; tax credits]","[AIC Outcome].[AIC Part2].&amp;[Benefits &amp; tax credits]&amp;[15 DLA-Care Component]"})</f>
        <v>#N/A</v>
      </c>
      <c r="AE72" s="141" t="e">
        <f t="shared" si="13"/>
        <v>#N/A</v>
      </c>
      <c r="AF72" s="23">
        <f>COUNTIF($AA$47:$AA72,$AA72)-1</f>
        <v>17</v>
      </c>
      <c r="AP72"/>
      <c r="AQ72"/>
      <c r="AR72"/>
      <c r="BG72" s="130">
        <f t="shared" si="9"/>
        <v>19</v>
      </c>
      <c r="BH72" s="130">
        <f>IF(ISNA(IF(VLOOKUP($BG72,$BG$24:$BG71,1,FALSE)=BG72,BG72+BI72,0)),BG72,(IF(VLOOKUP($BG72,$BG$24:$BG71,1,FALSE)=BG72,BG72+BI72,0)))</f>
        <v>51</v>
      </c>
      <c r="BI72" s="23">
        <f>COUNTIF($BG$24:$BG72,BG72)-1</f>
        <v>32</v>
      </c>
      <c r="BJ72" s="227" t="s">
        <v>1400</v>
      </c>
      <c r="BK72" s="279">
        <v>17</v>
      </c>
      <c r="BL72" s="279">
        <v>1</v>
      </c>
    </row>
    <row r="73" spans="1:64" hidden="1">
      <c r="Z73" s="23" t="str">
        <f t="shared" si="14"/>
        <v>Benefits &amp; tax credits16 DLA-Mobility Component</v>
      </c>
      <c r="AA73" s="130" t="e">
        <f t="shared" si="15"/>
        <v>#VALUE!</v>
      </c>
      <c r="AB73" s="130" t="e">
        <f>IF(ISNA(IF(VLOOKUP($AA73,$AA$47:$AA72,1,FALSE)=AA73,AA73+AF73,0)),AA73,(IF(VLOOKUP($AA73,$AA$46:$AA73,1,FALSE)=AA73,AA73+AF73,0)))</f>
        <v>#VALUE!</v>
      </c>
      <c r="AC73" s="23" t="str" vm="20">
        <f t="shared" si="12"/>
        <v>Benefits &amp; tax credits</v>
      </c>
      <c r="AD73" s="23" t="str" vm="358">
        <f>CUBEMEMBER("cabcrmsqlrs1 CABReportingCubes Local Advice Event",{"[AIC Outcome].[AIC Part1].&amp;[Benefits &amp; tax credits]","[AIC Outcome].[AIC Part2].&amp;[Benefits &amp; tax credits]&amp;[16 DLA-Mobility Component]"})</f>
        <v>16 DLA-Mobility Component</v>
      </c>
      <c r="AE73" s="141" t="str" vm="1071">
        <f t="shared" si="13"/>
        <v/>
      </c>
      <c r="AF73" s="23">
        <f>COUNTIF($AA$47:$AA73,$AA73)-1</f>
        <v>8</v>
      </c>
      <c r="AP73"/>
      <c r="AQ73"/>
      <c r="AR73"/>
      <c r="BG73" s="130">
        <f t="shared" si="9"/>
        <v>1</v>
      </c>
      <c r="BH73" s="130">
        <f>IF(ISNA(IF(VLOOKUP($BG73,$BG$24:$BG72,1,FALSE)=BG73,BG73+BI73,0)),BG73,(IF(VLOOKUP($BG73,$BG$24:$BG72,1,FALSE)=BG73,BG73+BI73,0)))</f>
        <v>1</v>
      </c>
      <c r="BI73" s="23">
        <f>COUNTIF($BG$24:$BG73,BG73)-1</f>
        <v>0</v>
      </c>
      <c r="BJ73" s="227" t="s">
        <v>1401</v>
      </c>
      <c r="BK73" s="279">
        <v>1</v>
      </c>
      <c r="BL73" s="279">
        <v>2061</v>
      </c>
    </row>
    <row r="74" spans="1:64" hidden="1">
      <c r="Z74" s="23" t="str">
        <f t="shared" si="14"/>
        <v>Benefits &amp; tax credits17 Attendance Allowance</v>
      </c>
      <c r="AA74" s="130" t="e">
        <f t="shared" si="15"/>
        <v>#N/A</v>
      </c>
      <c r="AB74" s="130" t="e">
        <f>IF(ISNA(IF(VLOOKUP($AA74,$AA$47:$AA73,1,FALSE)=AA74,AA74+AF74,0)),AA74,(IF(VLOOKUP($AA74,$AA$46:$AA74,1,FALSE)=AA74,AA74+AF74,0)))</f>
        <v>#N/A</v>
      </c>
      <c r="AC74" s="23" t="str" vm="20">
        <f t="shared" si="12"/>
        <v>Benefits &amp; tax credits</v>
      </c>
      <c r="AD74" s="23" t="str" vm="515">
        <f>CUBEMEMBER("cabcrmsqlrs1 CABReportingCubes Local Advice Event",{"[AIC Outcome].[AIC Part1].&amp;[Benefits &amp; tax credits]","[AIC Outcome].[AIC Part2].&amp;[Benefits &amp; tax credits]&amp;[17 Attendance Allowance]"})</f>
        <v>17 Attendance Allowance</v>
      </c>
      <c r="AE74" s="141" vm="1132">
        <f t="shared" si="13"/>
        <v>44</v>
      </c>
      <c r="AF74" s="23">
        <f>COUNTIF($AA$47:$AA74,$AA74)-1</f>
        <v>18</v>
      </c>
      <c r="AP74"/>
      <c r="AQ74"/>
      <c r="AR74"/>
      <c r="BG74" s="130">
        <f t="shared" si="9"/>
        <v>2</v>
      </c>
      <c r="BH74" s="130">
        <f>IF(ISNA(IF(VLOOKUP($BG74,$BG$24:$BG73,1,FALSE)=BG74,BG74+BI74,0)),BG74,(IF(VLOOKUP($BG74,$BG$24:$BG73,1,FALSE)=BG74,BG74+BI74,0)))</f>
        <v>2</v>
      </c>
      <c r="BI74" s="23">
        <f>COUNTIF($BG$24:$BG74,BG74)-1</f>
        <v>0</v>
      </c>
      <c r="BJ74" s="227" t="s">
        <v>1402</v>
      </c>
      <c r="BK74" s="279">
        <v>2</v>
      </c>
      <c r="BL74" s="279">
        <v>861</v>
      </c>
    </row>
    <row r="75" spans="1:64" hidden="1">
      <c r="Z75" s="23" t="str">
        <f t="shared" si="14"/>
        <v>Benefits &amp; tax credits18 Carers Allowance</v>
      </c>
      <c r="AA75" s="130" t="e">
        <f t="shared" si="15"/>
        <v>#N/A</v>
      </c>
      <c r="AB75" s="130" t="e">
        <f>IF(ISNA(IF(VLOOKUP($AA75,$AA$47:$AA74,1,FALSE)=AA75,AA75+AF75,0)),AA75,(IF(VLOOKUP($AA75,$AA$46:$AA75,1,FALSE)=AA75,AA75+AF75,0)))</f>
        <v>#N/A</v>
      </c>
      <c r="AC75" s="23" t="str" vm="20">
        <f t="shared" si="12"/>
        <v>Benefits &amp; tax credits</v>
      </c>
      <c r="AD75" s="23" t="str" vm="426">
        <f>CUBEMEMBER("cabcrmsqlrs1 CABReportingCubes Local Advice Event",{"[AIC Outcome].[AIC Part1].&amp;[Benefits &amp; tax credits]","[AIC Outcome].[AIC Part2].&amp;[Benefits &amp; tax credits]&amp;[18 Carers Allowance]"})</f>
        <v>18 Carers Allowance</v>
      </c>
      <c r="AE75" s="141" vm="1104">
        <f t="shared" si="13"/>
        <v>88</v>
      </c>
      <c r="AF75" s="23">
        <f>COUNTIF($AA$47:$AA75,$AA75)-1</f>
        <v>19</v>
      </c>
      <c r="AP75"/>
      <c r="AQ75"/>
      <c r="AR75"/>
      <c r="BG75" s="130" t="e">
        <f t="shared" si="9"/>
        <v>#N/A</v>
      </c>
      <c r="BH75" s="130" t="e">
        <f>IF(ISNA(IF(VLOOKUP($BG75,$BG$24:$BG74,1,FALSE)=BG75,BG75+BI75,0)),BG75,(IF(VLOOKUP($BG75,$BG$24:$BG74,1,FALSE)=BG75,BG75+BI75,0)))</f>
        <v>#N/A</v>
      </c>
      <c r="BI75" s="23">
        <f>COUNTIF($BG$24:$BG75,BG75)-1</f>
        <v>0</v>
      </c>
      <c r="BJ75"/>
      <c r="BK75"/>
      <c r="BL75"/>
    </row>
    <row r="76" spans="1:64" hidden="1">
      <c r="Z76" s="23" t="str">
        <f t="shared" si="14"/>
        <v>Benefits &amp; tax credits19 Employment Support Allowance</v>
      </c>
      <c r="AA76" s="130" t="e">
        <f t="shared" si="15"/>
        <v>#N/A</v>
      </c>
      <c r="AB76" s="130" t="e">
        <f>IF(ISNA(IF(VLOOKUP($AA76,$AA$47:$AA75,1,FALSE)=AA76,AA76+AF76,0)),AA76,(IF(VLOOKUP($AA76,$AA$46:$AA76,1,FALSE)=AA76,AA76+AF76,0)))</f>
        <v>#N/A</v>
      </c>
      <c r="AC76" s="23" t="str" vm="20">
        <f t="shared" si="12"/>
        <v>Benefits &amp; tax credits</v>
      </c>
      <c r="AD76" s="23" t="str" vm="514">
        <f>CUBEMEMBER("cabcrmsqlrs1 CABReportingCubes Local Advice Event",{"[AIC Outcome].[AIC Part1].&amp;[Benefits &amp; tax credits]","[AIC Outcome].[AIC Part2].&amp;[Benefits &amp; tax credits]&amp;[19 Employment Support Allowance]"})</f>
        <v>19 Employment Support Allowance</v>
      </c>
      <c r="AE76" s="141" vm="1200">
        <f t="shared" si="13"/>
        <v>875</v>
      </c>
      <c r="AF76" s="23">
        <f>COUNTIF($AA$47:$AA76,$AA76)-1</f>
        <v>20</v>
      </c>
      <c r="AP76"/>
      <c r="AQ76"/>
      <c r="AR76"/>
      <c r="BG76" s="130" t="e">
        <f t="shared" si="9"/>
        <v>#N/A</v>
      </c>
      <c r="BH76" s="130" t="e">
        <f>IF(ISNA(IF(VLOOKUP($BG76,$BG$24:$BG75,1,FALSE)=BG76,BG76+BI76,0)),BG76,(IF(VLOOKUP($BG76,$BG$24:$BG75,1,FALSE)=BG76,BG76+BI76,0)))</f>
        <v>#N/A</v>
      </c>
      <c r="BI76" s="23">
        <f>COUNTIF($BG$24:$BG76,BG76)-1</f>
        <v>1</v>
      </c>
      <c r="BJ76"/>
      <c r="BK76"/>
      <c r="BL76"/>
    </row>
    <row r="77" spans="1:64" hidden="1">
      <c r="Z77" s="23" t="str">
        <f t="shared" si="14"/>
        <v>Benefits &amp; tax credits20 Universal credit</v>
      </c>
      <c r="AA77" s="130" t="e">
        <f t="shared" si="15"/>
        <v>#N/A</v>
      </c>
      <c r="AB77" s="130" t="e">
        <f>IF(ISNA(IF(VLOOKUP($AA77,$AA$47:$AA76,1,FALSE)=AA77,AA77+AF77,0)),AA77,(IF(VLOOKUP($AA77,$AA$46:$AA77,1,FALSE)=AA77,AA77+AF77,0)))</f>
        <v>#N/A</v>
      </c>
      <c r="AC77" s="23" t="str" vm="20">
        <f t="shared" si="12"/>
        <v>Benefits &amp; tax credits</v>
      </c>
      <c r="AD77" s="23" t="str" vm="357">
        <f>CUBEMEMBER("cabcrmsqlrs1 CABReportingCubes Local Advice Event",{"[AIC Outcome].[AIC Part1].&amp;[Benefits &amp; tax credits]","[AIC Outcome].[AIC Part2].&amp;[Benefits &amp; tax credits]&amp;[20 Universal credit]"})</f>
        <v>20 Universal credit</v>
      </c>
      <c r="AE77" s="141" vm="1115">
        <f t="shared" si="13"/>
        <v>105</v>
      </c>
      <c r="AF77" s="23">
        <f>COUNTIF($AA$47:$AA77,$AA77)-1</f>
        <v>21</v>
      </c>
      <c r="AP77"/>
      <c r="AQ77"/>
      <c r="AR77"/>
      <c r="BG77" s="130" t="e">
        <f t="shared" si="9"/>
        <v>#N/A</v>
      </c>
      <c r="BH77" s="130" t="e">
        <f>IF(ISNA(IF(VLOOKUP($BG77,$BG$24:$BG76,1,FALSE)=BG77,BG77+BI77,0)),BG77,(IF(VLOOKUP($BG77,$BG$24:$BG76,1,FALSE)=BG77,BG77+BI77,0)))</f>
        <v>#N/A</v>
      </c>
      <c r="BI77" s="23">
        <f>COUNTIF($BG$24:$BG77,BG77)-1</f>
        <v>2</v>
      </c>
      <c r="BJ77"/>
      <c r="BK77"/>
      <c r="BL77"/>
    </row>
    <row r="78" spans="1:64" hidden="1">
      <c r="Z78" s="23" t="str">
        <f t="shared" si="14"/>
        <v>Benefits &amp; tax credits21 Personal independence payment</v>
      </c>
      <c r="AA78" s="130" t="e">
        <f t="shared" si="15"/>
        <v>#N/A</v>
      </c>
      <c r="AB78" s="130" t="e">
        <f>IF(ISNA(IF(VLOOKUP($AA78,$AA$47:$AA77,1,FALSE)=AA78,AA78+AF78,0)),AA78,(IF(VLOOKUP($AA78,$AA$46:$AA78,1,FALSE)=AA78,AA78+AF78,0)))</f>
        <v>#N/A</v>
      </c>
      <c r="AC78" s="23" t="str" vm="20">
        <f t="shared" si="12"/>
        <v>Benefits &amp; tax credits</v>
      </c>
      <c r="AD78" s="23" t="str" vm="438">
        <f>CUBEMEMBER("cabcrmsqlrs1 CABReportingCubes Local Advice Event",{"[AIC Outcome].[AIC Part1].&amp;[Benefits &amp; tax credits]","[AIC Outcome].[AIC Part2].&amp;[Benefits &amp; tax credits]&amp;[21 Personal independence payment]"})</f>
        <v>21 Personal independence payment</v>
      </c>
      <c r="AE78" s="141" vm="1176">
        <f t="shared" si="13"/>
        <v>1288</v>
      </c>
      <c r="AF78" s="23">
        <f>COUNTIF($AA$47:$AA78,$AA78)-1</f>
        <v>22</v>
      </c>
      <c r="AP78"/>
      <c r="AQ78"/>
      <c r="AR78"/>
      <c r="BG78" s="130" t="e">
        <f t="shared" si="9"/>
        <v>#N/A</v>
      </c>
      <c r="BH78" s="130" t="e">
        <f>IF(ISNA(IF(VLOOKUP($BG78,$BG$24:$BG77,1,FALSE)=BG78,BG78+BI78,0)),BG78,(IF(VLOOKUP($BG78,$BG$24:$BG77,1,FALSE)=BG78,BG78+BI78,0)))</f>
        <v>#N/A</v>
      </c>
      <c r="BI78" s="23">
        <f>COUNTIF($BG$24:$BG78,BG78)-1</f>
        <v>3</v>
      </c>
      <c r="BJ78"/>
      <c r="BK78"/>
      <c r="BL78"/>
    </row>
    <row r="79" spans="1:64" hidden="1">
      <c r="Z79" s="23" t="str">
        <f t="shared" si="14"/>
        <v>Benefits &amp; tax credits22 Localised social welfare</v>
      </c>
      <c r="AA79" s="130" t="e">
        <f t="shared" si="15"/>
        <v>#N/A</v>
      </c>
      <c r="AB79" s="130" t="e">
        <f>IF(ISNA(IF(VLOOKUP($AA79,$AA$47:$AA78,1,FALSE)=AA79,AA79+AF79,0)),AA79,(IF(VLOOKUP($AA79,$AA$46:$AA79,1,FALSE)=AA79,AA79+AF79,0)))</f>
        <v>#N/A</v>
      </c>
      <c r="AC79" s="23" t="str" vm="20">
        <f t="shared" si="12"/>
        <v>Benefits &amp; tax credits</v>
      </c>
      <c r="AD79" s="23" t="str" vm="425">
        <f>CUBEMEMBER("cabcrmsqlrs1 CABReportingCubes Local Advice Event",{"[AIC Outcome].[AIC Part1].&amp;[Benefits &amp; tax credits]","[AIC Outcome].[AIC Part2].&amp;[Benefits &amp; tax credits]&amp;[22 Localised social welfare]"})</f>
        <v>22 Localised social welfare</v>
      </c>
      <c r="AE79" s="141" vm="1098">
        <f t="shared" si="13"/>
        <v>50</v>
      </c>
      <c r="AF79" s="23">
        <f>COUNTIF($AA$47:$AA79,$AA79)-1</f>
        <v>23</v>
      </c>
      <c r="AP79"/>
      <c r="AQ79"/>
      <c r="AR79"/>
      <c r="BG79" s="130" t="e">
        <f t="shared" si="9"/>
        <v>#N/A</v>
      </c>
      <c r="BH79" s="130" t="e">
        <f>IF(ISNA(IF(VLOOKUP($BG79,$BG$24:$BG78,1,FALSE)=BG79,BG79+BI79,0)),BG79,(IF(VLOOKUP($BG79,$BG$24:$BG78,1,FALSE)=BG79,BG79+BI79,0)))</f>
        <v>#N/A</v>
      </c>
      <c r="BI79" s="23">
        <f>COUNTIF($BG$24:$BG79,BG79)-1</f>
        <v>4</v>
      </c>
      <c r="BJ79"/>
      <c r="BK79"/>
      <c r="BL79"/>
    </row>
    <row r="80" spans="1:64" hidden="1">
      <c r="Z80" s="23" t="e">
        <f t="shared" si="14"/>
        <v>#N/A</v>
      </c>
      <c r="AA80" s="130" t="e">
        <f t="shared" si="15"/>
        <v>#N/A</v>
      </c>
      <c r="AB80" s="130" t="e">
        <f>IF(ISNA(IF(VLOOKUP($AA80,$AA$47:$AA79,1,FALSE)=AA80,AA80+AF80,0)),AA80,(IF(VLOOKUP($AA80,$AA$46:$AA80,1,FALSE)=AA80,AA80+AF80,0)))</f>
        <v>#N/A</v>
      </c>
      <c r="AC80" s="23" t="str" vm="20">
        <f t="shared" si="12"/>
        <v>Benefits &amp; tax credits</v>
      </c>
      <c r="AD80" s="23" t="e">
        <f>CUBEMEMBER("cabcrmsqlrs1 CABReportingCubes Local Advice Event",{"[AIC Outcome].[AIC Part1].&amp;[Benefits &amp; tax credits]","[AIC Outcome].[AIC Part2].&amp;[Benefits &amp; tax credits]&amp;[23 Localised support for council tax]"})</f>
        <v>#N/A</v>
      </c>
      <c r="AE80" s="141" t="e">
        <f t="shared" si="13"/>
        <v>#N/A</v>
      </c>
      <c r="AF80" s="23">
        <f>COUNTIF($AA$47:$AA80,$AA80)-1</f>
        <v>24</v>
      </c>
      <c r="AP80"/>
      <c r="AQ80"/>
      <c r="AR80"/>
      <c r="BG80" s="130" t="e">
        <f t="shared" si="9"/>
        <v>#N/A</v>
      </c>
      <c r="BH80" s="130" t="e">
        <f>IF(ISNA(IF(VLOOKUP($BG80,$BG$24:$BG79,1,FALSE)=BG80,BG80+BI80,0)),BG80,(IF(VLOOKUP($BG80,$BG$24:$BG79,1,FALSE)=BG80,BG80+BI80,0)))</f>
        <v>#N/A</v>
      </c>
      <c r="BI80" s="23">
        <f>COUNTIF($BG$24:$BG80,BG80)-1</f>
        <v>5</v>
      </c>
      <c r="BJ80"/>
      <c r="BK80"/>
      <c r="BL80"/>
    </row>
    <row r="81" spans="26:64" hidden="1">
      <c r="Z81" s="23" t="str">
        <f t="shared" si="14"/>
        <v>Benefits &amp; tax credits24 Benefit cap</v>
      </c>
      <c r="AA81" s="130" t="e">
        <f t="shared" si="15"/>
        <v>#N/A</v>
      </c>
      <c r="AB81" s="130" t="e">
        <f>IF(ISNA(IF(VLOOKUP($AA81,$AA$47:$AA80,1,FALSE)=AA81,AA81+AF81,0)),AA81,(IF(VLOOKUP($AA81,$AA$46:$AA81,1,FALSE)=AA81,AA81+AF81,0)))</f>
        <v>#N/A</v>
      </c>
      <c r="AC81" s="23" t="str" vm="20">
        <f t="shared" si="12"/>
        <v>Benefits &amp; tax credits</v>
      </c>
      <c r="AD81" s="23" t="str" vm="424">
        <f>CUBEMEMBER("cabcrmsqlrs1 CABReportingCubes Local Advice Event",{"[AIC Outcome].[AIC Part1].&amp;[Benefits &amp; tax credits]","[AIC Outcome].[AIC Part2].&amp;[Benefits &amp; tax credits]&amp;[24 Benefit cap]"})</f>
        <v>24 Benefit cap</v>
      </c>
      <c r="AE81" s="141" vm="1084">
        <f t="shared" si="13"/>
        <v>5</v>
      </c>
      <c r="AF81" s="23">
        <f>COUNTIF($AA$47:$AA81,$AA81)-1</f>
        <v>25</v>
      </c>
      <c r="AP81"/>
      <c r="AQ81"/>
      <c r="AR81"/>
      <c r="BG81" s="130" t="e">
        <f t="shared" si="9"/>
        <v>#N/A</v>
      </c>
      <c r="BH81" s="130" t="e">
        <f>IF(ISNA(IF(VLOOKUP($BG81,$BG$24:$BG80,1,FALSE)=BG81,BG81+BI81,0)),BG81,(IF(VLOOKUP($BG81,$BG$24:$BG80,1,FALSE)=BG81,BG81+BI81,0)))</f>
        <v>#N/A</v>
      </c>
      <c r="BI81" s="23">
        <f>COUNTIF($BG$24:$BG81,BG81)-1</f>
        <v>6</v>
      </c>
      <c r="BJ81"/>
      <c r="BK81"/>
      <c r="BL81"/>
    </row>
    <row r="82" spans="26:64" hidden="1">
      <c r="Z82" s="23" t="str">
        <f t="shared" si="14"/>
        <v>Benefits &amp; tax credits25 Welfare reform benefit loss</v>
      </c>
      <c r="AA82" s="130" t="e">
        <f t="shared" si="15"/>
        <v>#VALUE!</v>
      </c>
      <c r="AB82" s="130" t="e">
        <f>IF(ISNA(IF(VLOOKUP($AA82,$AA$47:$AA81,1,FALSE)=AA82,AA82+AF82,0)),AA82,(IF(VLOOKUP($AA82,$AA$46:$AA82,1,FALSE)=AA82,AA82+AF82,0)))</f>
        <v>#VALUE!</v>
      </c>
      <c r="AC82" s="23" t="str" vm="20">
        <f t="shared" si="12"/>
        <v>Benefits &amp; tax credits</v>
      </c>
      <c r="AD82" s="23" t="str" vm="513">
        <f>CUBEMEMBER("cabcrmsqlrs1 CABReportingCubes Local Advice Event",{"[AIC Outcome].[AIC Part1].&amp;[Benefits &amp; tax credits]","[AIC Outcome].[AIC Part2].&amp;[Benefits &amp; tax credits]&amp;[25 Welfare reform benefit loss]"})</f>
        <v>25 Welfare reform benefit loss</v>
      </c>
      <c r="AE82" s="141" t="str" vm="1275">
        <f t="shared" si="13"/>
        <v/>
      </c>
      <c r="AF82" s="23">
        <f>COUNTIF($AA$47:$AA82,$AA82)-1</f>
        <v>9</v>
      </c>
      <c r="AP82"/>
      <c r="AQ82"/>
      <c r="AR82"/>
      <c r="BG82" s="130" t="e">
        <f t="shared" si="9"/>
        <v>#N/A</v>
      </c>
      <c r="BH82" s="130" t="e">
        <f>IF(ISNA(IF(VLOOKUP($BG82,$BG$24:$BG81,1,FALSE)=BG82,BG82+BI82,0)),BG82,(IF(VLOOKUP($BG82,$BG$24:$BG81,1,FALSE)=BG82,BG82+BI82,0)))</f>
        <v>#N/A</v>
      </c>
      <c r="BI82" s="23">
        <f>COUNTIF($BG$24:$BG82,BG82)-1</f>
        <v>7</v>
      </c>
      <c r="BJ82"/>
      <c r="BK82"/>
      <c r="BL82"/>
    </row>
    <row r="83" spans="26:64" hidden="1">
      <c r="Z83" s="23" t="e">
        <f t="shared" si="14"/>
        <v>#N/A</v>
      </c>
      <c r="AA83" s="130" t="e">
        <f t="shared" si="15"/>
        <v>#N/A</v>
      </c>
      <c r="AB83" s="130" t="e">
        <f>IF(ISNA(IF(VLOOKUP($AA83,$AA$47:$AA82,1,FALSE)=AA83,AA83+AF83,0)),AA83,(IF(VLOOKUP($AA83,$AA$46:$AA83,1,FALSE)=AA83,AA83+AF83,0)))</f>
        <v>#N/A</v>
      </c>
      <c r="AC83" s="23" t="str" vm="20">
        <f t="shared" si="12"/>
        <v>Benefits &amp; tax credits</v>
      </c>
      <c r="AD83" s="23" t="e">
        <f>CUBEMEMBER("cabcrmsqlrs1 CABReportingCubes Local Advice Event",{"[AIC Outcome].[AIC Part1].&amp;[Benefits &amp; tax credits]","[AIC Outcome].[AIC Part2].&amp;[Benefits &amp; tax credits]&amp;[99 Other]"})</f>
        <v>#N/A</v>
      </c>
      <c r="AE83" s="141" t="e">
        <f t="shared" si="13"/>
        <v>#N/A</v>
      </c>
      <c r="AF83" s="23">
        <f>COUNTIF($AA$47:$AA83,$AA83)-1</f>
        <v>26</v>
      </c>
      <c r="AP83"/>
      <c r="AQ83"/>
      <c r="AR83"/>
      <c r="BG83" s="130" t="e">
        <f t="shared" si="9"/>
        <v>#N/A</v>
      </c>
      <c r="BH83" s="130" t="e">
        <f>IF(ISNA(IF(VLOOKUP($BG83,$BG$24:$BG82,1,FALSE)=BG83,BG83+BI83,0)),BG83,(IF(VLOOKUP($BG83,$BG$24:$BG82,1,FALSE)=BG83,BG83+BI83,0)))</f>
        <v>#N/A</v>
      </c>
      <c r="BI83" s="23">
        <f>COUNTIF($BG$24:$BG83,BG83)-1</f>
        <v>8</v>
      </c>
      <c r="BJ83"/>
      <c r="BK83"/>
      <c r="BL83"/>
    </row>
    <row r="84" spans="26:64" hidden="1">
      <c r="Z84" s="23" t="str">
        <f t="shared" si="14"/>
        <v>Benefits &amp; tax credits99 Other benefits issues</v>
      </c>
      <c r="AA84" s="130" t="e">
        <f t="shared" si="15"/>
        <v>#N/A</v>
      </c>
      <c r="AB84" s="130" t="e">
        <f>IF(ISNA(IF(VLOOKUP($AA84,$AA$47:$AA83,1,FALSE)=AA84,AA84+AF84,0)),AA84,(IF(VLOOKUP($AA84,$AA$46:$AA84,1,FALSE)=AA84,AA84+AF84,0)))</f>
        <v>#N/A</v>
      </c>
      <c r="AC84" s="23" t="str" vm="20">
        <f t="shared" si="12"/>
        <v>Benefits &amp; tax credits</v>
      </c>
      <c r="AD84" s="23" t="str" vm="512">
        <f>CUBEMEMBER("cabcrmsqlrs1 CABReportingCubes Local Advice Event",{"[AIC Outcome].[AIC Part1].&amp;[Benefits &amp; tax credits]","[AIC Outcome].[AIC Part2].&amp;[Benefits &amp; tax credits]&amp;[99 Other benefits issues]"})</f>
        <v>99 Other benefits issues</v>
      </c>
      <c r="AE84" s="141" vm="1046">
        <f t="shared" si="13"/>
        <v>570</v>
      </c>
      <c r="AF84" s="23">
        <f>COUNTIF($AA$47:$AA84,$AA84)-1</f>
        <v>27</v>
      </c>
      <c r="AP84"/>
      <c r="AQ84"/>
      <c r="AR84"/>
      <c r="BG84" s="130" t="e">
        <f t="shared" si="9"/>
        <v>#N/A</v>
      </c>
      <c r="BH84" s="130" t="e">
        <f>IF(ISNA(IF(VLOOKUP($BG84,$BG$24:$BG83,1,FALSE)=BG84,BG84+BI84,0)),BG84,(IF(VLOOKUP($BG84,$BG$24:$BG83,1,FALSE)=BG84,BG84+BI84,0)))</f>
        <v>#N/A</v>
      </c>
      <c r="BI84" s="23">
        <f>COUNTIF($BG$24:$BG84,BG84)-1</f>
        <v>9</v>
      </c>
      <c r="BJ84"/>
      <c r="BK84"/>
      <c r="BL84"/>
    </row>
    <row r="85" spans="26:64" hidden="1">
      <c r="Z85" s="23" t="str">
        <f t="shared" si="14"/>
        <v>Benefits &amp; tax creditsNot recorded/not applicable</v>
      </c>
      <c r="AA85" s="130" t="e">
        <f t="shared" si="15"/>
        <v>#N/A</v>
      </c>
      <c r="AB85" s="130" t="e">
        <f>IF(ISNA(IF(VLOOKUP($AA85,$AA$47:$AA84,1,FALSE)=AA85,AA85+AF85,0)),AA85,(IF(VLOOKUP($AA85,$AA$46:$AA85,1,FALSE)=AA85,AA85+AF85,0)))</f>
        <v>#N/A</v>
      </c>
      <c r="AC85" s="23" t="str" vm="20">
        <f t="shared" si="12"/>
        <v>Benefits &amp; tax credits</v>
      </c>
      <c r="AD85" s="23" t="str" vm="423">
        <f>CUBEMEMBER("cabcrmsqlrs1 CABReportingCubes Local Advice Event",{"[AIC Outcome].[AIC Part1].&amp;[Benefits &amp; tax credits]","[AIC Outcome].[AIC Part2].&amp;[Benefits &amp; tax credits]&amp;[Not recorded/not applicable]"})</f>
        <v>Not recorded/not applicable</v>
      </c>
      <c r="AE85" s="141" vm="1268">
        <f t="shared" si="13"/>
        <v>434</v>
      </c>
      <c r="AF85" s="23">
        <f>COUNTIF($AA$47:$AA85,$AA85)-1</f>
        <v>28</v>
      </c>
      <c r="AP85"/>
      <c r="AQ85"/>
      <c r="AR85"/>
      <c r="BG85" s="130" t="e">
        <f t="shared" si="9"/>
        <v>#N/A</v>
      </c>
      <c r="BH85" s="130" t="e">
        <f>IF(ISNA(IF(VLOOKUP($BG85,$BG$24:$BG84,1,FALSE)=BG85,BG85+BI85,0)),BG85,(IF(VLOOKUP($BG85,$BG$24:$BG84,1,FALSE)=BG85,BG85+BI85,0)))</f>
        <v>#N/A</v>
      </c>
      <c r="BI85" s="23">
        <f>COUNTIF($BG$24:$BG85,BG85)-1</f>
        <v>10</v>
      </c>
      <c r="BJ85"/>
      <c r="BK85"/>
      <c r="BL85"/>
    </row>
    <row r="86" spans="26:64" hidden="1">
      <c r="Z86" s="23" t="str">
        <f t="shared" si="14"/>
        <v>Consumer goods &amp; services01 Discrimination</v>
      </c>
      <c r="AA86" s="130" t="e">
        <f t="shared" si="15"/>
        <v>#VALUE!</v>
      </c>
      <c r="AB86" s="130" t="e">
        <f>IF(ISNA(IF(VLOOKUP($AA86,$AA$47:$AA85,1,FALSE)=AA86,AA86+AF86,0)),AA86,(IF(VLOOKUP($AA86,$AA$46:$AA86,1,FALSE)=AA86,AA86+AF86,0)))</f>
        <v>#VALUE!</v>
      </c>
      <c r="AC86" s="23" t="str" vm="12">
        <f t="shared" ref="AC86:AC114" si="20">CUBEMEMBER("cabcrmsqlrs1 CABReportingCubes Local Advice Event","[AIC Outcome].[AIC Part1].&amp;[Consumer goods &amp; services]")</f>
        <v>Consumer goods &amp; services</v>
      </c>
      <c r="AD86" s="23" t="str" vm="511">
        <f>CUBEMEMBER("cabcrmsqlrs1 CABReportingCubes Local Advice Event",{"[AIC Outcome].[AIC Part1].&amp;[Consumer goods &amp; services]","[AIC Outcome].[AIC Part2].&amp;[Consumer goods &amp; services]&amp;[01 Discrimination]"})</f>
        <v>01 Discrimination</v>
      </c>
      <c r="AE86" s="141" t="str" vm="1238">
        <f t="shared" si="13"/>
        <v/>
      </c>
      <c r="AF86" s="23">
        <f>COUNTIF($AA$47:$AA86,$AA86)-1</f>
        <v>10</v>
      </c>
      <c r="AP86"/>
      <c r="AQ86"/>
      <c r="AR86"/>
      <c r="BG86" s="130" t="e">
        <f t="shared" si="9"/>
        <v>#N/A</v>
      </c>
      <c r="BH86" s="130" t="e">
        <f>IF(ISNA(IF(VLOOKUP($BG86,$BG$24:$BG85,1,FALSE)=BG86,BG86+BI86,0)),BG86,(IF(VLOOKUP($BG86,$BG$24:$BG85,1,FALSE)=BG86,BG86+BI86,0)))</f>
        <v>#N/A</v>
      </c>
      <c r="BI86" s="23">
        <f>COUNTIF($BG$24:$BG86,BG86)-1</f>
        <v>11</v>
      </c>
      <c r="BJ86"/>
      <c r="BK86"/>
      <c r="BL86"/>
    </row>
    <row r="87" spans="26:64" hidden="1">
      <c r="Z87" s="23" t="e">
        <f t="shared" si="14"/>
        <v>#N/A</v>
      </c>
      <c r="AA87" s="130" t="e">
        <f t="shared" si="15"/>
        <v>#N/A</v>
      </c>
      <c r="AB87" s="130" t="e">
        <f>IF(ISNA(IF(VLOOKUP($AA87,$AA$47:$AA86,1,FALSE)=AA87,AA87+AF87,0)),AA87,(IF(VLOOKUP($AA87,$AA$46:$AA87,1,FALSE)=AA87,AA87+AF87,0)))</f>
        <v>#N/A</v>
      </c>
      <c r="AC87" s="23" t="str" vm="12">
        <f t="shared" si="20"/>
        <v>Consumer goods &amp; services</v>
      </c>
      <c r="AD87" s="23" t="e">
        <f>CUBEMEMBER("cabcrmsqlrs1 CABReportingCubes Local Advice Event",{"[AIC Outcome].[AIC Part1].&amp;[Consumer goods &amp; services]","[AIC Outcome].[AIC Part2].&amp;[Consumer goods &amp; services]&amp;[02 Bank/Building &amp; P/O Accounts]"})</f>
        <v>#N/A</v>
      </c>
      <c r="AE87" s="141" t="e">
        <f t="shared" si="13"/>
        <v>#N/A</v>
      </c>
      <c r="AF87" s="23">
        <f>COUNTIF($AA$47:$AA87,$AA87)-1</f>
        <v>29</v>
      </c>
      <c r="AP87"/>
      <c r="AQ87"/>
      <c r="AR87"/>
      <c r="BG87" s="130" t="e">
        <f t="shared" si="9"/>
        <v>#N/A</v>
      </c>
      <c r="BH87" s="130" t="e">
        <f>IF(ISNA(IF(VLOOKUP($BG87,$BG$24:$BG86,1,FALSE)=BG87,BG87+BI87,0)),BG87,(IF(VLOOKUP($BG87,$BG$24:$BG86,1,FALSE)=BG87,BG87+BI87,0)))</f>
        <v>#N/A</v>
      </c>
      <c r="BI87" s="23">
        <f>COUNTIF($BG$24:$BG87,BG87)-1</f>
        <v>12</v>
      </c>
      <c r="BJ87"/>
      <c r="BK87"/>
      <c r="BL87"/>
    </row>
    <row r="88" spans="26:64" hidden="1">
      <c r="Z88" s="23" t="str">
        <f t="shared" si="14"/>
        <v>Consumer goods &amp; services02 Fuel (gas, electricity, oil, coal etc.)</v>
      </c>
      <c r="AA88" s="130" t="e">
        <f t="shared" si="15"/>
        <v>#VALUE!</v>
      </c>
      <c r="AB88" s="130" t="e">
        <f>IF(ISNA(IF(VLOOKUP($AA88,$AA$47:$AA87,1,FALSE)=AA88,AA88+AF88,0)),AA88,(IF(VLOOKUP($AA88,$AA$46:$AA88,1,FALSE)=AA88,AA88+AF88,0)))</f>
        <v>#VALUE!</v>
      </c>
      <c r="AC88" s="23" t="str" vm="12">
        <f t="shared" si="20"/>
        <v>Consumer goods &amp; services</v>
      </c>
      <c r="AD88" s="23" t="str" vm="510">
        <f>CUBEMEMBER("cabcrmsqlrs1 CABReportingCubes Local Advice Event",{"[AIC Outcome].[AIC Part1].&amp;[Consumer goods &amp; services]","[AIC Outcome].[AIC Part2].&amp;[Consumer goods &amp; services]&amp;[02 Fuel (gas, electricity, oil, coal etc.)]"})</f>
        <v>02 Fuel (gas, electricity, oil, coal etc.)</v>
      </c>
      <c r="AE88" s="141" t="str" vm="1089">
        <f t="shared" si="13"/>
        <v/>
      </c>
      <c r="AF88" s="23">
        <f>COUNTIF($AA$47:$AA88,$AA88)-1</f>
        <v>11</v>
      </c>
      <c r="AP88"/>
      <c r="AQ88"/>
      <c r="AR88"/>
      <c r="BG88" s="130" t="e">
        <f t="shared" si="9"/>
        <v>#N/A</v>
      </c>
      <c r="BH88" s="130" t="e">
        <f>IF(ISNA(IF(VLOOKUP($BG88,$BG$24:$BG87,1,FALSE)=BG88,BG88+BI88,0)),BG88,(IF(VLOOKUP($BG88,$BG$24:$BG87,1,FALSE)=BG88,BG88+BI88,0)))</f>
        <v>#N/A</v>
      </c>
      <c r="BI88" s="23">
        <f>COUNTIF($BG$24:$BG88,BG88)-1</f>
        <v>13</v>
      </c>
      <c r="BJ88"/>
      <c r="BK88"/>
      <c r="BL88"/>
    </row>
    <row r="89" spans="26:64" hidden="1">
      <c r="Z89" s="23" t="str">
        <f t="shared" si="14"/>
        <v>Consumer goods &amp; services02 Private sales &amp; internet auctions</v>
      </c>
      <c r="AA89" s="130" t="e">
        <f t="shared" si="15"/>
        <v>#N/A</v>
      </c>
      <c r="AB89" s="130" t="e">
        <f>IF(ISNA(IF(VLOOKUP($AA89,$AA$47:$AA88,1,FALSE)=AA89,AA89+AF89,0)),AA89,(IF(VLOOKUP($AA89,$AA$46:$AA89,1,FALSE)=AA89,AA89+AF89,0)))</f>
        <v>#N/A</v>
      </c>
      <c r="AC89" s="23" t="str" vm="12">
        <f t="shared" si="20"/>
        <v>Consumer goods &amp; services</v>
      </c>
      <c r="AD89" s="23" t="str" vm="422">
        <f>CUBEMEMBER("cabcrmsqlrs1 CABReportingCubes Local Advice Event",{"[AIC Outcome].[AIC Part1].&amp;[Consumer goods &amp; services]","[AIC Outcome].[AIC Part2].&amp;[Consumer goods &amp; services]&amp;[02 Private sales &amp; internet auctions]"})</f>
        <v>02 Private sales &amp; internet auctions</v>
      </c>
      <c r="AE89" s="141" vm="1258">
        <f t="shared" si="13"/>
        <v>8</v>
      </c>
      <c r="AF89" s="23">
        <f>COUNTIF($AA$47:$AA89,$AA89)-1</f>
        <v>30</v>
      </c>
      <c r="AP89"/>
      <c r="AQ89"/>
      <c r="AR89"/>
      <c r="BG89" s="130" t="e">
        <f t="shared" ref="BG89:BG152" si="21">RANK($BL89,$BL$24:$BL$432,0)</f>
        <v>#N/A</v>
      </c>
      <c r="BH89" s="130" t="e">
        <f>IF(ISNA(IF(VLOOKUP($BG89,$BG$24:$BG88,1,FALSE)=BG89,BG89+BI89,0)),BG89,(IF(VLOOKUP($BG89,$BG$24:$BG88,1,FALSE)=BG89,BG89+BI89,0)))</f>
        <v>#N/A</v>
      </c>
      <c r="BI89" s="23">
        <f>COUNTIF($BG$24:$BG89,BG89)-1</f>
        <v>14</v>
      </c>
      <c r="BJ89"/>
      <c r="BK89"/>
      <c r="BL89"/>
    </row>
    <row r="90" spans="26:64" hidden="1">
      <c r="Z90" s="23" t="e">
        <f t="shared" si="14"/>
        <v>#N/A</v>
      </c>
      <c r="AA90" s="130" t="e">
        <f t="shared" si="15"/>
        <v>#N/A</v>
      </c>
      <c r="AB90" s="130" t="e">
        <f>IF(ISNA(IF(VLOOKUP($AA90,$AA$47:$AA89,1,FALSE)=AA90,AA90+AF90,0)),AA90,(IF(VLOOKUP($AA90,$AA$46:$AA90,1,FALSE)=AA90,AA90+AF90,0)))</f>
        <v>#N/A</v>
      </c>
      <c r="AC90" s="23" t="str" vm="12">
        <f t="shared" si="20"/>
        <v>Consumer goods &amp; services</v>
      </c>
      <c r="AD90" s="23" t="e">
        <f>CUBEMEMBER("cabcrmsqlrs1 CABReportingCubes Local Advice Event",{"[AIC Outcome].[AIC Part1].&amp;[Consumer goods &amp; services]","[AIC Outcome].[AIC Part2].&amp;[Consumer goods &amp; services]&amp;[02 Public transport]"})</f>
        <v>#N/A</v>
      </c>
      <c r="AE90" s="141" t="e">
        <f t="shared" si="13"/>
        <v>#N/A</v>
      </c>
      <c r="AF90" s="23">
        <f>COUNTIF($AA$47:$AA90,$AA90)-1</f>
        <v>31</v>
      </c>
      <c r="AP90"/>
      <c r="AQ90"/>
      <c r="AR90"/>
      <c r="BG90" s="130" t="e">
        <f t="shared" si="21"/>
        <v>#N/A</v>
      </c>
      <c r="BH90" s="130" t="e">
        <f>IF(ISNA(IF(VLOOKUP($BG90,$BG$24:$BG89,1,FALSE)=BG90,BG90+BI90,0)),BG90,(IF(VLOOKUP($BG90,$BG$24:$BG89,1,FALSE)=BG90,BG90+BI90,0)))</f>
        <v>#N/A</v>
      </c>
      <c r="BI90" s="23">
        <f>COUNTIF($BG$24:$BG90,BG90)-1</f>
        <v>15</v>
      </c>
      <c r="BJ90"/>
      <c r="BK90"/>
      <c r="BL90"/>
    </row>
    <row r="91" spans="26:64" hidden="1">
      <c r="Z91" s="23" t="str">
        <f t="shared" si="14"/>
        <v>Consumer goods &amp; services03 Building repairs &amp; improvements</v>
      </c>
      <c r="AA91" s="130" t="e">
        <f t="shared" si="15"/>
        <v>#N/A</v>
      </c>
      <c r="AB91" s="130" t="e">
        <f>IF(ISNA(IF(VLOOKUP($AA91,$AA$47:$AA90,1,FALSE)=AA91,AA91+AF91,0)),AA91,(IF(VLOOKUP($AA91,$AA$46:$AA91,1,FALSE)=AA91,AA91+AF91,0)))</f>
        <v>#N/A</v>
      </c>
      <c r="AC91" s="23" t="str" vm="12">
        <f t="shared" si="20"/>
        <v>Consumer goods &amp; services</v>
      </c>
      <c r="AD91" s="23" t="str" vm="421">
        <f>CUBEMEMBER("cabcrmsqlrs1 CABReportingCubes Local Advice Event",{"[AIC Outcome].[AIC Part1].&amp;[Consumer goods &amp; services]","[AIC Outcome].[AIC Part2].&amp;[Consumer goods &amp; services]&amp;[03 Building repairs &amp; improvements]"})</f>
        <v>03 Building repairs &amp; improvements</v>
      </c>
      <c r="AE91" s="141" vm="1199">
        <f t="shared" si="13"/>
        <v>38</v>
      </c>
      <c r="AF91" s="23">
        <f>COUNTIF($AA$47:$AA91,$AA91)-1</f>
        <v>32</v>
      </c>
      <c r="AP91"/>
      <c r="AQ91"/>
      <c r="AR91"/>
      <c r="BG91" s="130" t="e">
        <f t="shared" si="21"/>
        <v>#N/A</v>
      </c>
      <c r="BH91" s="130" t="e">
        <f>IF(ISNA(IF(VLOOKUP($BG91,$BG$24:$BG90,1,FALSE)=BG91,BG91+BI91,0)),BG91,(IF(VLOOKUP($BG91,$BG$24:$BG90,1,FALSE)=BG91,BG91+BI91,0)))</f>
        <v>#N/A</v>
      </c>
      <c r="BI91" s="23">
        <f>COUNTIF($BG$24:$BG91,BG91)-1</f>
        <v>16</v>
      </c>
      <c r="BJ91"/>
      <c r="BK91"/>
      <c r="BL91"/>
    </row>
    <row r="92" spans="26:64" hidden="1">
      <c r="Z92" s="23" t="str">
        <f t="shared" si="14"/>
        <v>Consumer goods &amp; services03 County &amp; High Court proceedings</v>
      </c>
      <c r="AA92" s="130" t="e">
        <f t="shared" si="15"/>
        <v>#VALUE!</v>
      </c>
      <c r="AB92" s="130" t="e">
        <f>IF(ISNA(IF(VLOOKUP($AA92,$AA$47:$AA91,1,FALSE)=AA92,AA92+AF92,0)),AA92,(IF(VLOOKUP($AA92,$AA$46:$AA92,1,FALSE)=AA92,AA92+AF92,0)))</f>
        <v>#VALUE!</v>
      </c>
      <c r="AC92" s="23" t="str" vm="12">
        <f t="shared" si="20"/>
        <v>Consumer goods &amp; services</v>
      </c>
      <c r="AD92" s="23" t="str" vm="509">
        <f>CUBEMEMBER("cabcrmsqlrs1 CABReportingCubes Local Advice Event",{"[AIC Outcome].[AIC Part1].&amp;[Consumer goods &amp; services]","[AIC Outcome].[AIC Part2].&amp;[Consumer goods &amp; services]&amp;[03 County &amp; High Court proceedings]"})</f>
        <v>03 County &amp; High Court proceedings</v>
      </c>
      <c r="AE92" s="141" t="str" vm="1266">
        <f t="shared" si="13"/>
        <v/>
      </c>
      <c r="AF92" s="23">
        <f>COUNTIF($AA$47:$AA92,$AA92)-1</f>
        <v>12</v>
      </c>
      <c r="AP92"/>
      <c r="AQ92"/>
      <c r="AR92"/>
      <c r="BG92" s="130" t="e">
        <f t="shared" si="21"/>
        <v>#N/A</v>
      </c>
      <c r="BH92" s="130" t="e">
        <f>IF(ISNA(IF(VLOOKUP($BG92,$BG$24:$BG91,1,FALSE)=BG92,BG92+BI92,0)),BG92,(IF(VLOOKUP($BG92,$BG$24:$BG91,1,FALSE)=BG92,BG92+BI92,0)))</f>
        <v>#N/A</v>
      </c>
      <c r="BI92" s="23">
        <f>COUNTIF($BG$24:$BG92,BG92)-1</f>
        <v>17</v>
      </c>
      <c r="BJ92"/>
      <c r="BK92"/>
      <c r="BL92"/>
    </row>
    <row r="93" spans="26:64" hidden="1">
      <c r="Z93" s="23" t="str">
        <f t="shared" si="14"/>
        <v>Consumer goods &amp; services03 Driving</v>
      </c>
      <c r="AA93" s="130" t="e">
        <f t="shared" si="15"/>
        <v>#VALUE!</v>
      </c>
      <c r="AB93" s="130" t="e">
        <f>IF(ISNA(IF(VLOOKUP($AA93,$AA$47:$AA92,1,FALSE)=AA93,AA93+AF93,0)),AA93,(IF(VLOOKUP($AA93,$AA$46:$AA93,1,FALSE)=AA93,AA93+AF93,0)))</f>
        <v>#VALUE!</v>
      </c>
      <c r="AC93" s="23" t="str" vm="12">
        <f t="shared" si="20"/>
        <v>Consumer goods &amp; services</v>
      </c>
      <c r="AD93" s="23" t="str" vm="420">
        <f>CUBEMEMBER("cabcrmsqlrs1 CABReportingCubes Local Advice Event",{"[AIC Outcome].[AIC Part1].&amp;[Consumer goods &amp; services]","[AIC Outcome].[AIC Part2].&amp;[Consumer goods &amp; services]&amp;[03 Driving]"})</f>
        <v>03 Driving</v>
      </c>
      <c r="AE93" s="141" t="str" vm="1318">
        <f t="shared" si="13"/>
        <v/>
      </c>
      <c r="AF93" s="23">
        <f>COUNTIF($AA$47:$AA93,$AA93)-1</f>
        <v>13</v>
      </c>
      <c r="AP93"/>
      <c r="AQ93"/>
      <c r="AR93"/>
      <c r="BG93" s="130" t="e">
        <f t="shared" si="21"/>
        <v>#N/A</v>
      </c>
      <c r="BH93" s="130" t="e">
        <f>IF(ISNA(IF(VLOOKUP($BG93,$BG$24:$BG92,1,FALSE)=BG93,BG93+BI93,0)),BG93,(IF(VLOOKUP($BG93,$BG$24:$BG92,1,FALSE)=BG93,BG93+BI93,0)))</f>
        <v>#N/A</v>
      </c>
      <c r="BI93" s="23">
        <f>COUNTIF($BG$24:$BG93,BG93)-1</f>
        <v>18</v>
      </c>
      <c r="BJ93"/>
      <c r="BK93"/>
      <c r="BL93"/>
    </row>
    <row r="94" spans="26:64" hidden="1">
      <c r="Z94" s="23" t="str">
        <f t="shared" si="14"/>
        <v>Consumer goods &amp; services04 Double glazing &amp; associated products</v>
      </c>
      <c r="AA94" s="130" t="e">
        <f t="shared" si="15"/>
        <v>#N/A</v>
      </c>
      <c r="AB94" s="130" t="e">
        <f>IF(ISNA(IF(VLOOKUP($AA94,$AA$47:$AA93,1,FALSE)=AA94,AA94+AF94,0)),AA94,(IF(VLOOKUP($AA94,$AA$46:$AA94,1,FALSE)=AA94,AA94+AF94,0)))</f>
        <v>#N/A</v>
      </c>
      <c r="AC94" s="23" t="str" vm="12">
        <f t="shared" si="20"/>
        <v>Consumer goods &amp; services</v>
      </c>
      <c r="AD94" s="23" t="str" vm="508">
        <f>CUBEMEMBER("cabcrmsqlrs1 CABReportingCubes Local Advice Event",{"[AIC Outcome].[AIC Part1].&amp;[Consumer goods &amp; services]","[AIC Outcome].[AIC Part2].&amp;[Consumer goods &amp; services]&amp;[04 Double glazing &amp; associated products]"})</f>
        <v>04 Double glazing &amp; associated products</v>
      </c>
      <c r="AE94" s="141" vm="1188">
        <f t="shared" si="13"/>
        <v>4</v>
      </c>
      <c r="AF94" s="23">
        <f>COUNTIF($AA$47:$AA94,$AA94)-1</f>
        <v>33</v>
      </c>
      <c r="AP94"/>
      <c r="AQ94"/>
      <c r="AR94"/>
      <c r="BG94" s="130" t="e">
        <f t="shared" si="21"/>
        <v>#N/A</v>
      </c>
      <c r="BH94" s="130" t="e">
        <f>IF(ISNA(IF(VLOOKUP($BG94,$BG$24:$BG93,1,FALSE)=BG94,BG94+BI94,0)),BG94,(IF(VLOOKUP($BG94,$BG$24:$BG93,1,FALSE)=BG94,BG94+BI94,0)))</f>
        <v>#N/A</v>
      </c>
      <c r="BI94" s="23">
        <f>COUNTIF($BG$24:$BG94,BG94)-1</f>
        <v>19</v>
      </c>
      <c r="BJ94"/>
      <c r="BK94"/>
      <c r="BL94"/>
    </row>
    <row r="95" spans="26:64" hidden="1">
      <c r="Z95" s="23" t="str">
        <f t="shared" si="14"/>
        <v>Consumer goods &amp; services05 Furnishings &amp; floor coverings</v>
      </c>
      <c r="AA95" s="130" t="e">
        <f t="shared" si="15"/>
        <v>#N/A</v>
      </c>
      <c r="AB95" s="130" t="e">
        <f>IF(ISNA(IF(VLOOKUP($AA95,$AA$47:$AA94,1,FALSE)=AA95,AA95+AF95,0)),AA95,(IF(VLOOKUP($AA95,$AA$46:$AA95,1,FALSE)=AA95,AA95+AF95,0)))</f>
        <v>#N/A</v>
      </c>
      <c r="AC95" s="23" t="str" vm="12">
        <f t="shared" si="20"/>
        <v>Consumer goods &amp; services</v>
      </c>
      <c r="AD95" s="23" t="str" vm="419">
        <f>CUBEMEMBER("cabcrmsqlrs1 CABReportingCubes Local Advice Event",{"[AIC Outcome].[AIC Part1].&amp;[Consumer goods &amp; services]","[AIC Outcome].[AIC Part2].&amp;[Consumer goods &amp; services]&amp;[05 Furnishings &amp; floor coverings]"})</f>
        <v>05 Furnishings &amp; floor coverings</v>
      </c>
      <c r="AE95" s="141" vm="991">
        <f t="shared" si="13"/>
        <v>16</v>
      </c>
      <c r="AF95" s="23">
        <f>COUNTIF($AA$47:$AA95,$AA95)-1</f>
        <v>34</v>
      </c>
      <c r="AP95"/>
      <c r="AQ95"/>
      <c r="AR95"/>
      <c r="BG95" s="130" t="e">
        <f t="shared" si="21"/>
        <v>#N/A</v>
      </c>
      <c r="BH95" s="130" t="e">
        <f>IF(ISNA(IF(VLOOKUP($BG95,$BG$24:$BG94,1,FALSE)=BG95,BG95+BI95,0)),BG95,(IF(VLOOKUP($BG95,$BG$24:$BG94,1,FALSE)=BG95,BG95+BI95,0)))</f>
        <v>#N/A</v>
      </c>
      <c r="BI95" s="23">
        <f>COUNTIF($BG$24:$BG95,BG95)-1</f>
        <v>20</v>
      </c>
      <c r="BJ95"/>
      <c r="BK95"/>
      <c r="BL95"/>
    </row>
    <row r="96" spans="26:64" hidden="1">
      <c r="Z96" s="23" t="str">
        <f t="shared" si="14"/>
        <v>Consumer goods &amp; services06 Electrical appliances &amp; repairs</v>
      </c>
      <c r="AA96" s="130" t="e">
        <f t="shared" si="15"/>
        <v>#N/A</v>
      </c>
      <c r="AB96" s="130" t="e">
        <f>IF(ISNA(IF(VLOOKUP($AA96,$AA$47:$AA95,1,FALSE)=AA96,AA96+AF96,0)),AA96,(IF(VLOOKUP($AA96,$AA$46:$AA96,1,FALSE)=AA96,AA96+AF96,0)))</f>
        <v>#N/A</v>
      </c>
      <c r="AC96" s="23" t="str" vm="12">
        <f t="shared" si="20"/>
        <v>Consumer goods &amp; services</v>
      </c>
      <c r="AD96" s="23" t="str" vm="507">
        <f>CUBEMEMBER("cabcrmsqlrs1 CABReportingCubes Local Advice Event",{"[AIC Outcome].[AIC Part1].&amp;[Consumer goods &amp; services]","[AIC Outcome].[AIC Part2].&amp;[Consumer goods &amp; services]&amp;[06 Electrical appliances &amp; repairs]"})</f>
        <v>06 Electrical appliances &amp; repairs</v>
      </c>
      <c r="AE96" s="141" vm="1022">
        <f t="shared" si="13"/>
        <v>11</v>
      </c>
      <c r="AF96" s="23">
        <f>COUNTIF($AA$47:$AA96,$AA96)-1</f>
        <v>35</v>
      </c>
      <c r="AP96"/>
      <c r="AQ96"/>
      <c r="AR96"/>
      <c r="BG96" s="130" t="e">
        <f t="shared" si="21"/>
        <v>#N/A</v>
      </c>
      <c r="BH96" s="130" t="e">
        <f>IF(ISNA(IF(VLOOKUP($BG96,$BG$24:$BG95,1,FALSE)=BG96,BG96+BI96,0)),BG96,(IF(VLOOKUP($BG96,$BG$24:$BG95,1,FALSE)=BG96,BG96+BI96,0)))</f>
        <v>#N/A</v>
      </c>
      <c r="BI96" s="23">
        <f>COUNTIF($BG$24:$BG96,BG96)-1</f>
        <v>21</v>
      </c>
      <c r="BJ96"/>
      <c r="BK96"/>
      <c r="BL96"/>
    </row>
    <row r="97" spans="26:64" hidden="1">
      <c r="Z97" s="23" t="str">
        <f t="shared" si="14"/>
        <v>Consumer goods &amp; services07 Computer hardware &amp; software</v>
      </c>
      <c r="AA97" s="130" t="e">
        <f t="shared" si="15"/>
        <v>#N/A</v>
      </c>
      <c r="AB97" s="130" t="e">
        <f>IF(ISNA(IF(VLOOKUP($AA97,$AA$47:$AA96,1,FALSE)=AA97,AA97+AF97,0)),AA97,(IF(VLOOKUP($AA97,$AA$46:$AA97,1,FALSE)=AA97,AA97+AF97,0)))</f>
        <v>#N/A</v>
      </c>
      <c r="AC97" s="23" t="str" vm="12">
        <f t="shared" si="20"/>
        <v>Consumer goods &amp; services</v>
      </c>
      <c r="AD97" s="23" t="str" vm="418">
        <f>CUBEMEMBER("cabcrmsqlrs1 CABReportingCubes Local Advice Event",{"[AIC Outcome].[AIC Part1].&amp;[Consumer goods &amp; services]","[AIC Outcome].[AIC Part2].&amp;[Consumer goods &amp; services]&amp;[07 Computer hardware &amp; software]"})</f>
        <v>07 Computer hardware &amp; software</v>
      </c>
      <c r="AE97" s="141" vm="1250">
        <f t="shared" si="13"/>
        <v>4</v>
      </c>
      <c r="AF97" s="23">
        <f>COUNTIF($AA$47:$AA97,$AA97)-1</f>
        <v>36</v>
      </c>
      <c r="AP97"/>
      <c r="AQ97"/>
      <c r="AR97"/>
      <c r="BG97" s="130" t="e">
        <f t="shared" si="21"/>
        <v>#N/A</v>
      </c>
      <c r="BH97" s="130" t="e">
        <f>IF(ISNA(IF(VLOOKUP($BG97,$BG$24:$BG96,1,FALSE)=BG97,BG97+BI97,0)),BG97,(IF(VLOOKUP($BG97,$BG$24:$BG96,1,FALSE)=BG97,BG97+BI97,0)))</f>
        <v>#N/A</v>
      </c>
      <c r="BI97" s="23">
        <f>COUNTIF($BG$24:$BG97,BG97)-1</f>
        <v>22</v>
      </c>
      <c r="BJ97"/>
      <c r="BK97"/>
      <c r="BL97"/>
    </row>
    <row r="98" spans="26:64" hidden="1">
      <c r="Z98" s="23" t="str">
        <f t="shared" si="14"/>
        <v>Consumer goods &amp; services08 Clothing &amp; footwear</v>
      </c>
      <c r="AA98" s="130" t="e">
        <f t="shared" si="15"/>
        <v>#VALUE!</v>
      </c>
      <c r="AB98" s="130" t="e">
        <f>IF(ISNA(IF(VLOOKUP($AA98,$AA$47:$AA97,1,FALSE)=AA98,AA98+AF98,0)),AA98,(IF(VLOOKUP($AA98,$AA$46:$AA98,1,FALSE)=AA98,AA98+AF98,0)))</f>
        <v>#VALUE!</v>
      </c>
      <c r="AC98" s="23" t="str" vm="12">
        <f t="shared" si="20"/>
        <v>Consumer goods &amp; services</v>
      </c>
      <c r="AD98" s="23" t="str" vm="506">
        <f>CUBEMEMBER("cabcrmsqlrs1 CABReportingCubes Local Advice Event",{"[AIC Outcome].[AIC Part1].&amp;[Consumer goods &amp; services]","[AIC Outcome].[AIC Part2].&amp;[Consumer goods &amp; services]&amp;[08 Clothing &amp; footwear]"})</f>
        <v>08 Clothing &amp; footwear</v>
      </c>
      <c r="AE98" s="141" t="str" vm="1143">
        <f t="shared" si="13"/>
        <v/>
      </c>
      <c r="AF98" s="23">
        <f>COUNTIF($AA$47:$AA98,$AA98)-1</f>
        <v>14</v>
      </c>
      <c r="AP98"/>
      <c r="AQ98"/>
      <c r="AR98"/>
      <c r="BG98" s="130" t="e">
        <f t="shared" si="21"/>
        <v>#N/A</v>
      </c>
      <c r="BH98" s="130" t="e">
        <f>IF(ISNA(IF(VLOOKUP($BG98,$BG$24:$BG97,1,FALSE)=BG98,BG98+BI98,0)),BG98,(IF(VLOOKUP($BG98,$BG$24:$BG97,1,FALSE)=BG98,BG98+BI98,0)))</f>
        <v>#N/A</v>
      </c>
      <c r="BI98" s="23">
        <f>COUNTIF($BG$24:$BG98,BG98)-1</f>
        <v>23</v>
      </c>
      <c r="BJ98"/>
      <c r="BK98"/>
      <c r="BL98"/>
    </row>
    <row r="99" spans="26:64" hidden="1">
      <c r="Z99" s="23" t="e">
        <f t="shared" si="14"/>
        <v>#N/A</v>
      </c>
      <c r="AA99" s="130" t="e">
        <f t="shared" si="15"/>
        <v>#N/A</v>
      </c>
      <c r="AB99" s="130" t="e">
        <f>IF(ISNA(IF(VLOOKUP($AA99,$AA$47:$AA98,1,FALSE)=AA99,AA99+AF99,0)),AA99,(IF(VLOOKUP($AA99,$AA$46:$AA99,1,FALSE)=AA99,AA99+AF99,0)))</f>
        <v>#N/A</v>
      </c>
      <c r="AC99" s="23" t="str" vm="12">
        <f t="shared" si="20"/>
        <v>Consumer goods &amp; services</v>
      </c>
      <c r="AD99" s="23" t="e">
        <f>CUBEMEMBER("cabcrmsqlrs1 CABReportingCubes Local Advice Event",{"[AIC Outcome].[AIC Part1].&amp;[Consumer goods &amp; services]","[AIC Outcome].[AIC Part2].&amp;[Consumer goods &amp; services]&amp;[09 Debt mgt. services &amp; credit repair]"})</f>
        <v>#N/A</v>
      </c>
      <c r="AE99" s="141" t="e">
        <f t="shared" si="13"/>
        <v>#N/A</v>
      </c>
      <c r="AF99" s="23">
        <f>COUNTIF($AA$47:$AA99,$AA99)-1</f>
        <v>37</v>
      </c>
      <c r="AP99"/>
      <c r="AQ99"/>
      <c r="AR99"/>
      <c r="BG99" s="130" t="e">
        <f t="shared" si="21"/>
        <v>#N/A</v>
      </c>
      <c r="BH99" s="130" t="e">
        <f>IF(ISNA(IF(VLOOKUP($BG99,$BG$24:$BG98,1,FALSE)=BG99,BG99+BI99,0)),BG99,(IF(VLOOKUP($BG99,$BG$24:$BG98,1,FALSE)=BG99,BG99+BI99,0)))</f>
        <v>#N/A</v>
      </c>
      <c r="BI99" s="23">
        <f>COUNTIF($BG$24:$BG99,BG99)-1</f>
        <v>24</v>
      </c>
      <c r="BJ99"/>
      <c r="BK99"/>
      <c r="BL99"/>
    </row>
    <row r="100" spans="26:64" hidden="1">
      <c r="Z100" s="23" t="str">
        <f t="shared" si="14"/>
        <v>Consumer goods &amp; services09 Personal Development Courses (incl IT)</v>
      </c>
      <c r="AA100" s="130" t="e">
        <f t="shared" si="15"/>
        <v>#N/A</v>
      </c>
      <c r="AB100" s="130" t="e">
        <f>IF(ISNA(IF(VLOOKUP($AA100,$AA$47:$AA99,1,FALSE)=AA100,AA100+AF100,0)),AA100,(IF(VLOOKUP($AA100,$AA$46:$AA100,1,FALSE)=AA100,AA100+AF100,0)))</f>
        <v>#N/A</v>
      </c>
      <c r="AC100" s="23" t="str" vm="12">
        <f t="shared" si="20"/>
        <v>Consumer goods &amp; services</v>
      </c>
      <c r="AD100" s="23" t="str" vm="505">
        <f>CUBEMEMBER("cabcrmsqlrs1 CABReportingCubes Local Advice Event",{"[AIC Outcome].[AIC Part1].&amp;[Consumer goods &amp; services]","[AIC Outcome].[AIC Part2].&amp;[Consumer goods &amp; services]&amp;[09 Personal Development Courses (incl IT)]"})</f>
        <v>09 Personal Development Courses (incl IT)</v>
      </c>
      <c r="AE100" s="141" vm="1156">
        <f t="shared" si="13"/>
        <v>5</v>
      </c>
      <c r="AF100" s="23">
        <f>COUNTIF($AA$47:$AA100,$AA100)-1</f>
        <v>38</v>
      </c>
      <c r="AP100"/>
      <c r="AQ100"/>
      <c r="AR100"/>
      <c r="BG100" s="130" t="e">
        <f t="shared" si="21"/>
        <v>#N/A</v>
      </c>
      <c r="BH100" s="130" t="e">
        <f>IF(ISNA(IF(VLOOKUP($BG100,$BG$24:$BG99,1,FALSE)=BG100,BG100+BI100,0)),BG100,(IF(VLOOKUP($BG100,$BG$24:$BG99,1,FALSE)=BG100,BG100+BI100,0)))</f>
        <v>#N/A</v>
      </c>
      <c r="BI100" s="23">
        <f>COUNTIF($BG$24:$BG100,BG100)-1</f>
        <v>25</v>
      </c>
      <c r="BJ100"/>
      <c r="BK100"/>
      <c r="BL100"/>
    </row>
    <row r="101" spans="26:64" hidden="1">
      <c r="Z101" s="23" t="str">
        <f t="shared" si="14"/>
        <v>Consumer goods &amp; services10 Disability aids &amp; adaptations</v>
      </c>
      <c r="AA101" s="130" t="e">
        <f t="shared" si="15"/>
        <v>#N/A</v>
      </c>
      <c r="AB101" s="130" t="e">
        <f>IF(ISNA(IF(VLOOKUP($AA101,$AA$47:$AA100,1,FALSE)=AA101,AA101+AF101,0)),AA101,(IF(VLOOKUP($AA101,$AA$46:$AA101,1,FALSE)=AA101,AA101+AF101,0)))</f>
        <v>#N/A</v>
      </c>
      <c r="AC101" s="23" t="str" vm="12">
        <f t="shared" si="20"/>
        <v>Consumer goods &amp; services</v>
      </c>
      <c r="AD101" s="23" t="str" vm="417">
        <f>CUBEMEMBER("cabcrmsqlrs1 CABReportingCubes Local Advice Event",{"[AIC Outcome].[AIC Part1].&amp;[Consumer goods &amp; services]","[AIC Outcome].[AIC Part2].&amp;[Consumer goods &amp; services]&amp;[10 Disability aids &amp; adaptations]"})</f>
        <v>10 Disability aids &amp; adaptations</v>
      </c>
      <c r="AE101" s="141" vm="993">
        <f t="shared" si="13"/>
        <v>3</v>
      </c>
      <c r="AF101" s="23">
        <f>COUNTIF($AA$47:$AA101,$AA101)-1</f>
        <v>39</v>
      </c>
      <c r="AP101"/>
      <c r="AQ101"/>
      <c r="AR101"/>
      <c r="BG101" s="130" t="e">
        <f t="shared" si="21"/>
        <v>#N/A</v>
      </c>
      <c r="BH101" s="130" t="e">
        <f>IF(ISNA(IF(VLOOKUP($BG101,$BG$24:$BG100,1,FALSE)=BG101,BG101+BI101,0)),BG101,(IF(VLOOKUP($BG101,$BG$24:$BG100,1,FALSE)=BG101,BG101+BI101,0)))</f>
        <v>#N/A</v>
      </c>
      <c r="BI101" s="23">
        <f>COUNTIF($BG$24:$BG101,BG101)-1</f>
        <v>26</v>
      </c>
      <c r="BJ101"/>
      <c r="BK101"/>
      <c r="BL101"/>
    </row>
    <row r="102" spans="26:64" hidden="1">
      <c r="Z102" s="23" t="str">
        <f t="shared" si="14"/>
        <v>Consumer goods &amp; services11 New vehicles</v>
      </c>
      <c r="AA102" s="130" t="e">
        <f t="shared" si="15"/>
        <v>#VALUE!</v>
      </c>
      <c r="AB102" s="130" t="e">
        <f>IF(ISNA(IF(VLOOKUP($AA102,$AA$47:$AA101,1,FALSE)=AA102,AA102+AF102,0)),AA102,(IF(VLOOKUP($AA102,$AA$46:$AA102,1,FALSE)=AA102,AA102+AF102,0)))</f>
        <v>#VALUE!</v>
      </c>
      <c r="AC102" s="23" t="str" vm="12">
        <f t="shared" si="20"/>
        <v>Consumer goods &amp; services</v>
      </c>
      <c r="AD102" s="23" t="str" vm="504">
        <f>CUBEMEMBER("cabcrmsqlrs1 CABReportingCubes Local Advice Event",{"[AIC Outcome].[AIC Part1].&amp;[Consumer goods &amp; services]","[AIC Outcome].[AIC Part2].&amp;[Consumer goods &amp; services]&amp;[11 New vehicles]"})</f>
        <v>11 New vehicles</v>
      </c>
      <c r="AE102" s="141" t="str" vm="1085">
        <f t="shared" si="13"/>
        <v/>
      </c>
      <c r="AF102" s="23">
        <f>COUNTIF($AA$47:$AA102,$AA102)-1</f>
        <v>15</v>
      </c>
      <c r="AP102"/>
      <c r="AQ102"/>
      <c r="AR102"/>
      <c r="BG102" s="130" t="e">
        <f t="shared" si="21"/>
        <v>#N/A</v>
      </c>
      <c r="BH102" s="130" t="e">
        <f>IF(ISNA(IF(VLOOKUP($BG102,$BG$24:$BG101,1,FALSE)=BG102,BG102+BI102,0)),BG102,(IF(VLOOKUP($BG102,$BG$24:$BG101,1,FALSE)=BG102,BG102+BI102,0)))</f>
        <v>#N/A</v>
      </c>
      <c r="BI102" s="23">
        <f>COUNTIF($BG$24:$BG102,BG102)-1</f>
        <v>27</v>
      </c>
      <c r="BJ102"/>
      <c r="BK102"/>
      <c r="BL102"/>
    </row>
    <row r="103" spans="26:64" hidden="1">
      <c r="Z103" s="23" t="str">
        <f t="shared" si="14"/>
        <v>Consumer goods &amp; services12 Second hand vehicles</v>
      </c>
      <c r="AA103" s="130" t="e">
        <f t="shared" si="15"/>
        <v>#N/A</v>
      </c>
      <c r="AB103" s="130" t="e">
        <f>IF(ISNA(IF(VLOOKUP($AA103,$AA$47:$AA102,1,FALSE)=AA103,AA103+AF103,0)),AA103,(IF(VLOOKUP($AA103,$AA$46:$AA103,1,FALSE)=AA103,AA103+AF103,0)))</f>
        <v>#N/A</v>
      </c>
      <c r="AC103" s="23" t="str" vm="12">
        <f t="shared" si="20"/>
        <v>Consumer goods &amp; services</v>
      </c>
      <c r="AD103" s="23" t="str" vm="416">
        <f>CUBEMEMBER("cabcrmsqlrs1 CABReportingCubes Local Advice Event",{"[AIC Outcome].[AIC Part1].&amp;[Consumer goods &amp; services]","[AIC Outcome].[AIC Part2].&amp;[Consumer goods &amp; services]&amp;[12 Second hand vehicles]"})</f>
        <v>12 Second hand vehicles</v>
      </c>
      <c r="AE103" s="141" vm="1254">
        <f t="shared" si="13"/>
        <v>26</v>
      </c>
      <c r="AF103" s="23">
        <f>COUNTIF($AA$47:$AA103,$AA103)-1</f>
        <v>40</v>
      </c>
      <c r="AP103"/>
      <c r="AQ103"/>
      <c r="AR103"/>
      <c r="BG103" s="130" t="e">
        <f t="shared" si="21"/>
        <v>#N/A</v>
      </c>
      <c r="BH103" s="130" t="e">
        <f>IF(ISNA(IF(VLOOKUP($BG103,$BG$24:$BG102,1,FALSE)=BG103,BG103+BI103,0)),BG103,(IF(VLOOKUP($BG103,$BG$24:$BG102,1,FALSE)=BG103,BG103+BI103,0)))</f>
        <v>#N/A</v>
      </c>
      <c r="BI103" s="23">
        <f>COUNTIF($BG$24:$BG103,BG103)-1</f>
        <v>28</v>
      </c>
      <c r="BJ103"/>
      <c r="BK103"/>
      <c r="BL103"/>
    </row>
    <row r="104" spans="26:64" hidden="1">
      <c r="Z104" s="23" t="str">
        <f t="shared" si="14"/>
        <v>Consumer goods &amp; services13 Vehicle repairs/servicing</v>
      </c>
      <c r="AA104" s="130" t="e">
        <f t="shared" si="15"/>
        <v>#N/A</v>
      </c>
      <c r="AB104" s="130" t="e">
        <f>IF(ISNA(IF(VLOOKUP($AA104,$AA$47:$AA103,1,FALSE)=AA104,AA104+AF104,0)),AA104,(IF(VLOOKUP($AA104,$AA$46:$AA104,1,FALSE)=AA104,AA104+AF104,0)))</f>
        <v>#N/A</v>
      </c>
      <c r="AC104" s="23" t="str" vm="12">
        <f t="shared" si="20"/>
        <v>Consumer goods &amp; services</v>
      </c>
      <c r="AD104" s="23" t="str" vm="503">
        <f>CUBEMEMBER("cabcrmsqlrs1 CABReportingCubes Local Advice Event",{"[AIC Outcome].[AIC Part1].&amp;[Consumer goods &amp; services]","[AIC Outcome].[AIC Part2].&amp;[Consumer goods &amp; services]&amp;[13 Vehicle repairs/servicing]"})</f>
        <v>13 Vehicle repairs/servicing</v>
      </c>
      <c r="AE104" s="141" vm="1282">
        <f t="shared" si="13"/>
        <v>4</v>
      </c>
      <c r="AF104" s="23">
        <f>COUNTIF($AA$47:$AA104,$AA104)-1</f>
        <v>41</v>
      </c>
      <c r="AP104"/>
      <c r="AQ104"/>
      <c r="AR104"/>
      <c r="BG104" s="130" t="e">
        <f t="shared" si="21"/>
        <v>#N/A</v>
      </c>
      <c r="BH104" s="130" t="e">
        <f>IF(ISNA(IF(VLOOKUP($BG104,$BG$24:$BG103,1,FALSE)=BG104,BG104+BI104,0)),BG104,(IF(VLOOKUP($BG104,$BG$24:$BG103,1,FALSE)=BG104,BG104+BI104,0)))</f>
        <v>#N/A</v>
      </c>
      <c r="BI104" s="23">
        <f>COUNTIF($BG$24:$BG104,BG104)-1</f>
        <v>29</v>
      </c>
      <c r="BJ104"/>
      <c r="BK104"/>
      <c r="BL104"/>
    </row>
    <row r="105" spans="26:64" hidden="1">
      <c r="Z105" s="23" t="str">
        <f t="shared" si="14"/>
        <v>Consumer goods &amp; services14 Food &amp; Drink</v>
      </c>
      <c r="AA105" s="130" t="e">
        <f t="shared" si="15"/>
        <v>#N/A</v>
      </c>
      <c r="AB105" s="130" t="e">
        <f>IF(ISNA(IF(VLOOKUP($AA105,$AA$47:$AA104,1,FALSE)=AA105,AA105+AF105,0)),AA105,(IF(VLOOKUP($AA105,$AA$46:$AA105,1,FALSE)=AA105,AA105+AF105,0)))</f>
        <v>#N/A</v>
      </c>
      <c r="AC105" s="23" t="str" vm="12">
        <f t="shared" si="20"/>
        <v>Consumer goods &amp; services</v>
      </c>
      <c r="AD105" s="23" t="str" vm="415">
        <f>CUBEMEMBER("cabcrmsqlrs1 CABReportingCubes Local Advice Event",{"[AIC Outcome].[AIC Part1].&amp;[Consumer goods &amp; services]","[AIC Outcome].[AIC Part2].&amp;[Consumer goods &amp; services]&amp;[14 Food &amp; Drink]"})</f>
        <v>14 Food &amp; Drink</v>
      </c>
      <c r="AE105" s="141" vm="1074">
        <f t="shared" si="13"/>
        <v>2</v>
      </c>
      <c r="AF105" s="23">
        <f>COUNTIF($AA$47:$AA105,$AA105)-1</f>
        <v>42</v>
      </c>
      <c r="AP105"/>
      <c r="AQ105"/>
      <c r="AR105"/>
      <c r="BG105" s="130" t="e">
        <f t="shared" si="21"/>
        <v>#N/A</v>
      </c>
      <c r="BH105" s="130" t="e">
        <f>IF(ISNA(IF(VLOOKUP($BG105,$BG$24:$BG104,1,FALSE)=BG105,BG105+BI105,0)),BG105,(IF(VLOOKUP($BG105,$BG$24:$BG104,1,FALSE)=BG105,BG105+BI105,0)))</f>
        <v>#N/A</v>
      </c>
      <c r="BI105" s="23">
        <f>COUNTIF($BG$24:$BG105,BG105)-1</f>
        <v>30</v>
      </c>
      <c r="BJ105"/>
      <c r="BK105"/>
      <c r="BL105"/>
    </row>
    <row r="106" spans="26:64" hidden="1">
      <c r="Z106" s="23" t="e">
        <f t="shared" si="14"/>
        <v>#N/A</v>
      </c>
      <c r="AA106" s="130" t="e">
        <f t="shared" si="15"/>
        <v>#N/A</v>
      </c>
      <c r="AB106" s="130" t="e">
        <f>IF(ISNA(IF(VLOOKUP($AA106,$AA$47:$AA105,1,FALSE)=AA106,AA106+AF106,0)),AA106,(IF(VLOOKUP($AA106,$AA$46:$AA106,1,FALSE)=AA106,AA106+AF106,0)))</f>
        <v>#N/A</v>
      </c>
      <c r="AC106" s="23" t="str" vm="12">
        <f t="shared" si="20"/>
        <v>Consumer goods &amp; services</v>
      </c>
      <c r="AD106" s="23" t="e">
        <f>CUBEMEMBER("cabcrmsqlrs1 CABReportingCubes Local Advice Event",{"[AIC Outcome].[AIC Part1].&amp;[Consumer goods &amp; services]","[AIC Outcome].[AIC Part2].&amp;[Consumer goods &amp; services]&amp;[15 Health clubs, gyms &amp; sports]"})</f>
        <v>#N/A</v>
      </c>
      <c r="AE106" s="141" t="e">
        <f t="shared" si="13"/>
        <v>#N/A</v>
      </c>
      <c r="AF106" s="23">
        <f>COUNTIF($AA$47:$AA106,$AA106)-1</f>
        <v>43</v>
      </c>
      <c r="AP106"/>
      <c r="AQ106"/>
      <c r="AR106"/>
      <c r="BG106" s="130" t="e">
        <f t="shared" si="21"/>
        <v>#N/A</v>
      </c>
      <c r="BH106" s="130" t="e">
        <f>IF(ISNA(IF(VLOOKUP($BG106,$BG$24:$BG105,1,FALSE)=BG106,BG106+BI106,0)),BG106,(IF(VLOOKUP($BG106,$BG$24:$BG105,1,FALSE)=BG106,BG106+BI106,0)))</f>
        <v>#N/A</v>
      </c>
      <c r="BI106" s="23">
        <f>COUNTIF($BG$24:$BG106,BG106)-1</f>
        <v>31</v>
      </c>
      <c r="BJ106"/>
      <c r="BK106"/>
      <c r="BL106"/>
    </row>
    <row r="107" spans="26:64" hidden="1">
      <c r="Z107" s="23" t="str">
        <f t="shared" si="14"/>
        <v>Consumer goods &amp; services16 Competitions &amp; prize draws</v>
      </c>
      <c r="AA107" s="130" t="e">
        <f t="shared" si="15"/>
        <v>#VALUE!</v>
      </c>
      <c r="AB107" s="130" t="e">
        <f>IF(ISNA(IF(VLOOKUP($AA107,$AA$47:$AA106,1,FALSE)=AA107,AA107+AF107,0)),AA107,(IF(VLOOKUP($AA107,$AA$46:$AA107,1,FALSE)=AA107,AA107+AF107,0)))</f>
        <v>#VALUE!</v>
      </c>
      <c r="AC107" s="23" t="str" vm="12">
        <f t="shared" si="20"/>
        <v>Consumer goods &amp; services</v>
      </c>
      <c r="AD107" s="23" t="str" vm="414">
        <f>CUBEMEMBER("cabcrmsqlrs1 CABReportingCubes Local Advice Event",{"[AIC Outcome].[AIC Part1].&amp;[Consumer goods &amp; services]","[AIC Outcome].[AIC Part2].&amp;[Consumer goods &amp; services]&amp;[16 Competitions &amp; prize draws]"})</f>
        <v>16 Competitions &amp; prize draws</v>
      </c>
      <c r="AE107" s="141" t="str" vm="1016">
        <f t="shared" si="13"/>
        <v/>
      </c>
      <c r="AF107" s="23">
        <f>COUNTIF($AA$47:$AA107,$AA107)-1</f>
        <v>16</v>
      </c>
      <c r="AP107"/>
      <c r="AQ107"/>
      <c r="AR107"/>
      <c r="BG107" s="130" t="e">
        <f t="shared" si="21"/>
        <v>#N/A</v>
      </c>
      <c r="BH107" s="130" t="e">
        <f>IF(ISNA(IF(VLOOKUP($BG107,$BG$24:$BG106,1,FALSE)=BG107,BG107+BI107,0)),BG107,(IF(VLOOKUP($BG107,$BG$24:$BG106,1,FALSE)=BG107,BG107+BI107,0)))</f>
        <v>#N/A</v>
      </c>
      <c r="BI107" s="23">
        <f>COUNTIF($BG$24:$BG107,BG107)-1</f>
        <v>32</v>
      </c>
      <c r="BJ107"/>
      <c r="BK107"/>
      <c r="BL107"/>
    </row>
    <row r="108" spans="26:64" hidden="1">
      <c r="Z108" s="23" t="str">
        <f t="shared" si="14"/>
        <v>Consumer goods &amp; services17 Fraud and scams</v>
      </c>
      <c r="AA108" s="130" t="e">
        <f t="shared" si="15"/>
        <v>#N/A</v>
      </c>
      <c r="AB108" s="130" t="e">
        <f>IF(ISNA(IF(VLOOKUP($AA108,$AA$47:$AA107,1,FALSE)=AA108,AA108+AF108,0)),AA108,(IF(VLOOKUP($AA108,$AA$46:$AA108,1,FALSE)=AA108,AA108+AF108,0)))</f>
        <v>#N/A</v>
      </c>
      <c r="AC108" s="23" t="str" vm="12">
        <f t="shared" si="20"/>
        <v>Consumer goods &amp; services</v>
      </c>
      <c r="AD108" s="23" t="str" vm="502">
        <f>CUBEMEMBER("cabcrmsqlrs1 CABReportingCubes Local Advice Event",{"[AIC Outcome].[AIC Part1].&amp;[Consumer goods &amp; services]","[AIC Outcome].[AIC Part2].&amp;[Consumer goods &amp; services]&amp;[17 Fraud and scams]"})</f>
        <v>17 Fraud and scams</v>
      </c>
      <c r="AE108" s="141" vm="1130">
        <f t="shared" si="13"/>
        <v>20</v>
      </c>
      <c r="AF108" s="23">
        <f>COUNTIF($AA$47:$AA108,$AA108)-1</f>
        <v>44</v>
      </c>
      <c r="AP108"/>
      <c r="AQ108"/>
      <c r="AR108"/>
      <c r="BG108" s="130" t="e">
        <f t="shared" si="21"/>
        <v>#N/A</v>
      </c>
      <c r="BH108" s="130" t="e">
        <f>IF(ISNA(IF(VLOOKUP($BG108,$BG$24:$BG107,1,FALSE)=BG108,BG108+BI108,0)),BG108,(IF(VLOOKUP($BG108,$BG$24:$BG107,1,FALSE)=BG108,BG108+BI108,0)))</f>
        <v>#N/A</v>
      </c>
      <c r="BI108" s="23">
        <f>COUNTIF($BG$24:$BG108,BG108)-1</f>
        <v>33</v>
      </c>
      <c r="BJ108"/>
      <c r="BK108"/>
      <c r="BL108"/>
    </row>
    <row r="109" spans="26:64" hidden="1">
      <c r="Z109" s="23" t="str">
        <f t="shared" si="14"/>
        <v>Consumer goods &amp; services18 Energy company obligation (ECO)</v>
      </c>
      <c r="AA109" s="130" t="e">
        <f t="shared" si="15"/>
        <v>#N/A</v>
      </c>
      <c r="AB109" s="130" t="e">
        <f>IF(ISNA(IF(VLOOKUP($AA109,$AA$47:$AA108,1,FALSE)=AA109,AA109+AF109,0)),AA109,(IF(VLOOKUP($AA109,$AA$46:$AA109,1,FALSE)=AA109,AA109+AF109,0)))</f>
        <v>#N/A</v>
      </c>
      <c r="AC109" s="23" t="str" vm="12">
        <f t="shared" si="20"/>
        <v>Consumer goods &amp; services</v>
      </c>
      <c r="AD109" s="23" t="str" vm="413">
        <f>CUBEMEMBER("cabcrmsqlrs1 CABReportingCubes Local Advice Event",{"[AIC Outcome].[AIC Part1].&amp;[Consumer goods &amp; services]","[AIC Outcome].[AIC Part2].&amp;[Consumer goods &amp; services]&amp;[18 Energy company obligation (ECO)]"})</f>
        <v>18 Energy company obligation (ECO)</v>
      </c>
      <c r="AE109" s="141" vm="1182">
        <f t="shared" si="13"/>
        <v>3</v>
      </c>
      <c r="AF109" s="23">
        <f>COUNTIF($AA$47:$AA109,$AA109)-1</f>
        <v>45</v>
      </c>
      <c r="AP109"/>
      <c r="AQ109"/>
      <c r="AR109"/>
      <c r="BG109" s="130" t="e">
        <f t="shared" si="21"/>
        <v>#N/A</v>
      </c>
      <c r="BH109" s="130" t="e">
        <f>IF(ISNA(IF(VLOOKUP($BG109,$BG$24:$BG108,1,FALSE)=BG109,BG109+BI109,0)),BG109,(IF(VLOOKUP($BG109,$BG$24:$BG108,1,FALSE)=BG109,BG109+BI109,0)))</f>
        <v>#N/A</v>
      </c>
      <c r="BI109" s="23">
        <f>COUNTIF($BG$24:$BG109,BG109)-1</f>
        <v>34</v>
      </c>
      <c r="BJ109"/>
      <c r="BK109"/>
      <c r="BL109"/>
    </row>
    <row r="110" spans="26:64" hidden="1">
      <c r="Z110" s="23" t="str">
        <f t="shared" si="14"/>
        <v>Consumer goods &amp; services19 Green Deal energy efficiency measures</v>
      </c>
      <c r="AA110" s="130" t="e">
        <f t="shared" si="15"/>
        <v>#VALUE!</v>
      </c>
      <c r="AB110" s="130" t="e">
        <f>IF(ISNA(IF(VLOOKUP($AA110,$AA$47:$AA109,1,FALSE)=AA110,AA110+AF110,0)),AA110,(IF(VLOOKUP($AA110,$AA$46:$AA110,1,FALSE)=AA110,AA110+AF110,0)))</f>
        <v>#VALUE!</v>
      </c>
      <c r="AC110" s="23" t="str" vm="12">
        <f t="shared" si="20"/>
        <v>Consumer goods &amp; services</v>
      </c>
      <c r="AD110" s="23" t="str" vm="501">
        <f>CUBEMEMBER("cabcrmsqlrs1 CABReportingCubes Local Advice Event",{"[AIC Outcome].[AIC Part1].&amp;[Consumer goods &amp; services]","[AIC Outcome].[AIC Part2].&amp;[Consumer goods &amp; services]&amp;[19 Green Deal energy efficiency measures]"})</f>
        <v>19 Green Deal energy efficiency measures</v>
      </c>
      <c r="AE110" s="141" t="str" vm="996">
        <f t="shared" si="13"/>
        <v/>
      </c>
      <c r="AF110" s="23">
        <f>COUNTIF($AA$47:$AA110,$AA110)-1</f>
        <v>17</v>
      </c>
      <c r="AP110"/>
      <c r="AQ110"/>
      <c r="AR110"/>
      <c r="BG110" s="130" t="e">
        <f t="shared" si="21"/>
        <v>#N/A</v>
      </c>
      <c r="BH110" s="130" t="e">
        <f>IF(ISNA(IF(VLOOKUP($BG110,$BG$24:$BG109,1,FALSE)=BG110,BG110+BI110,0)),BG110,(IF(VLOOKUP($BG110,$BG$24:$BG109,1,FALSE)=BG110,BG110+BI110,0)))</f>
        <v>#N/A</v>
      </c>
      <c r="BI110" s="23">
        <f>COUNTIF($BG$24:$BG110,BG110)-1</f>
        <v>35</v>
      </c>
      <c r="BJ110"/>
      <c r="BK110"/>
      <c r="BL110"/>
    </row>
    <row r="111" spans="26:64" hidden="1">
      <c r="Z111" s="23" t="e">
        <f t="shared" si="14"/>
        <v>#N/A</v>
      </c>
      <c r="AA111" s="130" t="e">
        <f t="shared" si="15"/>
        <v>#N/A</v>
      </c>
      <c r="AB111" s="130" t="e">
        <f>IF(ISNA(IF(VLOOKUP($AA111,$AA$47:$AA110,1,FALSE)=AA111,AA111+AF111,0)),AA111,(IF(VLOOKUP($AA111,$AA$46:$AA111,1,FALSE)=AA111,AA111+AF111,0)))</f>
        <v>#N/A</v>
      </c>
      <c r="AC111" s="23" t="str" vm="12">
        <f t="shared" si="20"/>
        <v>Consumer goods &amp; services</v>
      </c>
      <c r="AD111" s="23" t="e">
        <f>CUBEMEMBER("cabcrmsqlrs1 CABReportingCubes Local Advice Event",{"[AIC Outcome].[AIC Part1].&amp;[Consumer goods &amp; services]","[AIC Outcome].[AIC Part2].&amp;[Consumer goods &amp; services]&amp;[99 Other]"})</f>
        <v>#N/A</v>
      </c>
      <c r="AE111" s="141" t="e">
        <f t="shared" ref="AE111:AE174" si="22">CUBEVALUE("cabcrmsqlrs1 CABReportingCubes Local Advice Event",$AD$41,$AD$42,$AD$43,$AD$44,$AD111,AE$46)</f>
        <v>#N/A</v>
      </c>
      <c r="AF111" s="23">
        <f>COUNTIF($AA$47:$AA111,$AA111)-1</f>
        <v>46</v>
      </c>
      <c r="AP111"/>
      <c r="AQ111"/>
      <c r="AR111"/>
      <c r="BG111" s="130" t="e">
        <f t="shared" si="21"/>
        <v>#N/A</v>
      </c>
      <c r="BH111" s="130" t="e">
        <f>IF(ISNA(IF(VLOOKUP($BG111,$BG$24:$BG110,1,FALSE)=BG111,BG111+BI111,0)),BG111,(IF(VLOOKUP($BG111,$BG$24:$BG110,1,FALSE)=BG111,BG111+BI111,0)))</f>
        <v>#N/A</v>
      </c>
      <c r="BI111" s="23">
        <f>COUNTIF($BG$24:$BG111,BG111)-1</f>
        <v>36</v>
      </c>
      <c r="BJ111"/>
      <c r="BK111"/>
      <c r="BL111"/>
    </row>
    <row r="112" spans="26:64" hidden="1">
      <c r="Z112" s="23" t="str">
        <f t="shared" ref="Z112:Z175" si="23">AC112&amp;AD112</f>
        <v>Consumer goods &amp; services99 Other goods &amp; services</v>
      </c>
      <c r="AA112" s="130" t="e">
        <f t="shared" ref="AA112:AA175" si="24">RANK($AE112,$AE$32:$AE$338,0)</f>
        <v>#N/A</v>
      </c>
      <c r="AB112" s="130" t="e">
        <f>IF(ISNA(IF(VLOOKUP($AA112,$AA$47:$AA111,1,FALSE)=AA112,AA112+AF112,0)),AA112,(IF(VLOOKUP($AA112,$AA$46:$AA112,1,FALSE)=AA112,AA112+AF112,0)))</f>
        <v>#N/A</v>
      </c>
      <c r="AC112" s="23" t="str" vm="12">
        <f t="shared" si="20"/>
        <v>Consumer goods &amp; services</v>
      </c>
      <c r="AD112" s="23" t="str" vm="500">
        <f>CUBEMEMBER("cabcrmsqlrs1 CABReportingCubes Local Advice Event",{"[AIC Outcome].[AIC Part1].&amp;[Consumer goods &amp; services]","[AIC Outcome].[AIC Part2].&amp;[Consumer goods &amp; services]&amp;[99 Other goods &amp; services]"})</f>
        <v>99 Other goods &amp; services</v>
      </c>
      <c r="AE112" s="141" vm="1234">
        <f t="shared" si="22"/>
        <v>59</v>
      </c>
      <c r="AF112" s="23">
        <f>COUNTIF($AA$47:$AA112,$AA112)-1</f>
        <v>47</v>
      </c>
      <c r="AP112"/>
      <c r="AQ112"/>
      <c r="AR112"/>
      <c r="BG112" s="130" t="e">
        <f t="shared" si="21"/>
        <v>#N/A</v>
      </c>
      <c r="BH112" s="130" t="e">
        <f>IF(ISNA(IF(VLOOKUP($BG112,$BG$24:$BG111,1,FALSE)=BG112,BG112+BI112,0)),BG112,(IF(VLOOKUP($BG112,$BG$24:$BG111,1,FALSE)=BG112,BG112+BI112,0)))</f>
        <v>#N/A</v>
      </c>
      <c r="BI112" s="23">
        <f>COUNTIF($BG$24:$BG112,BG112)-1</f>
        <v>37</v>
      </c>
      <c r="BJ112"/>
      <c r="BK112"/>
      <c r="BL112"/>
    </row>
    <row r="113" spans="26:64" hidden="1">
      <c r="Z113" s="23" t="e">
        <f t="shared" si="23"/>
        <v>#N/A</v>
      </c>
      <c r="AA113" s="130" t="e">
        <f t="shared" si="24"/>
        <v>#N/A</v>
      </c>
      <c r="AB113" s="130" t="e">
        <f>IF(ISNA(IF(VLOOKUP($AA113,$AA$47:$AA112,1,FALSE)=AA113,AA113+AF113,0)),AA113,(IF(VLOOKUP($AA113,$AA$46:$AA113,1,FALSE)=AA113,AA113+AF113,0)))</f>
        <v>#N/A</v>
      </c>
      <c r="AC113" s="23" t="str" vm="12">
        <f t="shared" si="20"/>
        <v>Consumer goods &amp; services</v>
      </c>
      <c r="AD113" s="23" t="e">
        <f>CUBEMEMBER("cabcrmsqlrs1 CABReportingCubes Local Advice Event",{"[AIC Outcome].[AIC Part1].&amp;[Consumer goods &amp; services]","[AIC Outcome].[AIC Part2].&amp;[Consumer goods &amp; services]&amp;[99 Other issues]"})</f>
        <v>#N/A</v>
      </c>
      <c r="AE113" s="141" t="e">
        <f t="shared" si="22"/>
        <v>#N/A</v>
      </c>
      <c r="AF113" s="23">
        <f>COUNTIF($AA$47:$AA113,$AA113)-1</f>
        <v>48</v>
      </c>
      <c r="AP113"/>
      <c r="AQ113"/>
      <c r="AR113"/>
      <c r="BG113" s="130" t="e">
        <f t="shared" si="21"/>
        <v>#N/A</v>
      </c>
      <c r="BH113" s="130" t="e">
        <f>IF(ISNA(IF(VLOOKUP($BG113,$BG$24:$BG112,1,FALSE)=BG113,BG113+BI113,0)),BG113,(IF(VLOOKUP($BG113,$BG$24:$BG112,1,FALSE)=BG113,BG113+BI113,0)))</f>
        <v>#N/A</v>
      </c>
      <c r="BI113" s="23">
        <f>COUNTIF($BG$24:$BG113,BG113)-1</f>
        <v>38</v>
      </c>
      <c r="BJ113"/>
      <c r="BK113"/>
      <c r="BL113"/>
    </row>
    <row r="114" spans="26:64" hidden="1">
      <c r="Z114" s="23" t="str">
        <f t="shared" si="23"/>
        <v>Consumer goods &amp; servicesNot recorded/not applicable</v>
      </c>
      <c r="AA114" s="130" t="e">
        <f t="shared" si="24"/>
        <v>#N/A</v>
      </c>
      <c r="AB114" s="130" t="e">
        <f>IF(ISNA(IF(VLOOKUP($AA114,$AA$47:$AA113,1,FALSE)=AA114,AA114+AF114,0)),AA114,(IF(VLOOKUP($AA114,$AA$46:$AA114,1,FALSE)=AA114,AA114+AF114,0)))</f>
        <v>#N/A</v>
      </c>
      <c r="AC114" s="23" t="str" vm="12">
        <f t="shared" si="20"/>
        <v>Consumer goods &amp; services</v>
      </c>
      <c r="AD114" s="23" t="str" vm="499">
        <f>CUBEMEMBER("cabcrmsqlrs1 CABReportingCubes Local Advice Event",{"[AIC Outcome].[AIC Part1].&amp;[Consumer goods &amp; services]","[AIC Outcome].[AIC Part2].&amp;[Consumer goods &amp; services]&amp;[Not recorded/not applicable]"})</f>
        <v>Not recorded/not applicable</v>
      </c>
      <c r="AE114" s="141" vm="1151">
        <f t="shared" si="22"/>
        <v>117</v>
      </c>
      <c r="AF114" s="23">
        <f>COUNTIF($AA$47:$AA114,$AA114)-1</f>
        <v>49</v>
      </c>
      <c r="AP114"/>
      <c r="AQ114"/>
      <c r="AR114"/>
      <c r="BG114" s="130" t="e">
        <f t="shared" si="21"/>
        <v>#N/A</v>
      </c>
      <c r="BH114" s="130" t="e">
        <f>IF(ISNA(IF(VLOOKUP($BG114,$BG$24:$BG113,1,FALSE)=BG114,BG114+BI114,0)),BG114,(IF(VLOOKUP($BG114,$BG$24:$BG113,1,FALSE)=BG114,BG114+BI114,0)))</f>
        <v>#N/A</v>
      </c>
      <c r="BI114" s="23">
        <f>COUNTIF($BG$24:$BG114,BG114)-1</f>
        <v>39</v>
      </c>
      <c r="BJ114"/>
      <c r="BK114"/>
      <c r="BL114"/>
    </row>
    <row r="115" spans="26:64" hidden="1">
      <c r="Z115" s="23" t="str">
        <f t="shared" si="23"/>
        <v>Debt01 Discrimination</v>
      </c>
      <c r="AA115" s="130" t="e">
        <f t="shared" si="24"/>
        <v>#VALUE!</v>
      </c>
      <c r="AB115" s="130" t="e">
        <f>IF(ISNA(IF(VLOOKUP($AA115,$AA$47:$AA114,1,FALSE)=AA115,AA115+AF115,0)),AA115,(IF(VLOOKUP($AA115,$AA$46:$AA115,1,FALSE)=AA115,AA115+AF115,0)))</f>
        <v>#VALUE!</v>
      </c>
      <c r="AC115" s="23" t="str" vm="10">
        <f t="shared" ref="AC115:AC161" si="25">CUBEMEMBER("cabcrmsqlrs1 CABReportingCubes Local Advice Event","[AIC Outcome].[AIC Part1].&amp;[Debt]")</f>
        <v>Debt</v>
      </c>
      <c r="AD115" s="23" t="str" vm="412">
        <f>CUBEMEMBER("cabcrmsqlrs1 CABReportingCubes Local Advice Event",{"[AIC Outcome].[AIC Part1].&amp;[Debt]","[AIC Outcome].[AIC Part2].&amp;[Debt]&amp;[01 Discrimination]"})</f>
        <v>01 Discrimination</v>
      </c>
      <c r="AE115" s="141" t="str" vm="1333">
        <f t="shared" si="22"/>
        <v/>
      </c>
      <c r="AF115" s="23">
        <f>COUNTIF($AA$47:$AA115,$AA115)-1</f>
        <v>18</v>
      </c>
      <c r="AP115"/>
      <c r="AQ115"/>
      <c r="AR115"/>
      <c r="BG115" s="130" t="e">
        <f t="shared" si="21"/>
        <v>#N/A</v>
      </c>
      <c r="BH115" s="130" t="e">
        <f>IF(ISNA(IF(VLOOKUP($BG115,$BG$24:$BG114,1,FALSE)=BG115,BG115+BI115,0)),BG115,(IF(VLOOKUP($BG115,$BG$24:$BG114,1,FALSE)=BG115,BG115+BI115,0)))</f>
        <v>#N/A</v>
      </c>
      <c r="BI115" s="23">
        <f>COUNTIF($BG$24:$BG115,BG115)-1</f>
        <v>40</v>
      </c>
      <c r="BJ115"/>
      <c r="BK115"/>
      <c r="BL115"/>
    </row>
    <row r="116" spans="26:64" hidden="1">
      <c r="Z116" s="23" t="str">
        <f t="shared" si="23"/>
        <v>Debt02 Bank/Building &amp; P/O Accounts</v>
      </c>
      <c r="AA116" s="130" t="e">
        <f t="shared" si="24"/>
        <v>#VALUE!</v>
      </c>
      <c r="AB116" s="130" t="e">
        <f>IF(ISNA(IF(VLOOKUP($AA116,$AA$47:$AA115,1,FALSE)=AA116,AA116+AF116,0)),AA116,(IF(VLOOKUP($AA116,$AA$46:$AA116,1,FALSE)=AA116,AA116+AF116,0)))</f>
        <v>#VALUE!</v>
      </c>
      <c r="AC116" s="23" t="str" vm="10">
        <f t="shared" si="25"/>
        <v>Debt</v>
      </c>
      <c r="AD116" s="23" t="str" vm="498">
        <f>CUBEMEMBER("cabcrmsqlrs1 CABReportingCubes Local Advice Event",{"[AIC Outcome].[AIC Part1].&amp;[Debt]","[AIC Outcome].[AIC Part2].&amp;[Debt]&amp;[02 Bank/Building &amp; P/O Accounts]"})</f>
        <v>02 Bank/Building &amp; P/O Accounts</v>
      </c>
      <c r="AE116" s="141" t="str" vm="1321">
        <f t="shared" si="22"/>
        <v/>
      </c>
      <c r="AF116" s="23">
        <f>COUNTIF($AA$47:$AA116,$AA116)-1</f>
        <v>19</v>
      </c>
      <c r="AP116"/>
      <c r="AQ116"/>
      <c r="AR116"/>
      <c r="BG116" s="130" t="e">
        <f t="shared" si="21"/>
        <v>#N/A</v>
      </c>
      <c r="BH116" s="130" t="e">
        <f>IF(ISNA(IF(VLOOKUP($BG116,$BG$24:$BG115,1,FALSE)=BG116,BG116+BI116,0)),BG116,(IF(VLOOKUP($BG116,$BG$24:$BG115,1,FALSE)=BG116,BG116+BI116,0)))</f>
        <v>#N/A</v>
      </c>
      <c r="BI116" s="23">
        <f>COUNTIF($BG$24:$BG116,BG116)-1</f>
        <v>41</v>
      </c>
      <c r="BJ116"/>
      <c r="BK116"/>
      <c r="BL116"/>
    </row>
    <row r="117" spans="26:64" hidden="1">
      <c r="Z117" s="23" t="e">
        <f t="shared" si="23"/>
        <v>#N/A</v>
      </c>
      <c r="AA117" s="130" t="e">
        <f t="shared" si="24"/>
        <v>#N/A</v>
      </c>
      <c r="AB117" s="130" t="e">
        <f>IF(ISNA(IF(VLOOKUP($AA117,$AA$47:$AA116,1,FALSE)=AA117,AA117+AF117,0)),AA117,(IF(VLOOKUP($AA117,$AA$46:$AA117,1,FALSE)=AA117,AA117+AF117,0)))</f>
        <v>#N/A</v>
      </c>
      <c r="AC117" s="23" t="str" vm="10">
        <f t="shared" si="25"/>
        <v>Debt</v>
      </c>
      <c r="AD117" s="23" t="e">
        <f>CUBEMEMBER("cabcrmsqlrs1 CABReportingCubes Local Advice Event",{"[AIC Outcome].[AIC Part1].&amp;[Debt]","[AIC Outcome].[AIC Part2].&amp;[Debt]&amp;[02 Fuel (gas, electricity, oil, coal etc.)]"})</f>
        <v>#N/A</v>
      </c>
      <c r="AE117" s="141" t="e">
        <f t="shared" si="22"/>
        <v>#N/A</v>
      </c>
      <c r="AF117" s="23">
        <f>COUNTIF($AA$47:$AA117,$AA117)-1</f>
        <v>50</v>
      </c>
      <c r="AP117"/>
      <c r="AQ117"/>
      <c r="AR117"/>
      <c r="BG117" s="130" t="e">
        <f t="shared" si="21"/>
        <v>#N/A</v>
      </c>
      <c r="BH117" s="130" t="e">
        <f>IF(ISNA(IF(VLOOKUP($BG117,$BG$24:$BG116,1,FALSE)=BG117,BG117+BI117,0)),BG117,(IF(VLOOKUP($BG117,$BG$24:$BG116,1,FALSE)=BG117,BG117+BI117,0)))</f>
        <v>#N/A</v>
      </c>
      <c r="BI117" s="23">
        <f>COUNTIF($BG$24:$BG117,BG117)-1</f>
        <v>42</v>
      </c>
      <c r="BJ117"/>
      <c r="BK117"/>
      <c r="BL117"/>
    </row>
    <row r="118" spans="26:64" hidden="1">
      <c r="Z118" s="23" t="e">
        <f t="shared" si="23"/>
        <v>#N/A</v>
      </c>
      <c r="AA118" s="130" t="e">
        <f t="shared" si="24"/>
        <v>#N/A</v>
      </c>
      <c r="AB118" s="130" t="e">
        <f>IF(ISNA(IF(VLOOKUP($AA118,$AA$47:$AA117,1,FALSE)=AA118,AA118+AF118,0)),AA118,(IF(VLOOKUP($AA118,$AA$46:$AA118,1,FALSE)=AA118,AA118+AF118,0)))</f>
        <v>#N/A</v>
      </c>
      <c r="AC118" s="23" t="str" vm="10">
        <f t="shared" si="25"/>
        <v>Debt</v>
      </c>
      <c r="AD118" s="23" t="e">
        <f>CUBEMEMBER("cabcrmsqlrs1 CABReportingCubes Local Advice Event",{"[AIC Outcome].[AIC Part1].&amp;[Debt]","[AIC Outcome].[AIC Part2].&amp;[Debt]&amp;[02 Income Support]"})</f>
        <v>#N/A</v>
      </c>
      <c r="AE118" s="141" t="e">
        <f t="shared" si="22"/>
        <v>#N/A</v>
      </c>
      <c r="AF118" s="23">
        <f>COUNTIF($AA$47:$AA118,$AA118)-1</f>
        <v>51</v>
      </c>
      <c r="AP118"/>
      <c r="AQ118"/>
      <c r="AR118"/>
      <c r="BG118" s="130" t="e">
        <f t="shared" si="21"/>
        <v>#N/A</v>
      </c>
      <c r="BH118" s="130" t="e">
        <f>IF(ISNA(IF(VLOOKUP($BG118,$BG$24:$BG117,1,FALSE)=BG118,BG118+BI118,0)),BG118,(IF(VLOOKUP($BG118,$BG$24:$BG117,1,FALSE)=BG118,BG118+BI118,0)))</f>
        <v>#N/A</v>
      </c>
      <c r="BI118" s="23">
        <f>COUNTIF($BG$24:$BG118,BG118)-1</f>
        <v>43</v>
      </c>
      <c r="BJ118"/>
      <c r="BK118"/>
      <c r="BL118"/>
    </row>
    <row r="119" spans="26:64" hidden="1">
      <c r="Z119" s="23" t="e">
        <f t="shared" si="23"/>
        <v>#N/A</v>
      </c>
      <c r="AA119" s="130" t="e">
        <f t="shared" si="24"/>
        <v>#N/A</v>
      </c>
      <c r="AB119" s="130" t="e">
        <f>IF(ISNA(IF(VLOOKUP($AA119,$AA$47:$AA118,1,FALSE)=AA119,AA119+AF119,0)),AA119,(IF(VLOOKUP($AA119,$AA$46:$AA119,1,FALSE)=AA119,AA119+AF119,0)))</f>
        <v>#N/A</v>
      </c>
      <c r="AC119" s="23" t="str" vm="10">
        <f t="shared" si="25"/>
        <v>Debt</v>
      </c>
      <c r="AD119" s="23" t="e">
        <f>CUBEMEMBER("cabcrmsqlrs1 CABReportingCubes Local Advice Event",{"[AIC Outcome].[AIC Part1].&amp;[Debt]","[AIC Outcome].[AIC Part2].&amp;[Debt]&amp;[02 Income Tax]"})</f>
        <v>#N/A</v>
      </c>
      <c r="AE119" s="141" t="e">
        <f t="shared" si="22"/>
        <v>#N/A</v>
      </c>
      <c r="AF119" s="23">
        <f>COUNTIF($AA$47:$AA119,$AA119)-1</f>
        <v>52</v>
      </c>
      <c r="AP119"/>
      <c r="AQ119"/>
      <c r="AR119"/>
      <c r="BG119" s="130" t="e">
        <f t="shared" si="21"/>
        <v>#N/A</v>
      </c>
      <c r="BH119" s="130" t="e">
        <f>IF(ISNA(IF(VLOOKUP($BG119,$BG$24:$BG118,1,FALSE)=BG119,BG119+BI119,0)),BG119,(IF(VLOOKUP($BG119,$BG$24:$BG118,1,FALSE)=BG119,BG119+BI119,0)))</f>
        <v>#N/A</v>
      </c>
      <c r="BI119" s="23">
        <f>COUNTIF($BG$24:$BG119,BG119)-1</f>
        <v>44</v>
      </c>
      <c r="BJ119"/>
      <c r="BK119"/>
      <c r="BL119"/>
    </row>
    <row r="120" spans="26:64" hidden="1">
      <c r="Z120" s="23" t="e">
        <f t="shared" si="23"/>
        <v>#N/A</v>
      </c>
      <c r="AA120" s="130" t="e">
        <f t="shared" si="24"/>
        <v>#N/A</v>
      </c>
      <c r="AB120" s="130" t="e">
        <f>IF(ISNA(IF(VLOOKUP($AA120,$AA$47:$AA119,1,FALSE)=AA120,AA120+AF120,0)),AA120,(IF(VLOOKUP($AA120,$AA$46:$AA120,1,FALSE)=AA120,AA120+AF120,0)))</f>
        <v>#N/A</v>
      </c>
      <c r="AC120" s="23" t="str" vm="10">
        <f t="shared" si="25"/>
        <v>Debt</v>
      </c>
      <c r="AD120" s="23" t="e">
        <f>CUBEMEMBER("cabcrmsqlrs1 CABReportingCubes Local Advice Event",{"[AIC Outcome].[AIC Part1].&amp;[Debt]","[AIC Outcome].[AIC Part2].&amp;[Debt]&amp;[02 Magistrates Court proceedings]"})</f>
        <v>#N/A</v>
      </c>
      <c r="AE120" s="141" t="e">
        <f t="shared" si="22"/>
        <v>#N/A</v>
      </c>
      <c r="AF120" s="23">
        <f>COUNTIF($AA$47:$AA120,$AA120)-1</f>
        <v>53</v>
      </c>
      <c r="AP120"/>
      <c r="AQ120"/>
      <c r="AR120"/>
      <c r="BG120" s="130" t="e">
        <f t="shared" si="21"/>
        <v>#N/A</v>
      </c>
      <c r="BH120" s="130" t="e">
        <f>IF(ISNA(IF(VLOOKUP($BG120,$BG$24:$BG119,1,FALSE)=BG120,BG120+BI120,0)),BG120,(IF(VLOOKUP($BG120,$BG$24:$BG119,1,FALSE)=BG120,BG120+BI120,0)))</f>
        <v>#N/A</v>
      </c>
      <c r="BI120" s="23">
        <f>COUNTIF($BG$24:$BG120,BG120)-1</f>
        <v>45</v>
      </c>
      <c r="BJ120"/>
      <c r="BK120"/>
      <c r="BL120"/>
    </row>
    <row r="121" spans="26:64" hidden="1">
      <c r="Z121" s="23" t="str">
        <f t="shared" si="23"/>
        <v>Debt02 Mortgage &amp; secured loan arrears</v>
      </c>
      <c r="AA121" s="130" t="e">
        <f t="shared" si="24"/>
        <v>#N/A</v>
      </c>
      <c r="AB121" s="130" t="e">
        <f>IF(ISNA(IF(VLOOKUP($AA121,$AA$47:$AA120,1,FALSE)=AA121,AA121+AF121,0)),AA121,(IF(VLOOKUP($AA121,$AA$46:$AA121,1,FALSE)=AA121,AA121+AF121,0)))</f>
        <v>#N/A</v>
      </c>
      <c r="AC121" s="23" t="str" vm="10">
        <f t="shared" si="25"/>
        <v>Debt</v>
      </c>
      <c r="AD121" s="23" t="str" vm="411">
        <f>CUBEMEMBER("cabcrmsqlrs1 CABReportingCubes Local Advice Event",{"[AIC Outcome].[AIC Part1].&amp;[Debt]","[AIC Outcome].[AIC Part2].&amp;[Debt]&amp;[02 Mortgage &amp; secured loan arrears]"})</f>
        <v>02 Mortgage &amp; secured loan arrears</v>
      </c>
      <c r="AE121" s="141" vm="1316">
        <f t="shared" si="22"/>
        <v>51</v>
      </c>
      <c r="AF121" s="23">
        <f>COUNTIF($AA$47:$AA121,$AA121)-1</f>
        <v>54</v>
      </c>
      <c r="AP121"/>
      <c r="AQ121"/>
      <c r="AR121"/>
      <c r="BG121" s="130" t="e">
        <f t="shared" si="21"/>
        <v>#N/A</v>
      </c>
      <c r="BH121" s="130" t="e">
        <f>IF(ISNA(IF(VLOOKUP($BG121,$BG$24:$BG120,1,FALSE)=BG121,BG121+BI121,0)),BG121,(IF(VLOOKUP($BG121,$BG$24:$BG120,1,FALSE)=BG121,BG121+BI121,0)))</f>
        <v>#N/A</v>
      </c>
      <c r="BI121" s="23">
        <f>COUNTIF($BG$24:$BG121,BG121)-1</f>
        <v>46</v>
      </c>
      <c r="BJ121"/>
      <c r="BK121"/>
      <c r="BL121"/>
    </row>
    <row r="122" spans="26:64" hidden="1">
      <c r="Z122" s="23" t="e">
        <f t="shared" si="23"/>
        <v>#N/A</v>
      </c>
      <c r="AA122" s="130" t="e">
        <f t="shared" si="24"/>
        <v>#N/A</v>
      </c>
      <c r="AB122" s="130" t="e">
        <f>IF(ISNA(IF(VLOOKUP($AA122,$AA$47:$AA121,1,FALSE)=AA122,AA122+AF122,0)),AA122,(IF(VLOOKUP($AA122,$AA$46:$AA122,1,FALSE)=AA122,AA122+AF122,0)))</f>
        <v>#N/A</v>
      </c>
      <c r="AC122" s="23" t="str" vm="10">
        <f t="shared" si="25"/>
        <v>Debt</v>
      </c>
      <c r="AD122" s="23" t="e">
        <f>CUBEMEMBER("cabcrmsqlrs1 CABReportingCubes Local Advice Event",{"[AIC Outcome].[AIC Part1].&amp;[Debt]","[AIC Outcome].[AIC Part2].&amp;[Debt]&amp;[02 Private sales &amp; internet auctions]"})</f>
        <v>#N/A</v>
      </c>
      <c r="AE122" s="141" t="e">
        <f t="shared" si="22"/>
        <v>#N/A</v>
      </c>
      <c r="AF122" s="23">
        <f>COUNTIF($AA$47:$AA122,$AA122)-1</f>
        <v>55</v>
      </c>
      <c r="AP122"/>
      <c r="AQ122"/>
      <c r="AR122"/>
      <c r="BG122" s="130" t="e">
        <f t="shared" si="21"/>
        <v>#N/A</v>
      </c>
      <c r="BH122" s="130" t="e">
        <f>IF(ISNA(IF(VLOOKUP($BG122,$BG$24:$BG121,1,FALSE)=BG122,BG122+BI122,0)),BG122,(IF(VLOOKUP($BG122,$BG$24:$BG121,1,FALSE)=BG122,BG122+BI122,0)))</f>
        <v>#N/A</v>
      </c>
      <c r="BI122" s="23">
        <f>COUNTIF($BG$24:$BG122,BG122)-1</f>
        <v>47</v>
      </c>
      <c r="BJ122"/>
      <c r="BK122"/>
      <c r="BL122"/>
    </row>
    <row r="123" spans="26:64" hidden="1">
      <c r="Z123" s="23" t="e">
        <f t="shared" si="23"/>
        <v>#N/A</v>
      </c>
      <c r="AA123" s="130" t="e">
        <f t="shared" si="24"/>
        <v>#N/A</v>
      </c>
      <c r="AB123" s="130" t="e">
        <f>IF(ISNA(IF(VLOOKUP($AA123,$AA$47:$AA122,1,FALSE)=AA123,AA123+AF123,0)),AA123,(IF(VLOOKUP($AA123,$AA$46:$AA123,1,FALSE)=AA123,AA123+AF123,0)))</f>
        <v>#N/A</v>
      </c>
      <c r="AC123" s="23" t="str" vm="10">
        <f t="shared" si="25"/>
        <v>Debt</v>
      </c>
      <c r="AD123" s="23" t="e">
        <f>CUBEMEMBER("cabcrmsqlrs1 CABReportingCubes Local Advice Event",{"[AIC Outcome].[AIC Part1].&amp;[Debt]","[AIC Outcome].[AIC Part2].&amp;[Debt]&amp;[02 Public transport]"})</f>
        <v>#N/A</v>
      </c>
      <c r="AE123" s="141" t="e">
        <f t="shared" si="22"/>
        <v>#N/A</v>
      </c>
      <c r="AF123" s="23">
        <f>COUNTIF($AA$47:$AA123,$AA123)-1</f>
        <v>56</v>
      </c>
      <c r="AP123"/>
      <c r="AQ123"/>
      <c r="AR123"/>
      <c r="BG123" s="130" t="e">
        <f t="shared" si="21"/>
        <v>#N/A</v>
      </c>
      <c r="BH123" s="130" t="e">
        <f>IF(ISNA(IF(VLOOKUP($BG123,$BG$24:$BG122,1,FALSE)=BG123,BG123+BI123,0)),BG123,(IF(VLOOKUP($BG123,$BG$24:$BG122,1,FALSE)=BG123,BG123+BI123,0)))</f>
        <v>#N/A</v>
      </c>
      <c r="BI123" s="23">
        <f>COUNTIF($BG$24:$BG123,BG123)-1</f>
        <v>48</v>
      </c>
      <c r="BJ123"/>
      <c r="BK123"/>
      <c r="BL123"/>
    </row>
    <row r="124" spans="26:64" hidden="1">
      <c r="Z124" s="23" t="e">
        <f t="shared" si="23"/>
        <v>#N/A</v>
      </c>
      <c r="AA124" s="130" t="e">
        <f t="shared" si="24"/>
        <v>#N/A</v>
      </c>
      <c r="AB124" s="130" t="e">
        <f>IF(ISNA(IF(VLOOKUP($AA124,$AA$47:$AA123,1,FALSE)=AA124,AA124+AF124,0)),AA124,(IF(VLOOKUP($AA124,$AA$46:$AA124,1,FALSE)=AA124,AA124+AF124,0)))</f>
        <v>#N/A</v>
      </c>
      <c r="AC124" s="23" t="str" vm="10">
        <f t="shared" si="25"/>
        <v>Debt</v>
      </c>
      <c r="AD124" s="23" t="e">
        <f>CUBEMEMBER("cabcrmsqlrs1 CABReportingCubes Local Advice Event",{"[AIC Outcome].[AIC Part1].&amp;[Debt]","[AIC Outcome].[AIC Part2].&amp;[Debt]&amp;[03 Building repairs &amp; improvements]"})</f>
        <v>#N/A</v>
      </c>
      <c r="AE124" s="141" t="e">
        <f t="shared" si="22"/>
        <v>#N/A</v>
      </c>
      <c r="AF124" s="23">
        <f>COUNTIF($AA$47:$AA124,$AA124)-1</f>
        <v>57</v>
      </c>
      <c r="AP124"/>
      <c r="AQ124"/>
      <c r="AR124"/>
      <c r="BG124" s="130" t="e">
        <f t="shared" si="21"/>
        <v>#N/A</v>
      </c>
      <c r="BH124" s="130" t="e">
        <f>IF(ISNA(IF(VLOOKUP($BG124,$BG$24:$BG123,1,FALSE)=BG124,BG124+BI124,0)),BG124,(IF(VLOOKUP($BG124,$BG$24:$BG123,1,FALSE)=BG124,BG124+BI124,0)))</f>
        <v>#N/A</v>
      </c>
      <c r="BI124" s="23">
        <f>COUNTIF($BG$24:$BG124,BG124)-1</f>
        <v>49</v>
      </c>
      <c r="BJ124"/>
      <c r="BK124"/>
      <c r="BL124"/>
    </row>
    <row r="125" spans="26:64" hidden="1">
      <c r="Z125" s="23" t="str">
        <f t="shared" si="23"/>
        <v>Debt03 Council Tax</v>
      </c>
      <c r="AA125" s="130" t="e">
        <f t="shared" si="24"/>
        <v>#VALUE!</v>
      </c>
      <c r="AB125" s="130" t="e">
        <f>IF(ISNA(IF(VLOOKUP($AA125,$AA$47:$AA124,1,FALSE)=AA125,AA125+AF125,0)),AA125,(IF(VLOOKUP($AA125,$AA$46:$AA125,1,FALSE)=AA125,AA125+AF125,0)))</f>
        <v>#VALUE!</v>
      </c>
      <c r="AC125" s="23" t="str" vm="10">
        <f t="shared" si="25"/>
        <v>Debt</v>
      </c>
      <c r="AD125" s="23" t="str" vm="410">
        <f>CUBEMEMBER("cabcrmsqlrs1 CABReportingCubes Local Advice Event",{"[AIC Outcome].[AIC Part1].&amp;[Debt]","[AIC Outcome].[AIC Part2].&amp;[Debt]&amp;[03 Council Tax]"})</f>
        <v>03 Council Tax</v>
      </c>
      <c r="AE125" s="141" t="str" vm="1041">
        <f t="shared" si="22"/>
        <v/>
      </c>
      <c r="AF125" s="23">
        <f>COUNTIF($AA$47:$AA125,$AA125)-1</f>
        <v>20</v>
      </c>
      <c r="AP125"/>
      <c r="AQ125"/>
      <c r="AR125"/>
      <c r="BG125" s="130" t="e">
        <f t="shared" si="21"/>
        <v>#N/A</v>
      </c>
      <c r="BH125" s="130" t="e">
        <f>IF(ISNA(IF(VLOOKUP($BG125,$BG$24:$BG124,1,FALSE)=BG125,BG125+BI125,0)),BG125,(IF(VLOOKUP($BG125,$BG$24:$BG124,1,FALSE)=BG125,BG125+BI125,0)))</f>
        <v>#N/A</v>
      </c>
      <c r="BI125" s="23">
        <f>COUNTIF($BG$24:$BG125,BG125)-1</f>
        <v>50</v>
      </c>
      <c r="BJ125"/>
      <c r="BK125"/>
      <c r="BL125"/>
    </row>
    <row r="126" spans="26:64" hidden="1">
      <c r="Z126" s="23" t="str">
        <f t="shared" si="23"/>
        <v>Debt03 County &amp; High Court proceedings</v>
      </c>
      <c r="AA126" s="130" t="e">
        <f t="shared" si="24"/>
        <v>#VALUE!</v>
      </c>
      <c r="AB126" s="130" t="e">
        <f>IF(ISNA(IF(VLOOKUP($AA126,$AA$47:$AA125,1,FALSE)=AA126,AA126+AF126,0)),AA126,(IF(VLOOKUP($AA126,$AA$46:$AA126,1,FALSE)=AA126,AA126+AF126,0)))</f>
        <v>#VALUE!</v>
      </c>
      <c r="AC126" s="23" t="str" vm="10">
        <f t="shared" si="25"/>
        <v>Debt</v>
      </c>
      <c r="AD126" s="23" t="str" vm="497">
        <f>CUBEMEMBER("cabcrmsqlrs1 CABReportingCubes Local Advice Event",{"[AIC Outcome].[AIC Part1].&amp;[Debt]","[AIC Outcome].[AIC Part2].&amp;[Debt]&amp;[03 County &amp; High Court proceedings]"})</f>
        <v>03 County &amp; High Court proceedings</v>
      </c>
      <c r="AE126" s="141" t="str" vm="1024">
        <f t="shared" si="22"/>
        <v/>
      </c>
      <c r="AF126" s="23">
        <f>COUNTIF($AA$47:$AA126,$AA126)-1</f>
        <v>21</v>
      </c>
      <c r="AP126"/>
      <c r="AQ126"/>
      <c r="AR126"/>
      <c r="BG126" s="130" t="e">
        <f t="shared" si="21"/>
        <v>#N/A</v>
      </c>
      <c r="BH126" s="130" t="e">
        <f>IF(ISNA(IF(VLOOKUP($BG126,$BG$24:$BG125,1,FALSE)=BG126,BG126+BI126,0)),BG126,(IF(VLOOKUP($BG126,$BG$24:$BG125,1,FALSE)=BG126,BG126+BI126,0)))</f>
        <v>#N/A</v>
      </c>
      <c r="BI126" s="23">
        <f>COUNTIF($BG$24:$BG126,BG126)-1</f>
        <v>51</v>
      </c>
      <c r="BJ126"/>
      <c r="BK126"/>
      <c r="BL126"/>
    </row>
    <row r="127" spans="26:64" hidden="1">
      <c r="Z127" s="23" t="str">
        <f t="shared" si="23"/>
        <v>Debt03 Credit/store/charge cards</v>
      </c>
      <c r="AA127" s="130" t="e">
        <f t="shared" si="24"/>
        <v>#VALUE!</v>
      </c>
      <c r="AB127" s="130" t="e">
        <f>IF(ISNA(IF(VLOOKUP($AA127,$AA$47:$AA126,1,FALSE)=AA127,AA127+AF127,0)),AA127,(IF(VLOOKUP($AA127,$AA$46:$AA127,1,FALSE)=AA127,AA127+AF127,0)))</f>
        <v>#VALUE!</v>
      </c>
      <c r="AC127" s="23" t="str" vm="10">
        <f t="shared" si="25"/>
        <v>Debt</v>
      </c>
      <c r="AD127" s="23" t="str" vm="409">
        <f>CUBEMEMBER("cabcrmsqlrs1 CABReportingCubes Local Advice Event",{"[AIC Outcome].[AIC Part1].&amp;[Debt]","[AIC Outcome].[AIC Part2].&amp;[Debt]&amp;[03 Credit/store/charge cards]"})</f>
        <v>03 Credit/store/charge cards</v>
      </c>
      <c r="AE127" s="141" t="str" vm="1126">
        <f t="shared" si="22"/>
        <v/>
      </c>
      <c r="AF127" s="23">
        <f>COUNTIF($AA$47:$AA127,$AA127)-1</f>
        <v>22</v>
      </c>
      <c r="AP127"/>
      <c r="AQ127"/>
      <c r="AR127"/>
      <c r="BG127" s="130" t="e">
        <f t="shared" si="21"/>
        <v>#N/A</v>
      </c>
      <c r="BH127" s="130" t="e">
        <f>IF(ISNA(IF(VLOOKUP($BG127,$BG$24:$BG126,1,FALSE)=BG127,BG127+BI127,0)),BG127,(IF(VLOOKUP($BG127,$BG$24:$BG126,1,FALSE)=BG127,BG127+BI127,0)))</f>
        <v>#N/A</v>
      </c>
      <c r="BI127" s="23">
        <f>COUNTIF($BG$24:$BG127,BG127)-1</f>
        <v>52</v>
      </c>
      <c r="BJ127"/>
      <c r="BK127"/>
      <c r="BL127"/>
    </row>
    <row r="128" spans="26:64" hidden="1">
      <c r="Z128" s="23" t="str">
        <f t="shared" si="23"/>
        <v>Debt03 Hire purchase arrears</v>
      </c>
      <c r="AA128" s="130" t="e">
        <f t="shared" si="24"/>
        <v>#N/A</v>
      </c>
      <c r="AB128" s="130" t="e">
        <f>IF(ISNA(IF(VLOOKUP($AA128,$AA$47:$AA127,1,FALSE)=AA128,AA128+AF128,0)),AA128,(IF(VLOOKUP($AA128,$AA$46:$AA128,1,FALSE)=AA128,AA128+AF128,0)))</f>
        <v>#N/A</v>
      </c>
      <c r="AC128" s="23" t="str" vm="10">
        <f t="shared" si="25"/>
        <v>Debt</v>
      </c>
      <c r="AD128" s="23" t="str" vm="496">
        <f>CUBEMEMBER("cabcrmsqlrs1 CABReportingCubes Local Advice Event",{"[AIC Outcome].[AIC Part1].&amp;[Debt]","[AIC Outcome].[AIC Part2].&amp;[Debt]&amp;[03 Hire purchase arrears]"})</f>
        <v>03 Hire purchase arrears</v>
      </c>
      <c r="AE128" s="141" vm="1243">
        <f t="shared" si="22"/>
        <v>12</v>
      </c>
      <c r="AF128" s="23">
        <f>COUNTIF($AA$47:$AA128,$AA128)-1</f>
        <v>58</v>
      </c>
      <c r="AP128"/>
      <c r="AQ128"/>
      <c r="AR128"/>
      <c r="BG128" s="130" t="e">
        <f t="shared" si="21"/>
        <v>#N/A</v>
      </c>
      <c r="BH128" s="130" t="e">
        <f>IF(ISNA(IF(VLOOKUP($BG128,$BG$24:$BG127,1,FALSE)=BG128,BG128+BI128,0)),BG128,(IF(VLOOKUP($BG128,$BG$24:$BG127,1,FALSE)=BG128,BG128+BI128,0)))</f>
        <v>#N/A</v>
      </c>
      <c r="BI128" s="23">
        <f>COUNTIF($BG$24:$BG128,BG128)-1</f>
        <v>53</v>
      </c>
      <c r="BJ128"/>
      <c r="BK128"/>
      <c r="BL128"/>
    </row>
    <row r="129" spans="26:64" hidden="1">
      <c r="Z129" s="23" t="e">
        <f t="shared" si="23"/>
        <v>#N/A</v>
      </c>
      <c r="AA129" s="130" t="e">
        <f t="shared" si="24"/>
        <v>#N/A</v>
      </c>
      <c r="AB129" s="130" t="e">
        <f>IF(ISNA(IF(VLOOKUP($AA129,$AA$47:$AA128,1,FALSE)=AA129,AA129+AF129,0)),AA129,(IF(VLOOKUP($AA129,$AA$46:$AA129,1,FALSE)=AA129,AA129+AF129,0)))</f>
        <v>#N/A</v>
      </c>
      <c r="AC129" s="23" t="str" vm="10">
        <f t="shared" si="25"/>
        <v>Debt</v>
      </c>
      <c r="AD129" s="23" t="e">
        <f>CUBEMEMBER("cabcrmsqlrs1 CABReportingCubes Local Advice Event",{"[AIC Outcome].[AIC Part1].&amp;[Debt]","[AIC Outcome].[AIC Part2].&amp;[Debt]&amp;[03 Self Employment/Business]"})</f>
        <v>#N/A</v>
      </c>
      <c r="AE129" s="141" t="e">
        <f t="shared" si="22"/>
        <v>#N/A</v>
      </c>
      <c r="AF129" s="23">
        <f>COUNTIF($AA$47:$AA129,$AA129)-1</f>
        <v>59</v>
      </c>
      <c r="AP129"/>
      <c r="AQ129"/>
      <c r="AR129"/>
      <c r="BG129" s="130" t="e">
        <f t="shared" si="21"/>
        <v>#N/A</v>
      </c>
      <c r="BH129" s="130" t="e">
        <f>IF(ISNA(IF(VLOOKUP($BG129,$BG$24:$BG128,1,FALSE)=BG129,BG129+BI129,0)),BG129,(IF(VLOOKUP($BG129,$BG$24:$BG128,1,FALSE)=BG129,BG129+BI129,0)))</f>
        <v>#N/A</v>
      </c>
      <c r="BI129" s="23">
        <f>COUNTIF($BG$24:$BG129,BG129)-1</f>
        <v>54</v>
      </c>
      <c r="BJ129"/>
      <c r="BK129"/>
      <c r="BL129"/>
    </row>
    <row r="130" spans="26:64" hidden="1">
      <c r="Z130" s="23" t="e">
        <f t="shared" si="23"/>
        <v>#N/A</v>
      </c>
      <c r="AA130" s="130" t="e">
        <f t="shared" si="24"/>
        <v>#N/A</v>
      </c>
      <c r="AB130" s="130" t="e">
        <f>IF(ISNA(IF(VLOOKUP($AA130,$AA$47:$AA129,1,FALSE)=AA130,AA130+AF130,0)),AA130,(IF(VLOOKUP($AA130,$AA$46:$AA130,1,FALSE)=AA130,AA130+AF130,0)))</f>
        <v>#N/A</v>
      </c>
      <c r="AC130" s="23" t="str" vm="10">
        <f t="shared" si="25"/>
        <v>Debt</v>
      </c>
      <c r="AD130" s="23" t="e">
        <f>CUBEMEMBER("cabcrmsqlrs1 CABReportingCubes Local Advice Event",{"[AIC Outcome].[AIC Part1].&amp;[Debt]","[AIC Outcome].[AIC Part2].&amp;[Debt]&amp;[03 Water &amp; sewerage]"})</f>
        <v>#N/A</v>
      </c>
      <c r="AE130" s="141" t="e">
        <f t="shared" si="22"/>
        <v>#N/A</v>
      </c>
      <c r="AF130" s="23">
        <f>COUNTIF($AA$47:$AA130,$AA130)-1</f>
        <v>60</v>
      </c>
      <c r="AP130"/>
      <c r="AQ130"/>
      <c r="AR130"/>
      <c r="BG130" s="130" t="e">
        <f t="shared" si="21"/>
        <v>#N/A</v>
      </c>
      <c r="BH130" s="130" t="e">
        <f>IF(ISNA(IF(VLOOKUP($BG130,$BG$24:$BG129,1,FALSE)=BG130,BG130+BI130,0)),BG130,(IF(VLOOKUP($BG130,$BG$24:$BG129,1,FALSE)=BG130,BG130+BI130,0)))</f>
        <v>#N/A</v>
      </c>
      <c r="BI130" s="23">
        <f>COUNTIF($BG$24:$BG130,BG130)-1</f>
        <v>55</v>
      </c>
      <c r="BJ130"/>
      <c r="BK130"/>
      <c r="BL130"/>
    </row>
    <row r="131" spans="26:64" hidden="1">
      <c r="Z131" s="23" t="str">
        <f t="shared" si="23"/>
        <v>Debt04 Fuel debts</v>
      </c>
      <c r="AA131" s="130" t="e">
        <f t="shared" si="24"/>
        <v>#N/A</v>
      </c>
      <c r="AB131" s="130" t="e">
        <f>IF(ISNA(IF(VLOOKUP($AA131,$AA$47:$AA130,1,FALSE)=AA131,AA131+AF131,0)),AA131,(IF(VLOOKUP($AA131,$AA$46:$AA131,1,FALSE)=AA131,AA131+AF131,0)))</f>
        <v>#N/A</v>
      </c>
      <c r="AC131" s="23" t="str" vm="10">
        <f t="shared" si="25"/>
        <v>Debt</v>
      </c>
      <c r="AD131" s="23" t="str" vm="408">
        <f>CUBEMEMBER("cabcrmsqlrs1 CABReportingCubes Local Advice Event",{"[AIC Outcome].[AIC Part1].&amp;[Debt]","[AIC Outcome].[AIC Part2].&amp;[Debt]&amp;[04 Fuel debts]"})</f>
        <v>04 Fuel debts</v>
      </c>
      <c r="AE131" s="141" vm="1264">
        <f t="shared" si="22"/>
        <v>206</v>
      </c>
      <c r="AF131" s="23">
        <f>COUNTIF($AA$47:$AA131,$AA131)-1</f>
        <v>61</v>
      </c>
      <c r="AP131"/>
      <c r="AQ131"/>
      <c r="AR131"/>
      <c r="BG131" s="130" t="e">
        <f t="shared" si="21"/>
        <v>#N/A</v>
      </c>
      <c r="BH131" s="130" t="e">
        <f>IF(ISNA(IF(VLOOKUP($BG131,$BG$24:$BG130,1,FALSE)=BG131,BG131+BI131,0)),BG131,(IF(VLOOKUP($BG131,$BG$24:$BG130,1,FALSE)=BG131,BG131+BI131,0)))</f>
        <v>#N/A</v>
      </c>
      <c r="BI131" s="23">
        <f>COUNTIF($BG$24:$BG131,BG131)-1</f>
        <v>56</v>
      </c>
      <c r="BJ131"/>
      <c r="BK131"/>
      <c r="BL131"/>
    </row>
    <row r="132" spans="26:64" hidden="1">
      <c r="Z132" s="23" t="str">
        <f t="shared" si="23"/>
        <v>Debt05 Loans - unsecured</v>
      </c>
      <c r="AA132" s="130" t="e">
        <f t="shared" si="24"/>
        <v>#VALUE!</v>
      </c>
      <c r="AB132" s="130" t="e">
        <f>IF(ISNA(IF(VLOOKUP($AA132,$AA$47:$AA131,1,FALSE)=AA132,AA132+AF132,0)),AA132,(IF(VLOOKUP($AA132,$AA$46:$AA132,1,FALSE)=AA132,AA132+AF132,0)))</f>
        <v>#VALUE!</v>
      </c>
      <c r="AC132" s="23" t="str" vm="10">
        <f t="shared" si="25"/>
        <v>Debt</v>
      </c>
      <c r="AD132" s="23" t="str" vm="495">
        <f>CUBEMEMBER("cabcrmsqlrs1 CABReportingCubes Local Advice Event",{"[AIC Outcome].[AIC Part1].&amp;[Debt]","[AIC Outcome].[AIC Part2].&amp;[Debt]&amp;[05 Loans - unsecured]"})</f>
        <v>05 Loans - unsecured</v>
      </c>
      <c r="AE132" s="141" t="str" vm="1114">
        <f t="shared" si="22"/>
        <v/>
      </c>
      <c r="AF132" s="23">
        <f>COUNTIF($AA$47:$AA132,$AA132)-1</f>
        <v>23</v>
      </c>
      <c r="AP132"/>
      <c r="AQ132"/>
      <c r="AR132"/>
      <c r="BG132" s="130" t="e">
        <f t="shared" si="21"/>
        <v>#N/A</v>
      </c>
      <c r="BH132" s="130" t="e">
        <f>IF(ISNA(IF(VLOOKUP($BG132,$BG$24:$BG131,1,FALSE)=BG132,BG132+BI132,0)),BG132,(IF(VLOOKUP($BG132,$BG$24:$BG131,1,FALSE)=BG132,BG132+BI132,0)))</f>
        <v>#N/A</v>
      </c>
      <c r="BI132" s="23">
        <f>COUNTIF($BG$24:$BG132,BG132)-1</f>
        <v>57</v>
      </c>
      <c r="BJ132"/>
      <c r="BK132"/>
      <c r="BL132"/>
    </row>
    <row r="133" spans="26:64" hidden="1">
      <c r="Z133" s="23" t="str">
        <f t="shared" si="23"/>
        <v>Debt05 Telephone &amp; broadband debts</v>
      </c>
      <c r="AA133" s="130" t="e">
        <f t="shared" si="24"/>
        <v>#VALUE!</v>
      </c>
      <c r="AB133" s="130" t="e">
        <f>IF(ISNA(IF(VLOOKUP($AA133,$AA$47:$AA132,1,FALSE)=AA133,AA133+AF133,0)),AA133,(IF(VLOOKUP($AA133,$AA$46:$AA133,1,FALSE)=AA133,AA133+AF133,0)))</f>
        <v>#VALUE!</v>
      </c>
      <c r="AC133" s="23" t="str" vm="10">
        <f t="shared" si="25"/>
        <v>Debt</v>
      </c>
      <c r="AD133" s="23" t="str" vm="407">
        <f>CUBEMEMBER("cabcrmsqlrs1 CABReportingCubes Local Advice Event",{"[AIC Outcome].[AIC Part1].&amp;[Debt]","[AIC Outcome].[AIC Part2].&amp;[Debt]&amp;[05 Telephone &amp; broadband debts]"})</f>
        <v>05 Telephone &amp; broadband debts</v>
      </c>
      <c r="AE133" s="141" t="str" vm="1093">
        <f t="shared" si="22"/>
        <v/>
      </c>
      <c r="AF133" s="23">
        <f>COUNTIF($AA$47:$AA133,$AA133)-1</f>
        <v>24</v>
      </c>
      <c r="AP133"/>
      <c r="AQ133"/>
      <c r="AR133"/>
      <c r="BG133" s="130" t="e">
        <f t="shared" si="21"/>
        <v>#N/A</v>
      </c>
      <c r="BH133" s="130" t="e">
        <f>IF(ISNA(IF(VLOOKUP($BG133,$BG$24:$BG132,1,FALSE)=BG133,BG133+BI133,0)),BG133,(IF(VLOOKUP($BG133,$BG$24:$BG132,1,FALSE)=BG133,BG133+BI133,0)))</f>
        <v>#N/A</v>
      </c>
      <c r="BI133" s="23">
        <f>COUNTIF($BG$24:$BG133,BG133)-1</f>
        <v>58</v>
      </c>
      <c r="BJ133"/>
      <c r="BK133"/>
      <c r="BL133"/>
    </row>
    <row r="134" spans="26:64" hidden="1">
      <c r="Z134" s="23" t="str">
        <f t="shared" si="23"/>
        <v>Debt06 Rent arrears - LAs or ALMOs</v>
      </c>
      <c r="AA134" s="130" t="e">
        <f t="shared" si="24"/>
        <v>#N/A</v>
      </c>
      <c r="AB134" s="130" t="e">
        <f>IF(ISNA(IF(VLOOKUP($AA134,$AA$47:$AA133,1,FALSE)=AA134,AA134+AF134,0)),AA134,(IF(VLOOKUP($AA134,$AA$46:$AA134,1,FALSE)=AA134,AA134+AF134,0)))</f>
        <v>#N/A</v>
      </c>
      <c r="AC134" s="23" t="str" vm="10">
        <f t="shared" si="25"/>
        <v>Debt</v>
      </c>
      <c r="AD134" s="23" t="str" vm="494">
        <f>CUBEMEMBER("cabcrmsqlrs1 CABReportingCubes Local Advice Event",{"[AIC Outcome].[AIC Part1].&amp;[Debt]","[AIC Outcome].[AIC Part2].&amp;[Debt]&amp;[06 Rent arrears - LAs or ALMOs]"})</f>
        <v>06 Rent arrears - LAs or ALMOs</v>
      </c>
      <c r="AE134" s="141" vm="1191">
        <f t="shared" si="22"/>
        <v>546</v>
      </c>
      <c r="AF134" s="23">
        <f>COUNTIF($AA$47:$AA134,$AA134)-1</f>
        <v>62</v>
      </c>
      <c r="AP134"/>
      <c r="AQ134"/>
      <c r="AR134"/>
      <c r="BG134" s="130" t="e">
        <f t="shared" si="21"/>
        <v>#N/A</v>
      </c>
      <c r="BH134" s="130" t="e">
        <f>IF(ISNA(IF(VLOOKUP($BG134,$BG$24:$BG133,1,FALSE)=BG134,BG134+BI134,0)),BG134,(IF(VLOOKUP($BG134,$BG$24:$BG133,1,FALSE)=BG134,BG134+BI134,0)))</f>
        <v>#N/A</v>
      </c>
      <c r="BI134" s="23">
        <f>COUNTIF($BG$24:$BG134,BG134)-1</f>
        <v>59</v>
      </c>
      <c r="BJ134"/>
      <c r="BK134"/>
      <c r="BL134"/>
    </row>
    <row r="135" spans="26:64" hidden="1">
      <c r="Z135" s="23" t="e">
        <f t="shared" si="23"/>
        <v>#N/A</v>
      </c>
      <c r="AA135" s="130" t="e">
        <f t="shared" si="24"/>
        <v>#N/A</v>
      </c>
      <c r="AB135" s="130" t="e">
        <f>IF(ISNA(IF(VLOOKUP($AA135,$AA$47:$AA134,1,FALSE)=AA135,AA135+AF135,0)),AA135,(IF(VLOOKUP($AA135,$AA$46:$AA135,1,FALSE)=AA135,AA135+AF135,0)))</f>
        <v>#N/A</v>
      </c>
      <c r="AC135" s="23" t="str" vm="10">
        <f t="shared" si="25"/>
        <v>Debt</v>
      </c>
      <c r="AD135" s="23" t="e">
        <f>CUBEMEMBER("cabcrmsqlrs1 CABReportingCubes Local Advice Event",{"[AIC Outcome].[AIC Part1].&amp;[Debt]","[AIC Outcome].[AIC Part2].&amp;[Debt]&amp;[07 Housing Benefit]"})</f>
        <v>#N/A</v>
      </c>
      <c r="AE135" s="141" t="e">
        <f t="shared" si="22"/>
        <v>#N/A</v>
      </c>
      <c r="AF135" s="23">
        <f>COUNTIF($AA$47:$AA135,$AA135)-1</f>
        <v>63</v>
      </c>
      <c r="AP135"/>
      <c r="AQ135"/>
      <c r="AR135"/>
      <c r="BG135" s="130" t="e">
        <f t="shared" si="21"/>
        <v>#N/A</v>
      </c>
      <c r="BH135" s="130" t="e">
        <f>IF(ISNA(IF(VLOOKUP($BG135,$BG$24:$BG134,1,FALSE)=BG135,BG135+BI135,0)),BG135,(IF(VLOOKUP($BG135,$BG$24:$BG134,1,FALSE)=BG135,BG135+BI135,0)))</f>
        <v>#N/A</v>
      </c>
      <c r="BI135" s="23">
        <f>COUNTIF($BG$24:$BG135,BG135)-1</f>
        <v>60</v>
      </c>
      <c r="BJ135"/>
      <c r="BK135"/>
      <c r="BL135"/>
    </row>
    <row r="136" spans="26:64" hidden="1">
      <c r="Z136" s="23" t="str">
        <f t="shared" si="23"/>
        <v>Debt07 Rent arrears -  housing associations</v>
      </c>
      <c r="AA136" s="130" t="e">
        <f t="shared" si="24"/>
        <v>#N/A</v>
      </c>
      <c r="AB136" s="130" t="e">
        <f>IF(ISNA(IF(VLOOKUP($AA136,$AA$47:$AA135,1,FALSE)=AA136,AA136+AF136,0)),AA136,(IF(VLOOKUP($AA136,$AA$46:$AA136,1,FALSE)=AA136,AA136+AF136,0)))</f>
        <v>#N/A</v>
      </c>
      <c r="AC136" s="23" t="str" vm="10">
        <f t="shared" si="25"/>
        <v>Debt</v>
      </c>
      <c r="AD136" s="23" t="str" vm="493">
        <f>CUBEMEMBER("cabcrmsqlrs1 CABReportingCubes Local Advice Event",{"[AIC Outcome].[AIC Part1].&amp;[Debt]","[AIC Outcome].[AIC Part2].&amp;[Debt]&amp;[07 Rent arrears -  housing associations]"})</f>
        <v>07 Rent arrears -  housing associations</v>
      </c>
      <c r="AE136" s="141" vm="1208">
        <f t="shared" si="22"/>
        <v>98</v>
      </c>
      <c r="AF136" s="23">
        <f>COUNTIF($AA$47:$AA136,$AA136)-1</f>
        <v>64</v>
      </c>
      <c r="AP136"/>
      <c r="AQ136"/>
      <c r="AR136"/>
      <c r="BG136" s="130" t="e">
        <f t="shared" si="21"/>
        <v>#N/A</v>
      </c>
      <c r="BH136" s="130" t="e">
        <f>IF(ISNA(IF(VLOOKUP($BG136,$BG$24:$BG135,1,FALSE)=BG136,BG136+BI136,0)),BG136,(IF(VLOOKUP($BG136,$BG$24:$BG135,1,FALSE)=BG136,BG136+BI136,0)))</f>
        <v>#N/A</v>
      </c>
      <c r="BI136" s="23">
        <f>COUNTIF($BG$24:$BG136,BG136)-1</f>
        <v>61</v>
      </c>
      <c r="BJ136"/>
      <c r="BK136"/>
      <c r="BL136"/>
    </row>
    <row r="137" spans="26:64" hidden="1">
      <c r="Z137" s="23" t="e">
        <f t="shared" si="23"/>
        <v>#N/A</v>
      </c>
      <c r="AA137" s="130" t="e">
        <f t="shared" si="24"/>
        <v>#N/A</v>
      </c>
      <c r="AB137" s="130" t="e">
        <f>IF(ISNA(IF(VLOOKUP($AA137,$AA$47:$AA136,1,FALSE)=AA137,AA137+AF137,0)),AA137,(IF(VLOOKUP($AA137,$AA$46:$AA137,1,FALSE)=AA137,AA137+AF137,0)))</f>
        <v>#N/A</v>
      </c>
      <c r="AC137" s="23" t="str" vm="10">
        <f t="shared" si="25"/>
        <v>Debt</v>
      </c>
      <c r="AD137" s="23" t="e">
        <f>CUBEMEMBER("cabcrmsqlrs1 CABReportingCubes Local Advice Event",{"[AIC Outcome].[AIC Part1].&amp;[Debt]","[AIC Outcome].[AIC Part2].&amp;[Debt]&amp;[08 Financial advisers/brokers/intermeds.]"})</f>
        <v>#N/A</v>
      </c>
      <c r="AE137" s="141" t="e">
        <f t="shared" si="22"/>
        <v>#N/A</v>
      </c>
      <c r="AF137" s="23">
        <f>COUNTIF($AA$47:$AA137,$AA137)-1</f>
        <v>65</v>
      </c>
      <c r="AP137"/>
      <c r="AQ137"/>
      <c r="AR137"/>
      <c r="BG137" s="130" t="e">
        <f t="shared" si="21"/>
        <v>#N/A</v>
      </c>
      <c r="BH137" s="130" t="e">
        <f>IF(ISNA(IF(VLOOKUP($BG137,$BG$24:$BG136,1,FALSE)=BG137,BG137+BI137,0)),BG137,(IF(VLOOKUP($BG137,$BG$24:$BG136,1,FALSE)=BG137,BG137+BI137,0)))</f>
        <v>#N/A</v>
      </c>
      <c r="BI137" s="23">
        <f>COUNTIF($BG$24:$BG137,BG137)-1</f>
        <v>62</v>
      </c>
      <c r="BJ137"/>
      <c r="BK137"/>
      <c r="BL137"/>
    </row>
    <row r="138" spans="26:64" hidden="1">
      <c r="Z138" s="23" t="str">
        <f t="shared" si="23"/>
        <v>Debt08 Rent arrears - private landlords</v>
      </c>
      <c r="AA138" s="130" t="e">
        <f t="shared" si="24"/>
        <v>#N/A</v>
      </c>
      <c r="AB138" s="130" t="e">
        <f>IF(ISNA(IF(VLOOKUP($AA138,$AA$47:$AA137,1,FALSE)=AA138,AA138+AF138,0)),AA138,(IF(VLOOKUP($AA138,$AA$46:$AA138,1,FALSE)=AA138,AA138+AF138,0)))</f>
        <v>#N/A</v>
      </c>
      <c r="AC138" s="23" t="str" vm="10">
        <f t="shared" si="25"/>
        <v>Debt</v>
      </c>
      <c r="AD138" s="23" t="str" vm="492">
        <f>CUBEMEMBER("cabcrmsqlrs1 CABReportingCubes Local Advice Event",{"[AIC Outcome].[AIC Part1].&amp;[Debt]","[AIC Outcome].[AIC Part2].&amp;[Debt]&amp;[08 Rent arrears - private landlords]"})</f>
        <v>08 Rent arrears - private landlords</v>
      </c>
      <c r="AE138" s="141" vm="1117">
        <f t="shared" si="22"/>
        <v>68</v>
      </c>
      <c r="AF138" s="23">
        <f>COUNTIF($AA$47:$AA138,$AA138)-1</f>
        <v>66</v>
      </c>
      <c r="AP138"/>
      <c r="AQ138"/>
      <c r="AR138"/>
      <c r="BG138" s="130" t="e">
        <f t="shared" si="21"/>
        <v>#N/A</v>
      </c>
      <c r="BH138" s="130" t="e">
        <f>IF(ISNA(IF(VLOOKUP($BG138,$BG$24:$BG137,1,FALSE)=BG138,BG138+BI138,0)),BG138,(IF(VLOOKUP($BG138,$BG$24:$BG137,1,FALSE)=BG138,BG138+BI138,0)))</f>
        <v>#N/A</v>
      </c>
      <c r="BI138" s="23">
        <f>COUNTIF($BG$24:$BG138,BG138)-1</f>
        <v>63</v>
      </c>
      <c r="BJ138"/>
      <c r="BK138"/>
      <c r="BL138"/>
    </row>
    <row r="139" spans="26:64" hidden="1">
      <c r="Z139" s="23" t="e">
        <f t="shared" si="23"/>
        <v>#N/A</v>
      </c>
      <c r="AA139" s="130" t="e">
        <f t="shared" si="24"/>
        <v>#N/A</v>
      </c>
      <c r="AB139" s="130" t="e">
        <f>IF(ISNA(IF(VLOOKUP($AA139,$AA$47:$AA138,1,FALSE)=AA139,AA139+AF139,0)),AA139,(IF(VLOOKUP($AA139,$AA$46:$AA139,1,FALSE)=AA139,AA139+AF139,0)))</f>
        <v>#N/A</v>
      </c>
      <c r="AC139" s="23" t="str" vm="10">
        <f t="shared" si="25"/>
        <v>Debt</v>
      </c>
      <c r="AD139" s="23" t="e">
        <f>CUBEMEMBER("cabcrmsqlrs1 CABReportingCubes Local Advice Event",{"[AIC Outcome].[AIC Part1].&amp;[Debt]","[AIC Outcome].[AIC Part2].&amp;[Debt]&amp;[09 Council tax, community charge arrears]"})</f>
        <v>#N/A</v>
      </c>
      <c r="AE139" s="141" t="e">
        <f t="shared" si="22"/>
        <v>#N/A</v>
      </c>
      <c r="AF139" s="23">
        <f>COUNTIF($AA$47:$AA139,$AA139)-1</f>
        <v>67</v>
      </c>
      <c r="AP139"/>
      <c r="AQ139"/>
      <c r="AR139"/>
      <c r="BG139" s="130" t="e">
        <f t="shared" si="21"/>
        <v>#N/A</v>
      </c>
      <c r="BH139" s="130" t="e">
        <f>IF(ISNA(IF(VLOOKUP($BG139,$BG$24:$BG138,1,FALSE)=BG139,BG139+BI139,0)),BG139,(IF(VLOOKUP($BG139,$BG$24:$BG138,1,FALSE)=BG139,BG139+BI139,0)))</f>
        <v>#N/A</v>
      </c>
      <c r="BI139" s="23">
        <f>COUNTIF($BG$24:$BG139,BG139)-1</f>
        <v>64</v>
      </c>
      <c r="BJ139"/>
      <c r="BK139"/>
      <c r="BL139"/>
    </row>
    <row r="140" spans="26:64" hidden="1">
      <c r="Z140" s="23" t="str">
        <f t="shared" si="23"/>
        <v>Debt10 Mag. Cts. - fines &amp; comp.ord. arrears</v>
      </c>
      <c r="AA140" s="130" t="e">
        <f t="shared" si="24"/>
        <v>#N/A</v>
      </c>
      <c r="AB140" s="130" t="e">
        <f>IF(ISNA(IF(VLOOKUP($AA140,$AA$47:$AA139,1,FALSE)=AA140,AA140+AF140,0)),AA140,(IF(VLOOKUP($AA140,$AA$46:$AA140,1,FALSE)=AA140,AA140+AF140,0)))</f>
        <v>#N/A</v>
      </c>
      <c r="AC140" s="23" t="str" vm="10">
        <f t="shared" si="25"/>
        <v>Debt</v>
      </c>
      <c r="AD140" s="23" t="str" vm="491">
        <f>CUBEMEMBER("cabcrmsqlrs1 CABReportingCubes Local Advice Event",{"[AIC Outcome].[AIC Part1].&amp;[Debt]","[AIC Outcome].[AIC Part2].&amp;[Debt]&amp;[10 Mag. Cts. - fines &amp; comp.ord. arrears]"})</f>
        <v>10 Mag. Cts. - fines &amp; comp.ord. arrears</v>
      </c>
      <c r="AE140" s="141" vm="1149">
        <f t="shared" si="22"/>
        <v>54</v>
      </c>
      <c r="AF140" s="23">
        <f>COUNTIF($AA$47:$AA140,$AA140)-1</f>
        <v>68</v>
      </c>
      <c r="AP140"/>
      <c r="AQ140"/>
      <c r="AR140"/>
      <c r="BG140" s="130" t="e">
        <f t="shared" si="21"/>
        <v>#N/A</v>
      </c>
      <c r="BH140" s="130" t="e">
        <f>IF(ISNA(IF(VLOOKUP($BG140,$BG$24:$BG139,1,FALSE)=BG140,BG140+BI140,0)),BG140,(IF(VLOOKUP($BG140,$BG$24:$BG139,1,FALSE)=BG140,BG140+BI140,0)))</f>
        <v>#N/A</v>
      </c>
      <c r="BI140" s="23">
        <f>COUNTIF($BG$24:$BG140,BG140)-1</f>
        <v>65</v>
      </c>
      <c r="BJ140"/>
      <c r="BK140"/>
      <c r="BL140"/>
    </row>
    <row r="141" spans="26:64" hidden="1">
      <c r="Z141" s="23" t="e">
        <f t="shared" si="23"/>
        <v>#N/A</v>
      </c>
      <c r="AA141" s="130" t="e">
        <f t="shared" si="24"/>
        <v>#N/A</v>
      </c>
      <c r="AB141" s="130" t="e">
        <f>IF(ISNA(IF(VLOOKUP($AA141,$AA$47:$AA140,1,FALSE)=AA141,AA141+AF141,0)),AA141,(IF(VLOOKUP($AA141,$AA$46:$AA141,1,FALSE)=AA141,AA141+AF141,0)))</f>
        <v>#N/A</v>
      </c>
      <c r="AC141" s="23" t="str" vm="10">
        <f t="shared" si="25"/>
        <v>Debt</v>
      </c>
      <c r="AD141" s="23" t="e">
        <f>CUBEMEMBER("cabcrmsqlrs1 CABReportingCubes Local Advice Event",{"[AIC Outcome].[AIC Part1].&amp;[Debt]","[AIC Outcome].[AIC Part2].&amp;[Debt]&amp;[11 Maintenance &amp; child support arrears]"})</f>
        <v>#N/A</v>
      </c>
      <c r="AE141" s="141" t="e">
        <f t="shared" si="22"/>
        <v>#N/A</v>
      </c>
      <c r="AF141" s="23">
        <f>COUNTIF($AA$47:$AA141,$AA141)-1</f>
        <v>69</v>
      </c>
      <c r="AP141"/>
      <c r="AQ141"/>
      <c r="AR141"/>
      <c r="BG141" s="130" t="e">
        <f t="shared" si="21"/>
        <v>#N/A</v>
      </c>
      <c r="BH141" s="130" t="e">
        <f>IF(ISNA(IF(VLOOKUP($BG141,$BG$24:$BG140,1,FALSE)=BG141,BG141+BI141,0)),BG141,(IF(VLOOKUP($BG141,$BG$24:$BG140,1,FALSE)=BG141,BG141+BI141,0)))</f>
        <v>#N/A</v>
      </c>
      <c r="BI141" s="23">
        <f>COUNTIF($BG$24:$BG141,BG141)-1</f>
        <v>66</v>
      </c>
      <c r="BJ141"/>
      <c r="BK141"/>
      <c r="BL141"/>
    </row>
    <row r="142" spans="26:64" hidden="1">
      <c r="Z142" s="23" t="str">
        <f t="shared" si="23"/>
        <v>Debt12 Bank &amp; building society overdrafts</v>
      </c>
      <c r="AA142" s="130" t="e">
        <f t="shared" si="24"/>
        <v>#N/A</v>
      </c>
      <c r="AB142" s="130" t="e">
        <f>IF(ISNA(IF(VLOOKUP($AA142,$AA$47:$AA141,1,FALSE)=AA142,AA142+AF142,0)),AA142,(IF(VLOOKUP($AA142,$AA$46:$AA142,1,FALSE)=AA142,AA142+AF142,0)))</f>
        <v>#N/A</v>
      </c>
      <c r="AC142" s="23" t="str" vm="10">
        <f t="shared" si="25"/>
        <v>Debt</v>
      </c>
      <c r="AD142" s="23" t="str" vm="490">
        <f>CUBEMEMBER("cabcrmsqlrs1 CABReportingCubes Local Advice Event",{"[AIC Outcome].[AIC Part1].&amp;[Debt]","[AIC Outcome].[AIC Part2].&amp;[Debt]&amp;[12 Bank &amp; building society overdrafts]"})</f>
        <v>12 Bank &amp; building society overdrafts</v>
      </c>
      <c r="AE142" s="141" vm="1164">
        <f t="shared" si="22"/>
        <v>101</v>
      </c>
      <c r="AF142" s="23">
        <f>COUNTIF($AA$47:$AA142,$AA142)-1</f>
        <v>70</v>
      </c>
      <c r="AP142"/>
      <c r="AQ142"/>
      <c r="AR142"/>
      <c r="BG142" s="130" t="e">
        <f t="shared" si="21"/>
        <v>#N/A</v>
      </c>
      <c r="BH142" s="130" t="e">
        <f>IF(ISNA(IF(VLOOKUP($BG142,$BG$24:$BG141,1,FALSE)=BG142,BG142+BI142,0)),BG142,(IF(VLOOKUP($BG142,$BG$24:$BG141,1,FALSE)=BG142,BG142+BI142,0)))</f>
        <v>#N/A</v>
      </c>
      <c r="BI142" s="23">
        <f>COUNTIF($BG$24:$BG142,BG142)-1</f>
        <v>67</v>
      </c>
      <c r="BJ142"/>
      <c r="BK142"/>
      <c r="BL142"/>
    </row>
    <row r="143" spans="26:64" hidden="1">
      <c r="Z143" s="23" t="e">
        <f t="shared" si="23"/>
        <v>#N/A</v>
      </c>
      <c r="AA143" s="130" t="e">
        <f t="shared" si="24"/>
        <v>#N/A</v>
      </c>
      <c r="AB143" s="130" t="e">
        <f>IF(ISNA(IF(VLOOKUP($AA143,$AA$47:$AA142,1,FALSE)=AA143,AA143+AF143,0)),AA143,(IF(VLOOKUP($AA143,$AA$46:$AA143,1,FALSE)=AA143,AA143+AF143,0)))</f>
        <v>#N/A</v>
      </c>
      <c r="AC143" s="23" t="str" vm="10">
        <f t="shared" si="25"/>
        <v>Debt</v>
      </c>
      <c r="AD143" s="23" t="e">
        <f>CUBEMEMBER("cabcrmsqlrs1 CABReportingCubes Local Advice Event",{"[AIC Outcome].[AIC Part1].&amp;[Debt]","[AIC Outcome].[AIC Part2].&amp;[Debt]&amp;[12 Second hand vehicles]"})</f>
        <v>#N/A</v>
      </c>
      <c r="AE143" s="141" t="e">
        <f t="shared" si="22"/>
        <v>#N/A</v>
      </c>
      <c r="AF143" s="23">
        <f>COUNTIF($AA$47:$AA143,$AA143)-1</f>
        <v>71</v>
      </c>
      <c r="AP143"/>
      <c r="AQ143"/>
      <c r="AR143"/>
      <c r="BG143" s="130" t="e">
        <f t="shared" si="21"/>
        <v>#N/A</v>
      </c>
      <c r="BH143" s="130" t="e">
        <f>IF(ISNA(IF(VLOOKUP($BG143,$BG$24:$BG142,1,FALSE)=BG143,BG143+BI143,0)),BG143,(IF(VLOOKUP($BG143,$BG$24:$BG142,1,FALSE)=BG143,BG143+BI143,0)))</f>
        <v>#N/A</v>
      </c>
      <c r="BI143" s="23">
        <f>COUNTIF($BG$24:$BG143,BG143)-1</f>
        <v>68</v>
      </c>
      <c r="BJ143"/>
      <c r="BK143"/>
      <c r="BL143"/>
    </row>
    <row r="144" spans="26:64" hidden="1">
      <c r="Z144" s="23" t="str">
        <f t="shared" si="23"/>
        <v>Debt13 Credit, store &amp; charge card debts</v>
      </c>
      <c r="AA144" s="130" t="e">
        <f t="shared" si="24"/>
        <v>#N/A</v>
      </c>
      <c r="AB144" s="130" t="e">
        <f>IF(ISNA(IF(VLOOKUP($AA144,$AA$47:$AA143,1,FALSE)=AA144,AA144+AF144,0)),AA144,(IF(VLOOKUP($AA144,$AA$46:$AA144,1,FALSE)=AA144,AA144+AF144,0)))</f>
        <v>#N/A</v>
      </c>
      <c r="AC144" s="23" t="str" vm="10">
        <f t="shared" si="25"/>
        <v>Debt</v>
      </c>
      <c r="AD144" s="23" t="str" vm="489">
        <f>CUBEMEMBER("cabcrmsqlrs1 CABReportingCubes Local Advice Event",{"[AIC Outcome].[AIC Part1].&amp;[Debt]","[AIC Outcome].[AIC Part2].&amp;[Debt]&amp;[13 Credit, store &amp; charge card debts]"})</f>
        <v>13 Credit, store &amp; charge card debts</v>
      </c>
      <c r="AE144" s="141" vm="1070">
        <f t="shared" si="22"/>
        <v>257</v>
      </c>
      <c r="AF144" s="23">
        <f>COUNTIF($AA$47:$AA144,$AA144)-1</f>
        <v>72</v>
      </c>
      <c r="AP144"/>
      <c r="AQ144"/>
      <c r="AR144"/>
      <c r="BG144" s="130" t="e">
        <f t="shared" si="21"/>
        <v>#N/A</v>
      </c>
      <c r="BH144" s="130" t="e">
        <f>IF(ISNA(IF(VLOOKUP($BG144,$BG$24:$BG143,1,FALSE)=BG144,BG144+BI144,0)),BG144,(IF(VLOOKUP($BG144,$BG$24:$BG143,1,FALSE)=BG144,BG144+BI144,0)))</f>
        <v>#N/A</v>
      </c>
      <c r="BI144" s="23">
        <f>COUNTIF($BG$24:$BG144,BG144)-1</f>
        <v>69</v>
      </c>
      <c r="BJ144"/>
      <c r="BK144"/>
      <c r="BL144"/>
    </row>
    <row r="145" spans="26:64" hidden="1">
      <c r="Z145" s="23" t="e">
        <f t="shared" si="23"/>
        <v>#N/A</v>
      </c>
      <c r="AA145" s="130" t="e">
        <f t="shared" si="24"/>
        <v>#N/A</v>
      </c>
      <c r="AB145" s="130" t="e">
        <f>IF(ISNA(IF(VLOOKUP($AA145,$AA$47:$AA144,1,FALSE)=AA145,AA145+AF145,0)),AA145,(IF(VLOOKUP($AA145,$AA$46:$AA145,1,FALSE)=AA145,AA145+AF145,0)))</f>
        <v>#N/A</v>
      </c>
      <c r="AC145" s="23" t="str" vm="10">
        <f t="shared" si="25"/>
        <v>Debt</v>
      </c>
      <c r="AD145" s="23" t="e">
        <f>CUBEMEMBER("cabcrmsqlrs1 CABReportingCubes Local Advice Event",{"[AIC Outcome].[AIC Part1].&amp;[Debt]","[AIC Outcome].[AIC Part2].&amp;[Debt]&amp;[14 Food &amp; Drink]"})</f>
        <v>#N/A</v>
      </c>
      <c r="AE145" s="141" t="e">
        <f t="shared" si="22"/>
        <v>#N/A</v>
      </c>
      <c r="AF145" s="23">
        <f>COUNTIF($AA$47:$AA145,$AA145)-1</f>
        <v>73</v>
      </c>
      <c r="AP145"/>
      <c r="AQ145"/>
      <c r="AR145"/>
      <c r="BG145" s="130" t="e">
        <f t="shared" si="21"/>
        <v>#N/A</v>
      </c>
      <c r="BH145" s="130" t="e">
        <f>IF(ISNA(IF(VLOOKUP($BG145,$BG$24:$BG144,1,FALSE)=BG145,BG145+BI145,0)),BG145,(IF(VLOOKUP($BG145,$BG$24:$BG144,1,FALSE)=BG145,BG145+BI145,0)))</f>
        <v>#N/A</v>
      </c>
      <c r="BI145" s="23">
        <f>COUNTIF($BG$24:$BG145,BG145)-1</f>
        <v>70</v>
      </c>
      <c r="BJ145"/>
      <c r="BK145"/>
      <c r="BL145"/>
    </row>
    <row r="146" spans="26:64" hidden="1">
      <c r="Z146" s="23" t="str">
        <f t="shared" si="23"/>
        <v>Debt14 Unsecured personal loan debts</v>
      </c>
      <c r="AA146" s="130" t="e">
        <f t="shared" si="24"/>
        <v>#N/A</v>
      </c>
      <c r="AB146" s="130" t="e">
        <f>IF(ISNA(IF(VLOOKUP($AA146,$AA$47:$AA145,1,FALSE)=AA146,AA146+AF146,0)),AA146,(IF(VLOOKUP($AA146,$AA$46:$AA146,1,FALSE)=AA146,AA146+AF146,0)))</f>
        <v>#N/A</v>
      </c>
      <c r="AC146" s="23" t="str" vm="10">
        <f t="shared" si="25"/>
        <v>Debt</v>
      </c>
      <c r="AD146" s="23" t="str" vm="488">
        <f>CUBEMEMBER("cabcrmsqlrs1 CABReportingCubes Local Advice Event",{"[AIC Outcome].[AIC Part1].&amp;[Debt]","[AIC Outcome].[AIC Part2].&amp;[Debt]&amp;[14 Unsecured personal loan debts]"})</f>
        <v>14 Unsecured personal loan debts</v>
      </c>
      <c r="AE146" s="141" vm="1347">
        <f t="shared" si="22"/>
        <v>254</v>
      </c>
      <c r="AF146" s="23">
        <f>COUNTIF($AA$47:$AA146,$AA146)-1</f>
        <v>74</v>
      </c>
      <c r="AP146"/>
      <c r="AQ146"/>
      <c r="AR146"/>
      <c r="BG146" s="130" t="e">
        <f t="shared" si="21"/>
        <v>#N/A</v>
      </c>
      <c r="BH146" s="130" t="e">
        <f>IF(ISNA(IF(VLOOKUP($BG146,$BG$24:$BG145,1,FALSE)=BG146,BG146+BI146,0)),BG146,(IF(VLOOKUP($BG146,$BG$24:$BG145,1,FALSE)=BG146,BG146+BI146,0)))</f>
        <v>#N/A</v>
      </c>
      <c r="BI146" s="23">
        <f>COUNTIF($BG$24:$BG146,BG146)-1</f>
        <v>71</v>
      </c>
      <c r="BJ146"/>
      <c r="BK146"/>
      <c r="BL146"/>
    </row>
    <row r="147" spans="26:64" hidden="1">
      <c r="Z147" s="23" t="str">
        <f t="shared" si="23"/>
        <v>Debt15 Catalogue &amp; mail order debts</v>
      </c>
      <c r="AA147" s="130" t="e">
        <f t="shared" si="24"/>
        <v>#N/A</v>
      </c>
      <c r="AB147" s="130" t="e">
        <f>IF(ISNA(IF(VLOOKUP($AA147,$AA$47:$AA146,1,FALSE)=AA147,AA147+AF147,0)),AA147,(IF(VLOOKUP($AA147,$AA$46:$AA147,1,FALSE)=AA147,AA147+AF147,0)))</f>
        <v>#N/A</v>
      </c>
      <c r="AC147" s="23" t="str" vm="10">
        <f t="shared" si="25"/>
        <v>Debt</v>
      </c>
      <c r="AD147" s="23" t="str" vm="406">
        <f>CUBEMEMBER("cabcrmsqlrs1 CABReportingCubes Local Advice Event",{"[AIC Outcome].[AIC Part1].&amp;[Debt]","[AIC Outcome].[AIC Part2].&amp;[Debt]&amp;[15 Catalogue &amp; mail order debts]"})</f>
        <v>15 Catalogue &amp; mail order debts</v>
      </c>
      <c r="AE147" s="141" vm="1216">
        <f t="shared" si="22"/>
        <v>106</v>
      </c>
      <c r="AF147" s="23">
        <f>COUNTIF($AA$47:$AA147,$AA147)-1</f>
        <v>75</v>
      </c>
      <c r="AP147"/>
      <c r="AQ147"/>
      <c r="AR147"/>
      <c r="BG147" s="130" t="e">
        <f t="shared" si="21"/>
        <v>#N/A</v>
      </c>
      <c r="BH147" s="130" t="e">
        <f>IF(ISNA(IF(VLOOKUP($BG147,$BG$24:$BG146,1,FALSE)=BG147,BG147+BI147,0)),BG147,(IF(VLOOKUP($BG147,$BG$24:$BG146,1,FALSE)=BG147,BG147+BI147,0)))</f>
        <v>#N/A</v>
      </c>
      <c r="BI147" s="23">
        <f>COUNTIF($BG$24:$BG147,BG147)-1</f>
        <v>72</v>
      </c>
      <c r="BJ147"/>
      <c r="BK147"/>
      <c r="BL147"/>
    </row>
    <row r="148" spans="26:64" hidden="1">
      <c r="Z148" s="23" t="str">
        <f t="shared" si="23"/>
        <v>Debt16 Water supply &amp; sewerage debts</v>
      </c>
      <c r="AA148" s="130" t="e">
        <f t="shared" si="24"/>
        <v>#N/A</v>
      </c>
      <c r="AB148" s="130" t="e">
        <f>IF(ISNA(IF(VLOOKUP($AA148,$AA$47:$AA147,1,FALSE)=AA148,AA148+AF148,0)),AA148,(IF(VLOOKUP($AA148,$AA$46:$AA148,1,FALSE)=AA148,AA148+AF148,0)))</f>
        <v>#N/A</v>
      </c>
      <c r="AC148" s="23" t="str" vm="10">
        <f t="shared" si="25"/>
        <v>Debt</v>
      </c>
      <c r="AD148" s="23" t="str" vm="487">
        <f>CUBEMEMBER("cabcrmsqlrs1 CABReportingCubes Local Advice Event",{"[AIC Outcome].[AIC Part1].&amp;[Debt]","[AIC Outcome].[AIC Part2].&amp;[Debt]&amp;[16 Water supply &amp; sewerage debts]"})</f>
        <v>16 Water supply &amp; sewerage debts</v>
      </c>
      <c r="AE148" s="141" vm="1247">
        <f t="shared" si="22"/>
        <v>189</v>
      </c>
      <c r="AF148" s="23">
        <f>COUNTIF($AA$47:$AA148,$AA148)-1</f>
        <v>76</v>
      </c>
      <c r="AP148"/>
      <c r="AQ148"/>
      <c r="AR148"/>
      <c r="BG148" s="130" t="e">
        <f t="shared" si="21"/>
        <v>#N/A</v>
      </c>
      <c r="BH148" s="130" t="e">
        <f>IF(ISNA(IF(VLOOKUP($BG148,$BG$24:$BG147,1,FALSE)=BG148,BG148+BI148,0)),BG148,(IF(VLOOKUP($BG148,$BG$24:$BG147,1,FALSE)=BG148,BG148+BI148,0)))</f>
        <v>#N/A</v>
      </c>
      <c r="BI148" s="23">
        <f>COUNTIF($BG$24:$BG148,BG148)-1</f>
        <v>73</v>
      </c>
      <c r="BJ148"/>
      <c r="BK148"/>
      <c r="BL148"/>
    </row>
    <row r="149" spans="26:64" hidden="1">
      <c r="Z149" s="23" t="str">
        <f t="shared" si="23"/>
        <v>Debt17 Unpaid parking penalty &amp; cong. chgs.</v>
      </c>
      <c r="AA149" s="130" t="e">
        <f t="shared" si="24"/>
        <v>#N/A</v>
      </c>
      <c r="AB149" s="130" t="e">
        <f>IF(ISNA(IF(VLOOKUP($AA149,$AA$47:$AA148,1,FALSE)=AA149,AA149+AF149,0)),AA149,(IF(VLOOKUP($AA149,$AA$46:$AA149,1,FALSE)=AA149,AA149+AF149,0)))</f>
        <v>#N/A</v>
      </c>
      <c r="AC149" s="23" t="str" vm="10">
        <f t="shared" si="25"/>
        <v>Debt</v>
      </c>
      <c r="AD149" s="23" t="str" vm="405">
        <f>CUBEMEMBER("cabcrmsqlrs1 CABReportingCubes Local Advice Event",{"[AIC Outcome].[AIC Part1].&amp;[Debt]","[AIC Outcome].[AIC Part2].&amp;[Debt]&amp;[17 Unpaid parking penalty &amp; cong. chgs.]"})</f>
        <v>17 Unpaid parking penalty &amp; cong. chgs.</v>
      </c>
      <c r="AE149" s="141" vm="1249">
        <f t="shared" si="22"/>
        <v>18</v>
      </c>
      <c r="AF149" s="23">
        <f>COUNTIF($AA$47:$AA149,$AA149)-1</f>
        <v>77</v>
      </c>
      <c r="AP149"/>
      <c r="AQ149"/>
      <c r="AR149"/>
      <c r="BG149" s="130" t="e">
        <f t="shared" si="21"/>
        <v>#N/A</v>
      </c>
      <c r="BH149" s="130" t="e">
        <f>IF(ISNA(IF(VLOOKUP($BG149,$BG$24:$BG148,1,FALSE)=BG149,BG149+BI149,0)),BG149,(IF(VLOOKUP($BG149,$BG$24:$BG148,1,FALSE)=BG149,BG149+BI149,0)))</f>
        <v>#N/A</v>
      </c>
      <c r="BI149" s="23">
        <f>COUNTIF($BG$24:$BG149,BG149)-1</f>
        <v>74</v>
      </c>
      <c r="BJ149"/>
      <c r="BK149"/>
      <c r="BL149"/>
    </row>
    <row r="150" spans="26:64" hidden="1">
      <c r="Z150" s="23" t="str">
        <f t="shared" si="23"/>
        <v>Debt18 Overpayments of WTC &amp; CTC</v>
      </c>
      <c r="AA150" s="130" t="e">
        <f t="shared" si="24"/>
        <v>#N/A</v>
      </c>
      <c r="AB150" s="130" t="e">
        <f>IF(ISNA(IF(VLOOKUP($AA150,$AA$47:$AA149,1,FALSE)=AA150,AA150+AF150,0)),AA150,(IF(VLOOKUP($AA150,$AA$46:$AA150,1,FALSE)=AA150,AA150+AF150,0)))</f>
        <v>#N/A</v>
      </c>
      <c r="AC150" s="23" t="str" vm="10">
        <f t="shared" si="25"/>
        <v>Debt</v>
      </c>
      <c r="AD150" s="23" t="str" vm="486">
        <f>CUBEMEMBER("cabcrmsqlrs1 CABReportingCubes Local Advice Event",{"[AIC Outcome].[AIC Part1].&amp;[Debt]","[AIC Outcome].[AIC Part2].&amp;[Debt]&amp;[18 Overpayments of WTC &amp; CTC]"})</f>
        <v>18 Overpayments of WTC &amp; CTC</v>
      </c>
      <c r="AE150" s="141" vm="1146">
        <f t="shared" si="22"/>
        <v>106</v>
      </c>
      <c r="AF150" s="23">
        <f>COUNTIF($AA$47:$AA150,$AA150)-1</f>
        <v>78</v>
      </c>
      <c r="AP150"/>
      <c r="AQ150"/>
      <c r="AR150"/>
      <c r="BG150" s="130" t="e">
        <f t="shared" si="21"/>
        <v>#N/A</v>
      </c>
      <c r="BH150" s="130" t="e">
        <f>IF(ISNA(IF(VLOOKUP($BG150,$BG$24:$BG149,1,FALSE)=BG150,BG150+BI150,0)),BG150,(IF(VLOOKUP($BG150,$BG$24:$BG149,1,FALSE)=BG150,BG150+BI150,0)))</f>
        <v>#N/A</v>
      </c>
      <c r="BI150" s="23">
        <f>COUNTIF($BG$24:$BG150,BG150)-1</f>
        <v>75</v>
      </c>
      <c r="BJ150"/>
      <c r="BK150"/>
      <c r="BL150"/>
    </row>
    <row r="151" spans="26:64" hidden="1">
      <c r="Z151" s="23" t="e">
        <f t="shared" si="23"/>
        <v>#N/A</v>
      </c>
      <c r="AA151" s="130" t="e">
        <f t="shared" si="24"/>
        <v>#N/A</v>
      </c>
      <c r="AB151" s="130" t="e">
        <f>IF(ISNA(IF(VLOOKUP($AA151,$AA$47:$AA150,1,FALSE)=AA151,AA151+AF151,0)),AA151,(IF(VLOOKUP($AA151,$AA$46:$AA151,1,FALSE)=AA151,AA151+AF151,0)))</f>
        <v>#N/A</v>
      </c>
      <c r="AC151" s="23" t="str" vm="10">
        <f t="shared" si="25"/>
        <v>Debt</v>
      </c>
      <c r="AD151" s="23" t="e">
        <f>CUBEMEMBER("cabcrmsqlrs1 CABReportingCubes Local Advice Event",{"[AIC Outcome].[AIC Part1].&amp;[Debt]","[AIC Outcome].[AIC Part2].&amp;[Debt]&amp;[19 Overpayments of IS +/or JSA]"})</f>
        <v>#N/A</v>
      </c>
      <c r="AE151" s="141" t="e">
        <f t="shared" si="22"/>
        <v>#N/A</v>
      </c>
      <c r="AF151" s="23">
        <f>COUNTIF($AA$47:$AA151,$AA151)-1</f>
        <v>79</v>
      </c>
      <c r="AP151"/>
      <c r="AQ151"/>
      <c r="AR151"/>
      <c r="BG151" s="130" t="e">
        <f t="shared" si="21"/>
        <v>#N/A</v>
      </c>
      <c r="BH151" s="130" t="e">
        <f>IF(ISNA(IF(VLOOKUP($BG151,$BG$24:$BG150,1,FALSE)=BG151,BG151+BI151,0)),BG151,(IF(VLOOKUP($BG151,$BG$24:$BG150,1,FALSE)=BG151,BG151+BI151,0)))</f>
        <v>#N/A</v>
      </c>
      <c r="BI151" s="23">
        <f>COUNTIF($BG$24:$BG151,BG151)-1</f>
        <v>76</v>
      </c>
      <c r="BJ151"/>
      <c r="BK151"/>
      <c r="BL151"/>
    </row>
    <row r="152" spans="26:64" hidden="1">
      <c r="Z152" s="23" t="str">
        <f t="shared" si="23"/>
        <v>Debt20 Overpts. Housing &amp; Council Tax Bens.</v>
      </c>
      <c r="AA152" s="130" t="e">
        <f t="shared" si="24"/>
        <v>#N/A</v>
      </c>
      <c r="AB152" s="130" t="e">
        <f>IF(ISNA(IF(VLOOKUP($AA152,$AA$47:$AA151,1,FALSE)=AA152,AA152+AF152,0)),AA152,(IF(VLOOKUP($AA152,$AA$46:$AA152,1,FALSE)=AA152,AA152+AF152,0)))</f>
        <v>#N/A</v>
      </c>
      <c r="AC152" s="23" t="str" vm="10">
        <f t="shared" si="25"/>
        <v>Debt</v>
      </c>
      <c r="AD152" s="23" t="str" vm="485">
        <f>CUBEMEMBER("cabcrmsqlrs1 CABReportingCubes Local Advice Event",{"[AIC Outcome].[AIC Part1].&amp;[Debt]","[AIC Outcome].[AIC Part2].&amp;[Debt]&amp;[20 Overpts. Housing &amp; Council Tax Bens.]"})</f>
        <v>20 Overpts. Housing &amp; Council Tax Bens.</v>
      </c>
      <c r="AE152" s="141" vm="1157">
        <f t="shared" si="22"/>
        <v>80</v>
      </c>
      <c r="AF152" s="23">
        <f>COUNTIF($AA$47:$AA152,$AA152)-1</f>
        <v>80</v>
      </c>
      <c r="AP152"/>
      <c r="AQ152"/>
      <c r="AR152"/>
      <c r="BG152" s="130" t="e">
        <f t="shared" si="21"/>
        <v>#N/A</v>
      </c>
      <c r="BH152" s="130" t="e">
        <f>IF(ISNA(IF(VLOOKUP($BG152,$BG$24:$BG151,1,FALSE)=BG152,BG152+BI152,0)),BG152,(IF(VLOOKUP($BG152,$BG$24:$BG151,1,FALSE)=BG152,BG152+BI152,0)))</f>
        <v>#N/A</v>
      </c>
      <c r="BI152" s="23">
        <f>COUNTIF($BG$24:$BG152,BG152)-1</f>
        <v>77</v>
      </c>
      <c r="BJ152"/>
      <c r="BK152"/>
      <c r="BL152"/>
    </row>
    <row r="153" spans="26:64" hidden="1">
      <c r="Z153" s="23" t="str">
        <f t="shared" si="23"/>
        <v>Debt21 Social Fund debts</v>
      </c>
      <c r="AA153" s="130" t="e">
        <f t="shared" si="24"/>
        <v>#N/A</v>
      </c>
      <c r="AB153" s="130" t="e">
        <f>IF(ISNA(IF(VLOOKUP($AA153,$AA$47:$AA152,1,FALSE)=AA153,AA153+AF153,0)),AA153,(IF(VLOOKUP($AA153,$AA$46:$AA153,1,FALSE)=AA153,AA153+AF153,0)))</f>
        <v>#N/A</v>
      </c>
      <c r="AC153" s="23" t="str" vm="10">
        <f t="shared" si="25"/>
        <v>Debt</v>
      </c>
      <c r="AD153" s="23" t="str" vm="404">
        <f>CUBEMEMBER("cabcrmsqlrs1 CABReportingCubes Local Advice Event",{"[AIC Outcome].[AIC Part1].&amp;[Debt]","[AIC Outcome].[AIC Part2].&amp;[Debt]&amp;[21 Social Fund debts]"})</f>
        <v>21 Social Fund debts</v>
      </c>
      <c r="AE153" s="141" vm="1210">
        <f t="shared" si="22"/>
        <v>43</v>
      </c>
      <c r="AF153" s="23">
        <f>COUNTIF($AA$47:$AA153,$AA153)-1</f>
        <v>81</v>
      </c>
      <c r="AP153"/>
      <c r="AQ153"/>
      <c r="AR153"/>
      <c r="BG153" s="130" t="e">
        <f t="shared" ref="BG153:BG216" si="26">RANK($BL153,$BL$24:$BL$432,0)</f>
        <v>#N/A</v>
      </c>
      <c r="BH153" s="130" t="e">
        <f>IF(ISNA(IF(VLOOKUP($BG153,$BG$24:$BG152,1,FALSE)=BG153,BG153+BI153,0)),BG153,(IF(VLOOKUP($BG153,$BG$24:$BG152,1,FALSE)=BG153,BG153+BI153,0)))</f>
        <v>#N/A</v>
      </c>
      <c r="BI153" s="23">
        <f>COUNTIF($BG$24:$BG153,BG153)-1</f>
        <v>78</v>
      </c>
      <c r="BJ153"/>
      <c r="BK153"/>
      <c r="BL153"/>
    </row>
    <row r="154" spans="26:64" hidden="1">
      <c r="Z154" s="23" t="str">
        <f t="shared" si="23"/>
        <v>Debt22 Payday loan debts</v>
      </c>
      <c r="AA154" s="130" t="e">
        <f t="shared" si="24"/>
        <v>#N/A</v>
      </c>
      <c r="AB154" s="130" t="e">
        <f>IF(ISNA(IF(VLOOKUP($AA154,$AA$47:$AA153,1,FALSE)=AA154,AA154+AF154,0)),AA154,(IF(VLOOKUP($AA154,$AA$46:$AA154,1,FALSE)=AA154,AA154+AF154,0)))</f>
        <v>#N/A</v>
      </c>
      <c r="AC154" s="23" t="str" vm="10">
        <f t="shared" si="25"/>
        <v>Debt</v>
      </c>
      <c r="AD154" s="23" t="str" vm="484">
        <f>CUBEMEMBER("cabcrmsqlrs1 CABReportingCubes Local Advice Event",{"[AIC Outcome].[AIC Part1].&amp;[Debt]","[AIC Outcome].[AIC Part2].&amp;[Debt]&amp;[22 Payday loan debts]"})</f>
        <v>22 Payday loan debts</v>
      </c>
      <c r="AE154" s="141" vm="1088">
        <f t="shared" si="22"/>
        <v>45</v>
      </c>
      <c r="AF154" s="23">
        <f>COUNTIF($AA$47:$AA154,$AA154)-1</f>
        <v>82</v>
      </c>
      <c r="AP154"/>
      <c r="AQ154"/>
      <c r="AR154"/>
      <c r="BG154" s="130" t="e">
        <f t="shared" si="26"/>
        <v>#N/A</v>
      </c>
      <c r="BH154" s="130" t="e">
        <f>IF(ISNA(IF(VLOOKUP($BG154,$BG$24:$BG153,1,FALSE)=BG154,BG154+BI154,0)),BG154,(IF(VLOOKUP($BG154,$BG$24:$BG153,1,FALSE)=BG154,BG154+BI154,0)))</f>
        <v>#N/A</v>
      </c>
      <c r="BI154" s="23">
        <f>COUNTIF($BG$24:$BG154,BG154)-1</f>
        <v>79</v>
      </c>
      <c r="BJ154"/>
      <c r="BK154"/>
      <c r="BL154"/>
    </row>
    <row r="155" spans="26:64" hidden="1">
      <c r="Z155" s="23" t="str">
        <f t="shared" si="23"/>
        <v>Debt40 3rd party debt collection excl. bailiffs</v>
      </c>
      <c r="AA155" s="130" t="e">
        <f t="shared" si="24"/>
        <v>#N/A</v>
      </c>
      <c r="AB155" s="130" t="e">
        <f>IF(ISNA(IF(VLOOKUP($AA155,$AA$47:$AA154,1,FALSE)=AA155,AA155+AF155,0)),AA155,(IF(VLOOKUP($AA155,$AA$46:$AA155,1,FALSE)=AA155,AA155+AF155,0)))</f>
        <v>#N/A</v>
      </c>
      <c r="AC155" s="23" t="str" vm="10">
        <f t="shared" si="25"/>
        <v>Debt</v>
      </c>
      <c r="AD155" s="23" t="str" vm="403">
        <f>CUBEMEMBER("cabcrmsqlrs1 CABReportingCubes Local Advice Event",{"[AIC Outcome].[AIC Part1].&amp;[Debt]","[AIC Outcome].[AIC Part2].&amp;[Debt]&amp;[40 3rd party debt collection excl. bailiffs]"})</f>
        <v>40 3rd party debt collection excl. bailiffs</v>
      </c>
      <c r="AE155" s="141" vm="1072">
        <f t="shared" si="22"/>
        <v>23</v>
      </c>
      <c r="AF155" s="23">
        <f>COUNTIF($AA$47:$AA155,$AA155)-1</f>
        <v>83</v>
      </c>
      <c r="AP155"/>
      <c r="AQ155"/>
      <c r="AR155"/>
      <c r="BG155" s="130" t="e">
        <f t="shared" si="26"/>
        <v>#N/A</v>
      </c>
      <c r="BH155" s="130" t="e">
        <f>IF(ISNA(IF(VLOOKUP($BG155,$BG$24:$BG154,1,FALSE)=BG155,BG155+BI155,0)),BG155,(IF(VLOOKUP($BG155,$BG$24:$BG154,1,FALSE)=BG155,BG155+BI155,0)))</f>
        <v>#N/A</v>
      </c>
      <c r="BI155" s="23">
        <f>COUNTIF($BG$24:$BG155,BG155)-1</f>
        <v>80</v>
      </c>
      <c r="BJ155"/>
      <c r="BK155"/>
      <c r="BL155"/>
    </row>
    <row r="156" spans="26:64" hidden="1">
      <c r="Z156" s="23" t="str">
        <f t="shared" si="23"/>
        <v>Debt41 Private Bailiffs</v>
      </c>
      <c r="AA156" s="130" t="e">
        <f t="shared" si="24"/>
        <v>#VALUE!</v>
      </c>
      <c r="AB156" s="130" t="e">
        <f>IF(ISNA(IF(VLOOKUP($AA156,$AA$47:$AA155,1,FALSE)=AA156,AA156+AF156,0)),AA156,(IF(VLOOKUP($AA156,$AA$46:$AA156,1,FALSE)=AA156,AA156+AF156,0)))</f>
        <v>#VALUE!</v>
      </c>
      <c r="AC156" s="23" t="str" vm="10">
        <f t="shared" si="25"/>
        <v>Debt</v>
      </c>
      <c r="AD156" s="23" t="str" vm="483">
        <f>CUBEMEMBER("cabcrmsqlrs1 CABReportingCubes Local Advice Event",{"[AIC Outcome].[AIC Part1].&amp;[Debt]","[AIC Outcome].[AIC Part2].&amp;[Debt]&amp;[41 Private Bailiffs]"})</f>
        <v>41 Private Bailiffs</v>
      </c>
      <c r="AE156" s="141" t="str" vm="1145">
        <f t="shared" si="22"/>
        <v/>
      </c>
      <c r="AF156" s="23">
        <f>COUNTIF($AA$47:$AA156,$AA156)-1</f>
        <v>25</v>
      </c>
      <c r="AP156"/>
      <c r="AQ156"/>
      <c r="AR156"/>
      <c r="BG156" s="130" t="e">
        <f t="shared" si="26"/>
        <v>#N/A</v>
      </c>
      <c r="BH156" s="130" t="e">
        <f>IF(ISNA(IF(VLOOKUP($BG156,$BG$24:$BG155,1,FALSE)=BG156,BG156+BI156,0)),BG156,(IF(VLOOKUP($BG156,$BG$24:$BG155,1,FALSE)=BG156,BG156+BI156,0)))</f>
        <v>#N/A</v>
      </c>
      <c r="BI156" s="23">
        <f>COUNTIF($BG$24:$BG156,BG156)-1</f>
        <v>81</v>
      </c>
      <c r="BJ156"/>
      <c r="BK156"/>
      <c r="BL156"/>
    </row>
    <row r="157" spans="26:64" hidden="1">
      <c r="Z157" s="23" t="str">
        <f t="shared" si="23"/>
        <v>Debt49 Debt Relief Order</v>
      </c>
      <c r="AA157" s="130" t="e">
        <f t="shared" si="24"/>
        <v>#N/A</v>
      </c>
      <c r="AB157" s="130" t="e">
        <f>IF(ISNA(IF(VLOOKUP($AA157,$AA$47:$AA156,1,FALSE)=AA157,AA157+AF157,0)),AA157,(IF(VLOOKUP($AA157,$AA$46:$AA157,1,FALSE)=AA157,AA157+AF157,0)))</f>
        <v>#N/A</v>
      </c>
      <c r="AC157" s="23" t="str" vm="10">
        <f t="shared" si="25"/>
        <v>Debt</v>
      </c>
      <c r="AD157" s="23" t="str" vm="402">
        <f>CUBEMEMBER("cabcrmsqlrs1 CABReportingCubes Local Advice Event",{"[AIC Outcome].[AIC Part1].&amp;[Debt]","[AIC Outcome].[AIC Part2].&amp;[Debt]&amp;[49 Debt Relief Order]"})</f>
        <v>49 Debt Relief Order</v>
      </c>
      <c r="AE157" s="141" vm="1101">
        <f t="shared" si="22"/>
        <v>394</v>
      </c>
      <c r="AF157" s="23">
        <f>COUNTIF($AA$47:$AA157,$AA157)-1</f>
        <v>84</v>
      </c>
      <c r="AP157"/>
      <c r="AQ157"/>
      <c r="AR157"/>
      <c r="BG157" s="130" t="e">
        <f t="shared" si="26"/>
        <v>#N/A</v>
      </c>
      <c r="BH157" s="130" t="e">
        <f>IF(ISNA(IF(VLOOKUP($BG157,$BG$24:$BG156,1,FALSE)=BG157,BG157+BI157,0)),BG157,(IF(VLOOKUP($BG157,$BG$24:$BG156,1,FALSE)=BG157,BG157+BI157,0)))</f>
        <v>#N/A</v>
      </c>
      <c r="BI157" s="23">
        <f>COUNTIF($BG$24:$BG157,BG157)-1</f>
        <v>82</v>
      </c>
      <c r="BJ157"/>
      <c r="BK157"/>
      <c r="BL157"/>
    </row>
    <row r="158" spans="26:64" hidden="1">
      <c r="Z158" s="23" t="str">
        <f t="shared" si="23"/>
        <v>Debt50 Bankruptcy</v>
      </c>
      <c r="AA158" s="130" t="e">
        <f t="shared" si="24"/>
        <v>#N/A</v>
      </c>
      <c r="AB158" s="130" t="e">
        <f>IF(ISNA(IF(VLOOKUP($AA158,$AA$47:$AA157,1,FALSE)=AA158,AA158+AF158,0)),AA158,(IF(VLOOKUP($AA158,$AA$46:$AA158,1,FALSE)=AA158,AA158+AF158,0)))</f>
        <v>#N/A</v>
      </c>
      <c r="AC158" s="23" t="str" vm="10">
        <f t="shared" si="25"/>
        <v>Debt</v>
      </c>
      <c r="AD158" s="23" t="str" vm="482">
        <f>CUBEMEMBER("cabcrmsqlrs1 CABReportingCubes Local Advice Event",{"[AIC Outcome].[AIC Part1].&amp;[Debt]","[AIC Outcome].[AIC Part2].&amp;[Debt]&amp;[50 Bankruptcy]"})</f>
        <v>50 Bankruptcy</v>
      </c>
      <c r="AE158" s="141" vm="1197">
        <f t="shared" si="22"/>
        <v>56</v>
      </c>
      <c r="AF158" s="23">
        <f>COUNTIF($AA$47:$AA158,$AA158)-1</f>
        <v>85</v>
      </c>
      <c r="AP158"/>
      <c r="AQ158"/>
      <c r="AR158"/>
      <c r="BG158" s="130" t="e">
        <f t="shared" si="26"/>
        <v>#N/A</v>
      </c>
      <c r="BH158" s="130" t="e">
        <f>IF(ISNA(IF(VLOOKUP($BG158,$BG$24:$BG157,1,FALSE)=BG158,BG158+BI158,0)),BG158,(IF(VLOOKUP($BG158,$BG$24:$BG157,1,FALSE)=BG158,BG158+BI158,0)))</f>
        <v>#N/A</v>
      </c>
      <c r="BI158" s="23">
        <f>COUNTIF($BG$24:$BG158,BG158)-1</f>
        <v>83</v>
      </c>
      <c r="BJ158"/>
      <c r="BK158"/>
      <c r="BL158"/>
    </row>
    <row r="159" spans="26:64" hidden="1">
      <c r="Z159" s="23" t="str">
        <f t="shared" si="23"/>
        <v>Debt51 Other legal remedies</v>
      </c>
      <c r="AA159" s="130" t="e">
        <f t="shared" si="24"/>
        <v>#VALUE!</v>
      </c>
      <c r="AB159" s="130" t="e">
        <f>IF(ISNA(IF(VLOOKUP($AA159,$AA$47:$AA158,1,FALSE)=AA159,AA159+AF159,0)),AA159,(IF(VLOOKUP($AA159,$AA$46:$AA159,1,FALSE)=AA159,AA159+AF159,0)))</f>
        <v>#VALUE!</v>
      </c>
      <c r="AC159" s="23" t="str" vm="10">
        <f t="shared" si="25"/>
        <v>Debt</v>
      </c>
      <c r="AD159" s="23" t="str" vm="401">
        <f>CUBEMEMBER("cabcrmsqlrs1 CABReportingCubes Local Advice Event",{"[AIC Outcome].[AIC Part1].&amp;[Debt]","[AIC Outcome].[AIC Part2].&amp;[Debt]&amp;[51 Other legal remedies]"})</f>
        <v>51 Other legal remedies</v>
      </c>
      <c r="AE159" s="141" t="str" vm="1065">
        <f t="shared" si="22"/>
        <v/>
      </c>
      <c r="AF159" s="23">
        <f>COUNTIF($AA$47:$AA159,$AA159)-1</f>
        <v>26</v>
      </c>
      <c r="AP159"/>
      <c r="AQ159"/>
      <c r="AR159"/>
      <c r="BG159" s="130" t="e">
        <f t="shared" si="26"/>
        <v>#N/A</v>
      </c>
      <c r="BH159" s="130" t="e">
        <f>IF(ISNA(IF(VLOOKUP($BG159,$BG$24:$BG158,1,FALSE)=BG159,BG159+BI159,0)),BG159,(IF(VLOOKUP($BG159,$BG$24:$BG158,1,FALSE)=BG159,BG159+BI159,0)))</f>
        <v>#N/A</v>
      </c>
      <c r="BI159" s="23">
        <f>COUNTIF($BG$24:$BG159,BG159)-1</f>
        <v>84</v>
      </c>
      <c r="BJ159"/>
      <c r="BK159"/>
      <c r="BL159"/>
    </row>
    <row r="160" spans="26:64" hidden="1">
      <c r="Z160" s="23" t="str">
        <f t="shared" si="23"/>
        <v>Debt99 Other</v>
      </c>
      <c r="AA160" s="130" t="e">
        <f t="shared" si="24"/>
        <v>#N/A</v>
      </c>
      <c r="AB160" s="130" t="e">
        <f>IF(ISNA(IF(VLOOKUP($AA160,$AA$47:$AA159,1,FALSE)=AA160,AA160+AF160,0)),AA160,(IF(VLOOKUP($AA160,$AA$46:$AA160,1,FALSE)=AA160,AA160+AF160,0)))</f>
        <v>#N/A</v>
      </c>
      <c r="AC160" s="23" t="str" vm="10">
        <f t="shared" si="25"/>
        <v>Debt</v>
      </c>
      <c r="AD160" s="23" t="str" vm="481">
        <f>CUBEMEMBER("cabcrmsqlrs1 CABReportingCubes Local Advice Event",{"[AIC Outcome].[AIC Part1].&amp;[Debt]","[AIC Outcome].[AIC Part2].&amp;[Debt]&amp;[99 Other]"})</f>
        <v>99 Other</v>
      </c>
      <c r="AE160" s="141" vm="1017">
        <f t="shared" si="22"/>
        <v>129</v>
      </c>
      <c r="AF160" s="23">
        <f>COUNTIF($AA$47:$AA160,$AA160)-1</f>
        <v>86</v>
      </c>
      <c r="AP160"/>
      <c r="AQ160"/>
      <c r="AR160"/>
      <c r="BG160" s="130" t="e">
        <f t="shared" si="26"/>
        <v>#N/A</v>
      </c>
      <c r="BH160" s="130" t="e">
        <f>IF(ISNA(IF(VLOOKUP($BG160,$BG$24:$BG159,1,FALSE)=BG160,BG160+BI160,0)),BG160,(IF(VLOOKUP($BG160,$BG$24:$BG159,1,FALSE)=BG160,BG160+BI160,0)))</f>
        <v>#N/A</v>
      </c>
      <c r="BI160" s="23">
        <f>COUNTIF($BG$24:$BG160,BG160)-1</f>
        <v>85</v>
      </c>
      <c r="BJ160"/>
      <c r="BK160"/>
      <c r="BL160"/>
    </row>
    <row r="161" spans="26:64" hidden="1">
      <c r="Z161" s="23" t="str">
        <f t="shared" si="23"/>
        <v>DebtNot recorded/not applicable</v>
      </c>
      <c r="AA161" s="130" t="e">
        <f t="shared" si="24"/>
        <v>#N/A</v>
      </c>
      <c r="AB161" s="130" t="e">
        <f>IF(ISNA(IF(VLOOKUP($AA161,$AA$47:$AA160,1,FALSE)=AA161,AA161+AF161,0)),AA161,(IF(VLOOKUP($AA161,$AA$46:$AA161,1,FALSE)=AA161,AA161+AF161,0)))</f>
        <v>#N/A</v>
      </c>
      <c r="AC161" s="23" t="str" vm="10">
        <f t="shared" si="25"/>
        <v>Debt</v>
      </c>
      <c r="AD161" s="23" t="str" vm="400">
        <f>CUBEMEMBER("cabcrmsqlrs1 CABReportingCubes Local Advice Event",{"[AIC Outcome].[AIC Part1].&amp;[Debt]","[AIC Outcome].[AIC Part2].&amp;[Debt]&amp;[Not recorded/not applicable]"})</f>
        <v>Not recorded/not applicable</v>
      </c>
      <c r="AE161" s="141" vm="1277">
        <f t="shared" si="22"/>
        <v>88</v>
      </c>
      <c r="AF161" s="23">
        <f>COUNTIF($AA$47:$AA161,$AA161)-1</f>
        <v>87</v>
      </c>
      <c r="AP161"/>
      <c r="AQ161"/>
      <c r="AR161"/>
      <c r="BG161" s="130" t="e">
        <f t="shared" si="26"/>
        <v>#N/A</v>
      </c>
      <c r="BH161" s="130" t="e">
        <f>IF(ISNA(IF(VLOOKUP($BG161,$BG$24:$BG160,1,FALSE)=BG161,BG161+BI161,0)),BG161,(IF(VLOOKUP($BG161,$BG$24:$BG160,1,FALSE)=BG161,BG161+BI161,0)))</f>
        <v>#N/A</v>
      </c>
      <c r="BI161" s="23">
        <f>COUNTIF($BG$24:$BG161,BG161)-1</f>
        <v>86</v>
      </c>
      <c r="BJ161"/>
      <c r="BK161"/>
      <c r="BL161"/>
    </row>
    <row r="162" spans="26:64" hidden="1">
      <c r="Z162" s="23" t="str">
        <f t="shared" si="23"/>
        <v>Education01 Discrimination</v>
      </c>
      <c r="AA162" s="130" t="e">
        <f t="shared" si="24"/>
        <v>#VALUE!</v>
      </c>
      <c r="AB162" s="130" t="e">
        <f>IF(ISNA(IF(VLOOKUP($AA162,$AA$47:$AA161,1,FALSE)=AA162,AA162+AF162,0)),AA162,(IF(VLOOKUP($AA162,$AA$46:$AA162,1,FALSE)=AA162,AA162+AF162,0)))</f>
        <v>#VALUE!</v>
      </c>
      <c r="AC162" s="23" t="str" vm="6">
        <f t="shared" ref="AC162:AC171" si="27">CUBEMEMBER("cabcrmsqlrs1 CABReportingCubes Local Advice Event","[AIC Outcome].[AIC Part1].&amp;[Education]")</f>
        <v>Education</v>
      </c>
      <c r="AD162" s="23" t="str" vm="480">
        <f>CUBEMEMBER("cabcrmsqlrs1 CABReportingCubes Local Advice Event",{"[AIC Outcome].[AIC Part1].&amp;[Education]","[AIC Outcome].[AIC Part2].&amp;[Education]&amp;[01 Discrimination]"})</f>
        <v>01 Discrimination</v>
      </c>
      <c r="AE162" s="141" t="str" vm="1087">
        <f t="shared" si="22"/>
        <v/>
      </c>
      <c r="AF162" s="23">
        <f>COUNTIF($AA$47:$AA162,$AA162)-1</f>
        <v>27</v>
      </c>
      <c r="AP162"/>
      <c r="AQ162"/>
      <c r="AR162"/>
      <c r="BG162" s="130" t="e">
        <f t="shared" si="26"/>
        <v>#N/A</v>
      </c>
      <c r="BH162" s="130" t="e">
        <f>IF(ISNA(IF(VLOOKUP($BG162,$BG$24:$BG161,1,FALSE)=BG162,BG162+BI162,0)),BG162,(IF(VLOOKUP($BG162,$BG$24:$BG161,1,FALSE)=BG162,BG162+BI162,0)))</f>
        <v>#N/A</v>
      </c>
      <c r="BI162" s="23">
        <f>COUNTIF($BG$24:$BG162,BG162)-1</f>
        <v>87</v>
      </c>
      <c r="BJ162"/>
      <c r="BK162"/>
      <c r="BL162"/>
    </row>
    <row r="163" spans="26:64" hidden="1">
      <c r="Z163" s="23" t="e">
        <f t="shared" si="23"/>
        <v>#N/A</v>
      </c>
      <c r="AA163" s="130" t="e">
        <f t="shared" si="24"/>
        <v>#N/A</v>
      </c>
      <c r="AB163" s="130" t="e">
        <f>IF(ISNA(IF(VLOOKUP($AA163,$AA$47:$AA162,1,FALSE)=AA163,AA163+AF163,0)),AA163,(IF(VLOOKUP($AA163,$AA$46:$AA163,1,FALSE)=AA163,AA163+AF163,0)))</f>
        <v>#N/A</v>
      </c>
      <c r="AC163" s="23" t="str" vm="6">
        <f t="shared" si="27"/>
        <v>Education</v>
      </c>
      <c r="AD163" s="23" t="e">
        <f>CUBEMEMBER("cabcrmsqlrs1 CABReportingCubes Local Advice Event",{"[AIC Outcome].[AIC Part1].&amp;[Education]","[AIC Outcome].[AIC Part2].&amp;[Education]&amp;[02 Income Support]"})</f>
        <v>#N/A</v>
      </c>
      <c r="AE163" s="141" t="e">
        <f t="shared" si="22"/>
        <v>#N/A</v>
      </c>
      <c r="AF163" s="23">
        <f>COUNTIF($AA$47:$AA163,$AA163)-1</f>
        <v>88</v>
      </c>
      <c r="AP163"/>
      <c r="AQ163"/>
      <c r="AR163"/>
      <c r="BG163" s="130" t="e">
        <f t="shared" si="26"/>
        <v>#N/A</v>
      </c>
      <c r="BH163" s="130" t="e">
        <f>IF(ISNA(IF(VLOOKUP($BG163,$BG$24:$BG162,1,FALSE)=BG163,BG163+BI163,0)),BG163,(IF(VLOOKUP($BG163,$BG$24:$BG162,1,FALSE)=BG163,BG163+BI163,0)))</f>
        <v>#N/A</v>
      </c>
      <c r="BI163" s="23">
        <f>COUNTIF($BG$24:$BG163,BG163)-1</f>
        <v>88</v>
      </c>
      <c r="BJ163"/>
      <c r="BK163"/>
      <c r="BL163"/>
    </row>
    <row r="164" spans="26:64" hidden="1">
      <c r="Z164" s="23" t="e">
        <f t="shared" si="23"/>
        <v>#N/A</v>
      </c>
      <c r="AA164" s="130" t="e">
        <f t="shared" si="24"/>
        <v>#N/A</v>
      </c>
      <c r="AB164" s="130" t="e">
        <f>IF(ISNA(IF(VLOOKUP($AA164,$AA$47:$AA163,1,FALSE)=AA164,AA164+AF164,0)),AA164,(IF(VLOOKUP($AA164,$AA$46:$AA164,1,FALSE)=AA164,AA164+AF164,0)))</f>
        <v>#N/A</v>
      </c>
      <c r="AC164" s="23" t="str" vm="6">
        <f t="shared" si="27"/>
        <v>Education</v>
      </c>
      <c r="AD164" s="23" t="e">
        <f>CUBEMEMBER("cabcrmsqlrs1 CABReportingCubes Local Advice Event",{"[AIC Outcome].[AIC Part1].&amp;[Education]","[AIC Outcome].[AIC Part2].&amp;[Education]&amp;[02 Pre-school organisations]"})</f>
        <v>#N/A</v>
      </c>
      <c r="AE164" s="141" t="e">
        <f t="shared" si="22"/>
        <v>#N/A</v>
      </c>
      <c r="AF164" s="23">
        <f>COUNTIF($AA$47:$AA164,$AA164)-1</f>
        <v>89</v>
      </c>
      <c r="AP164"/>
      <c r="AQ164"/>
      <c r="AR164"/>
      <c r="BG164" s="130" t="e">
        <f t="shared" si="26"/>
        <v>#N/A</v>
      </c>
      <c r="BH164" s="130" t="e">
        <f>IF(ISNA(IF(VLOOKUP($BG164,$BG$24:$BG163,1,FALSE)=BG164,BG164+BI164,0)),BG164,(IF(VLOOKUP($BG164,$BG$24:$BG163,1,FALSE)=BG164,BG164+BI164,0)))</f>
        <v>#N/A</v>
      </c>
      <c r="BI164" s="23">
        <f>COUNTIF($BG$24:$BG164,BG164)-1</f>
        <v>89</v>
      </c>
      <c r="BJ164"/>
      <c r="BK164"/>
      <c r="BL164"/>
    </row>
    <row r="165" spans="26:64" hidden="1">
      <c r="Z165" s="23" t="str">
        <f t="shared" si="23"/>
        <v>Education03 Schools, non-advanced education</v>
      </c>
      <c r="AA165" s="130" t="e">
        <f t="shared" si="24"/>
        <v>#N/A</v>
      </c>
      <c r="AB165" s="130" t="e">
        <f>IF(ISNA(IF(VLOOKUP($AA165,$AA$47:$AA164,1,FALSE)=AA165,AA165+AF165,0)),AA165,(IF(VLOOKUP($AA165,$AA$46:$AA165,1,FALSE)=AA165,AA165+AF165,0)))</f>
        <v>#N/A</v>
      </c>
      <c r="AC165" s="23" t="str" vm="6">
        <f t="shared" si="27"/>
        <v>Education</v>
      </c>
      <c r="AD165" s="23" t="str" vm="399">
        <f>CUBEMEMBER("cabcrmsqlrs1 CABReportingCubes Local Advice Event",{"[AIC Outcome].[AIC Part1].&amp;[Education]","[AIC Outcome].[AIC Part2].&amp;[Education]&amp;[03 Schools, non-advanced education]"})</f>
        <v>03 Schools, non-advanced education</v>
      </c>
      <c r="AE165" s="141" vm="1034">
        <f t="shared" si="22"/>
        <v>8</v>
      </c>
      <c r="AF165" s="23">
        <f>COUNTIF($AA$47:$AA165,$AA165)-1</f>
        <v>90</v>
      </c>
      <c r="AP165"/>
      <c r="AQ165"/>
      <c r="AR165"/>
      <c r="BG165" s="130" t="e">
        <f t="shared" si="26"/>
        <v>#N/A</v>
      </c>
      <c r="BH165" s="130" t="e">
        <f>IF(ISNA(IF(VLOOKUP($BG165,$BG$24:$BG164,1,FALSE)=BG165,BG165+BI165,0)),BG165,(IF(VLOOKUP($BG165,$BG$24:$BG164,1,FALSE)=BG165,BG165+BI165,0)))</f>
        <v>#N/A</v>
      </c>
      <c r="BI165" s="23">
        <f>COUNTIF($BG$24:$BG165,BG165)-1</f>
        <v>90</v>
      </c>
      <c r="BJ165"/>
      <c r="BK165"/>
      <c r="BL165"/>
    </row>
    <row r="166" spans="26:64" hidden="1">
      <c r="Z166" s="23" t="e">
        <f t="shared" si="23"/>
        <v>#N/A</v>
      </c>
      <c r="AA166" s="130" t="e">
        <f t="shared" si="24"/>
        <v>#N/A</v>
      </c>
      <c r="AB166" s="130" t="e">
        <f>IF(ISNA(IF(VLOOKUP($AA166,$AA$47:$AA165,1,FALSE)=AA166,AA166+AF166,0)),AA166,(IF(VLOOKUP($AA166,$AA$46:$AA166,1,FALSE)=AA166,AA166+AF166,0)))</f>
        <v>#N/A</v>
      </c>
      <c r="AC166" s="23" t="str" vm="6">
        <f t="shared" si="27"/>
        <v>Education</v>
      </c>
      <c r="AD166" s="23" t="e">
        <f>CUBEMEMBER("cabcrmsqlrs1 CABReportingCubes Local Advice Event",{"[AIC Outcome].[AIC Part1].&amp;[Education]","[AIC Outcome].[AIC Part2].&amp;[Education]&amp;[04 Applying for jobs]"})</f>
        <v>#N/A</v>
      </c>
      <c r="AE166" s="141" t="e">
        <f t="shared" si="22"/>
        <v>#N/A</v>
      </c>
      <c r="AF166" s="23">
        <f>COUNTIF($AA$47:$AA166,$AA166)-1</f>
        <v>91</v>
      </c>
      <c r="AP166"/>
      <c r="AQ166"/>
      <c r="AR166"/>
      <c r="BG166" s="130" t="e">
        <f t="shared" si="26"/>
        <v>#N/A</v>
      </c>
      <c r="BH166" s="130" t="e">
        <f>IF(ISNA(IF(VLOOKUP($BG166,$BG$24:$BG165,1,FALSE)=BG166,BG166+BI166,0)),BG166,(IF(VLOOKUP($BG166,$BG$24:$BG165,1,FALSE)=BG166,BG166+BI166,0)))</f>
        <v>#N/A</v>
      </c>
      <c r="BI166" s="23">
        <f>COUNTIF($BG$24:$BG166,BG166)-1</f>
        <v>91</v>
      </c>
      <c r="BJ166"/>
      <c r="BK166"/>
      <c r="BL166"/>
    </row>
    <row r="167" spans="26:64" hidden="1">
      <c r="Z167" s="23" t="str">
        <f t="shared" si="23"/>
        <v>Education04 Further Education/6th form colleges</v>
      </c>
      <c r="AA167" s="130" t="e">
        <f t="shared" si="24"/>
        <v>#N/A</v>
      </c>
      <c r="AB167" s="130" t="e">
        <f>IF(ISNA(IF(VLOOKUP($AA167,$AA$47:$AA166,1,FALSE)=AA167,AA167+AF167,0)),AA167,(IF(VLOOKUP($AA167,$AA$46:$AA167,1,FALSE)=AA167,AA167+AF167,0)))</f>
        <v>#N/A</v>
      </c>
      <c r="AC167" s="23" t="str" vm="6">
        <f t="shared" si="27"/>
        <v>Education</v>
      </c>
      <c r="AD167" s="23" t="str" vm="398">
        <f>CUBEMEMBER("cabcrmsqlrs1 CABReportingCubes Local Advice Event",{"[AIC Outcome].[AIC Part1].&amp;[Education]","[AIC Outcome].[AIC Part2].&amp;[Education]&amp;[04 Further Education/6th form colleges]"})</f>
        <v>04 Further Education/6th form colleges</v>
      </c>
      <c r="AE167" s="141" vm="1141">
        <f t="shared" si="22"/>
        <v>5</v>
      </c>
      <c r="AF167" s="23">
        <f>COUNTIF($AA$47:$AA167,$AA167)-1</f>
        <v>92</v>
      </c>
      <c r="AP167"/>
      <c r="AQ167"/>
      <c r="AR167"/>
      <c r="BG167" s="130" t="e">
        <f t="shared" si="26"/>
        <v>#N/A</v>
      </c>
      <c r="BH167" s="130" t="e">
        <f>IF(ISNA(IF(VLOOKUP($BG167,$BG$24:$BG166,1,FALSE)=BG167,BG167+BI167,0)),BG167,(IF(VLOOKUP($BG167,$BG$24:$BG166,1,FALSE)=BG167,BG167+BI167,0)))</f>
        <v>#N/A</v>
      </c>
      <c r="BI167" s="23">
        <f>COUNTIF($BG$24:$BG167,BG167)-1</f>
        <v>92</v>
      </c>
      <c r="BJ167"/>
      <c r="BK167"/>
      <c r="BL167"/>
    </row>
    <row r="168" spans="26:64" hidden="1">
      <c r="Z168" s="23" t="str">
        <f t="shared" si="23"/>
        <v>Education05 Higher Education</v>
      </c>
      <c r="AA168" s="130" t="e">
        <f t="shared" si="24"/>
        <v>#N/A</v>
      </c>
      <c r="AB168" s="130" t="e">
        <f>IF(ISNA(IF(VLOOKUP($AA168,$AA$47:$AA167,1,FALSE)=AA168,AA168+AF168,0)),AA168,(IF(VLOOKUP($AA168,$AA$46:$AA168,1,FALSE)=AA168,AA168+AF168,0)))</f>
        <v>#N/A</v>
      </c>
      <c r="AC168" s="23" t="str" vm="6">
        <f t="shared" si="27"/>
        <v>Education</v>
      </c>
      <c r="AD168" s="23" t="str" vm="479">
        <f>CUBEMEMBER("cabcrmsqlrs1 CABReportingCubes Local Advice Event",{"[AIC Outcome].[AIC Part1].&amp;[Education]","[AIC Outcome].[AIC Part2].&amp;[Education]&amp;[05 Higher Education]"})</f>
        <v>05 Higher Education</v>
      </c>
      <c r="AE168" s="141" vm="1169">
        <f t="shared" si="22"/>
        <v>11</v>
      </c>
      <c r="AF168" s="23">
        <f>COUNTIF($AA$47:$AA168,$AA168)-1</f>
        <v>93</v>
      </c>
      <c r="AP168"/>
      <c r="AQ168"/>
      <c r="AR168"/>
      <c r="BG168" s="130" t="e">
        <f t="shared" si="26"/>
        <v>#N/A</v>
      </c>
      <c r="BH168" s="130" t="e">
        <f>IF(ISNA(IF(VLOOKUP($BG168,$BG$24:$BG167,1,FALSE)=BG168,BG168+BI168,0)),BG168,(IF(VLOOKUP($BG168,$BG$24:$BG167,1,FALSE)=BG168,BG168+BI168,0)))</f>
        <v>#N/A</v>
      </c>
      <c r="BI168" s="23">
        <f>COUNTIF($BG$24:$BG168,BG168)-1</f>
        <v>93</v>
      </c>
      <c r="BJ168"/>
      <c r="BK168"/>
      <c r="BL168"/>
    </row>
    <row r="169" spans="26:64" hidden="1">
      <c r="Z169" s="23" t="str">
        <f t="shared" si="23"/>
        <v>Education06 Adult education</v>
      </c>
      <c r="AA169" s="130" t="e">
        <f t="shared" si="24"/>
        <v>#N/A</v>
      </c>
      <c r="AB169" s="130" t="e">
        <f>IF(ISNA(IF(VLOOKUP($AA169,$AA$47:$AA168,1,FALSE)=AA169,AA169+AF169,0)),AA169,(IF(VLOOKUP($AA169,$AA$46:$AA169,1,FALSE)=AA169,AA169+AF169,0)))</f>
        <v>#N/A</v>
      </c>
      <c r="AC169" s="23" t="str" vm="6">
        <f t="shared" si="27"/>
        <v>Education</v>
      </c>
      <c r="AD169" s="23" t="str" vm="397">
        <f>CUBEMEMBER("cabcrmsqlrs1 CABReportingCubes Local Advice Event",{"[AIC Outcome].[AIC Part1].&amp;[Education]","[AIC Outcome].[AIC Part2].&amp;[Education]&amp;[06 Adult education]"})</f>
        <v>06 Adult education</v>
      </c>
      <c r="AE169" s="141" vm="1029">
        <f t="shared" si="22"/>
        <v>6</v>
      </c>
      <c r="AF169" s="23">
        <f>COUNTIF($AA$47:$AA169,$AA169)-1</f>
        <v>94</v>
      </c>
      <c r="AP169"/>
      <c r="AQ169"/>
      <c r="AR169"/>
      <c r="BG169" s="130" t="e">
        <f t="shared" si="26"/>
        <v>#N/A</v>
      </c>
      <c r="BH169" s="130" t="e">
        <f>IF(ISNA(IF(VLOOKUP($BG169,$BG$24:$BG168,1,FALSE)=BG169,BG169+BI169,0)),BG169,(IF(VLOOKUP($BG169,$BG$24:$BG168,1,FALSE)=BG169,BG169+BI169,0)))</f>
        <v>#N/A</v>
      </c>
      <c r="BI169" s="23">
        <f>COUNTIF($BG$24:$BG169,BG169)-1</f>
        <v>94</v>
      </c>
      <c r="BJ169"/>
      <c r="BK169"/>
      <c r="BL169"/>
    </row>
    <row r="170" spans="26:64" hidden="1">
      <c r="Z170" s="23" t="str">
        <f t="shared" si="23"/>
        <v>Education99 Other education issues</v>
      </c>
      <c r="AA170" s="130" t="e">
        <f t="shared" si="24"/>
        <v>#N/A</v>
      </c>
      <c r="AB170" s="130" t="e">
        <f>IF(ISNA(IF(VLOOKUP($AA170,$AA$47:$AA169,1,FALSE)=AA170,AA170+AF170,0)),AA170,(IF(VLOOKUP($AA170,$AA$46:$AA170,1,FALSE)=AA170,AA170+AF170,0)))</f>
        <v>#N/A</v>
      </c>
      <c r="AC170" s="23" t="str" vm="6">
        <f t="shared" si="27"/>
        <v>Education</v>
      </c>
      <c r="AD170" s="23" t="str" vm="478">
        <f>CUBEMEMBER("cabcrmsqlrs1 CABReportingCubes Local Advice Event",{"[AIC Outcome].[AIC Part1].&amp;[Education]","[AIC Outcome].[AIC Part2].&amp;[Education]&amp;[99 Other education issues]"})</f>
        <v>99 Other education issues</v>
      </c>
      <c r="AE170" s="141" vm="1106">
        <f t="shared" si="22"/>
        <v>4</v>
      </c>
      <c r="AF170" s="23">
        <f>COUNTIF($AA$47:$AA170,$AA170)-1</f>
        <v>95</v>
      </c>
      <c r="AP170"/>
      <c r="AQ170"/>
      <c r="AR170"/>
      <c r="BG170" s="130" t="e">
        <f t="shared" si="26"/>
        <v>#N/A</v>
      </c>
      <c r="BH170" s="130" t="e">
        <f>IF(ISNA(IF(VLOOKUP($BG170,$BG$24:$BG169,1,FALSE)=BG170,BG170+BI170,0)),BG170,(IF(VLOOKUP($BG170,$BG$24:$BG169,1,FALSE)=BG170,BG170+BI170,0)))</f>
        <v>#N/A</v>
      </c>
      <c r="BI170" s="23">
        <f>COUNTIF($BG$24:$BG170,BG170)-1</f>
        <v>95</v>
      </c>
      <c r="BJ170"/>
      <c r="BK170"/>
      <c r="BL170"/>
    </row>
    <row r="171" spans="26:64" hidden="1">
      <c r="Z171" s="23" t="str">
        <f t="shared" si="23"/>
        <v>EducationNot recorded/not applicable</v>
      </c>
      <c r="AA171" s="130" t="e">
        <f t="shared" si="24"/>
        <v>#N/A</v>
      </c>
      <c r="AB171" s="130" t="e">
        <f>IF(ISNA(IF(VLOOKUP($AA171,$AA$47:$AA170,1,FALSE)=AA171,AA171+AF171,0)),AA171,(IF(VLOOKUP($AA171,$AA$46:$AA171,1,FALSE)=AA171,AA171+AF171,0)))</f>
        <v>#N/A</v>
      </c>
      <c r="AC171" s="23" t="str" vm="6">
        <f t="shared" si="27"/>
        <v>Education</v>
      </c>
      <c r="AD171" s="23" t="str" vm="396">
        <f>CUBEMEMBER("cabcrmsqlrs1 CABReportingCubes Local Advice Event",{"[AIC Outcome].[AIC Part1].&amp;[Education]","[AIC Outcome].[AIC Part2].&amp;[Education]&amp;[Not recorded/not applicable]"})</f>
        <v>Not recorded/not applicable</v>
      </c>
      <c r="AE171" s="141" vm="1201">
        <f t="shared" si="22"/>
        <v>7</v>
      </c>
      <c r="AF171" s="23">
        <f>COUNTIF($AA$47:$AA171,$AA171)-1</f>
        <v>96</v>
      </c>
      <c r="AP171"/>
      <c r="AQ171"/>
      <c r="AR171"/>
      <c r="BG171" s="130" t="e">
        <f t="shared" si="26"/>
        <v>#N/A</v>
      </c>
      <c r="BH171" s="130" t="e">
        <f>IF(ISNA(IF(VLOOKUP($BG171,$BG$24:$BG170,1,FALSE)=BG171,BG171+BI171,0)),BG171,(IF(VLOOKUP($BG171,$BG$24:$BG170,1,FALSE)=BG171,BG171+BI171,0)))</f>
        <v>#N/A</v>
      </c>
      <c r="BI171" s="23">
        <f>COUNTIF($BG$24:$BG171,BG171)-1</f>
        <v>96</v>
      </c>
      <c r="BJ171"/>
      <c r="BK171"/>
      <c r="BL171"/>
    </row>
    <row r="172" spans="26:64" hidden="1">
      <c r="Z172" s="23" t="str">
        <f t="shared" si="23"/>
        <v>Employment01 Discrimination</v>
      </c>
      <c r="AA172" s="130" t="e">
        <f t="shared" si="24"/>
        <v>#VALUE!</v>
      </c>
      <c r="AB172" s="130" t="e">
        <f>IF(ISNA(IF(VLOOKUP($AA172,$AA$47:$AA171,1,FALSE)=AA172,AA172+AF172,0)),AA172,(IF(VLOOKUP($AA172,$AA$46:$AA172,1,FALSE)=AA172,AA172+AF172,0)))</f>
        <v>#VALUE!</v>
      </c>
      <c r="AC172" s="23" t="str" vm="13">
        <f t="shared" ref="AC172:AC188" si="28">CUBEMEMBER("cabcrmsqlrs1 CABReportingCubes Local Advice Event","[AIC Outcome].[AIC Part1].&amp;[Employment]")</f>
        <v>Employment</v>
      </c>
      <c r="AD172" s="23" t="str" vm="477">
        <f>CUBEMEMBER("cabcrmsqlrs1 CABReportingCubes Local Advice Event",{"[AIC Outcome].[AIC Part1].&amp;[Employment]","[AIC Outcome].[AIC Part2].&amp;[Employment]&amp;[01 Discrimination]"})</f>
        <v>01 Discrimination</v>
      </c>
      <c r="AE172" s="141" t="str" vm="1148">
        <f t="shared" si="22"/>
        <v/>
      </c>
      <c r="AF172" s="23">
        <f>COUNTIF($AA$47:$AA172,$AA172)-1</f>
        <v>28</v>
      </c>
      <c r="AP172"/>
      <c r="AQ172"/>
      <c r="AR172"/>
      <c r="BG172" s="130" t="e">
        <f t="shared" si="26"/>
        <v>#N/A</v>
      </c>
      <c r="BH172" s="130" t="e">
        <f>IF(ISNA(IF(VLOOKUP($BG172,$BG$24:$BG171,1,FALSE)=BG172,BG172+BI172,0)),BG172,(IF(VLOOKUP($BG172,$BG$24:$BG171,1,FALSE)=BG172,BG172+BI172,0)))</f>
        <v>#N/A</v>
      </c>
      <c r="BI172" s="23">
        <f>COUNTIF($BG$24:$BG172,BG172)-1</f>
        <v>97</v>
      </c>
      <c r="BJ172"/>
      <c r="BK172"/>
      <c r="BL172"/>
    </row>
    <row r="173" spans="26:64" hidden="1">
      <c r="Z173" s="23" t="e">
        <f t="shared" si="23"/>
        <v>#N/A</v>
      </c>
      <c r="AA173" s="130" t="e">
        <f t="shared" si="24"/>
        <v>#N/A</v>
      </c>
      <c r="AB173" s="130" t="e">
        <f>IF(ISNA(IF(VLOOKUP($AA173,$AA$47:$AA172,1,FALSE)=AA173,AA173+AF173,0)),AA173,(IF(VLOOKUP($AA173,$AA$46:$AA173,1,FALSE)=AA173,AA173+AF173,0)))</f>
        <v>#N/A</v>
      </c>
      <c r="AC173" s="23" t="str" vm="13">
        <f t="shared" si="28"/>
        <v>Employment</v>
      </c>
      <c r="AD173" s="23" t="e">
        <f>CUBEMEMBER("cabcrmsqlrs1 CABReportingCubes Local Advice Event",{"[AIC Outcome].[AIC Part1].&amp;[Employment]","[AIC Outcome].[AIC Part2].&amp;[Employment]&amp;[02 Income Tax]"})</f>
        <v>#N/A</v>
      </c>
      <c r="AE173" s="141" t="e">
        <f t="shared" si="22"/>
        <v>#N/A</v>
      </c>
      <c r="AF173" s="23">
        <f>COUNTIF($AA$47:$AA173,$AA173)-1</f>
        <v>97</v>
      </c>
      <c r="AP173"/>
      <c r="AQ173"/>
      <c r="AR173"/>
      <c r="BG173" s="130" t="e">
        <f t="shared" si="26"/>
        <v>#N/A</v>
      </c>
      <c r="BH173" s="130" t="e">
        <f>IF(ISNA(IF(VLOOKUP($BG173,$BG$24:$BG172,1,FALSE)=BG173,BG173+BI173,0)),BG173,(IF(VLOOKUP($BG173,$BG$24:$BG172,1,FALSE)=BG173,BG173+BI173,0)))</f>
        <v>#N/A</v>
      </c>
      <c r="BI173" s="23">
        <f>COUNTIF($BG$24:$BG173,BG173)-1</f>
        <v>98</v>
      </c>
      <c r="BJ173"/>
      <c r="BK173"/>
      <c r="BL173"/>
    </row>
    <row r="174" spans="26:64" hidden="1">
      <c r="Z174" s="23" t="str">
        <f t="shared" si="23"/>
        <v>Employment02 Schemes for the unemployed</v>
      </c>
      <c r="AA174" s="130" t="e">
        <f t="shared" si="24"/>
        <v>#VALUE!</v>
      </c>
      <c r="AB174" s="130" t="e">
        <f>IF(ISNA(IF(VLOOKUP($AA174,$AA$47:$AA173,1,FALSE)=AA174,AA174+AF174,0)),AA174,(IF(VLOOKUP($AA174,$AA$46:$AA174,1,FALSE)=AA174,AA174+AF174,0)))</f>
        <v>#VALUE!</v>
      </c>
      <c r="AC174" s="23" t="str" vm="13">
        <f t="shared" si="28"/>
        <v>Employment</v>
      </c>
      <c r="AD174" s="23" t="str" vm="476">
        <f>CUBEMEMBER("cabcrmsqlrs1 CABReportingCubes Local Advice Event",{"[AIC Outcome].[AIC Part1].&amp;[Employment]","[AIC Outcome].[AIC Part2].&amp;[Employment]&amp;[02 Schemes for the unemployed]"})</f>
        <v>02 Schemes for the unemployed</v>
      </c>
      <c r="AE174" s="141" t="str" vm="1195">
        <f t="shared" si="22"/>
        <v/>
      </c>
      <c r="AF174" s="23">
        <f>COUNTIF($AA$47:$AA174,$AA174)-1</f>
        <v>29</v>
      </c>
      <c r="AP174"/>
      <c r="AQ174"/>
      <c r="AR174"/>
      <c r="BG174" s="130" t="e">
        <f t="shared" si="26"/>
        <v>#N/A</v>
      </c>
      <c r="BH174" s="130" t="e">
        <f>IF(ISNA(IF(VLOOKUP($BG174,$BG$24:$BG173,1,FALSE)=BG174,BG174+BI174,0)),BG174,(IF(VLOOKUP($BG174,$BG$24:$BG173,1,FALSE)=BG174,BG174+BI174,0)))</f>
        <v>#N/A</v>
      </c>
      <c r="BI174" s="23">
        <f>COUNTIF($BG$24:$BG174,BG174)-1</f>
        <v>99</v>
      </c>
      <c r="BJ174"/>
      <c r="BK174"/>
      <c r="BL174"/>
    </row>
    <row r="175" spans="26:64" hidden="1">
      <c r="Z175" s="23" t="e">
        <f t="shared" si="23"/>
        <v>#N/A</v>
      </c>
      <c r="AA175" s="130" t="e">
        <f t="shared" si="24"/>
        <v>#N/A</v>
      </c>
      <c r="AB175" s="130" t="e">
        <f>IF(ISNA(IF(VLOOKUP($AA175,$AA$47:$AA174,1,FALSE)=AA175,AA175+AF175,0)),AA175,(IF(VLOOKUP($AA175,$AA$46:$AA175,1,FALSE)=AA175,AA175+AF175,0)))</f>
        <v>#N/A</v>
      </c>
      <c r="AC175" s="23" t="str" vm="13">
        <f t="shared" si="28"/>
        <v>Employment</v>
      </c>
      <c r="AD175" s="23" t="e">
        <f>CUBEMEMBER("cabcrmsqlrs1 CABReportingCubes Local Advice Event",{"[AIC Outcome].[AIC Part1].&amp;[Employment]","[AIC Outcome].[AIC Part2].&amp;[Employment]&amp;[03 Hospital Services (non-MH)]"})</f>
        <v>#N/A</v>
      </c>
      <c r="AE175" s="141" t="e">
        <f t="shared" ref="AE175:AE238" si="29">CUBEVALUE("cabcrmsqlrs1 CABReportingCubes Local Advice Event",$AD$41,$AD$42,$AD$43,$AD$44,$AD175,AE$46)</f>
        <v>#N/A</v>
      </c>
      <c r="AF175" s="23">
        <f>COUNTIF($AA$47:$AA175,$AA175)-1</f>
        <v>98</v>
      </c>
      <c r="AP175"/>
      <c r="AQ175"/>
      <c r="AR175"/>
      <c r="BG175" s="130" t="e">
        <f t="shared" si="26"/>
        <v>#N/A</v>
      </c>
      <c r="BH175" s="130" t="e">
        <f>IF(ISNA(IF(VLOOKUP($BG175,$BG$24:$BG174,1,FALSE)=BG175,BG175+BI175,0)),BG175,(IF(VLOOKUP($BG175,$BG$24:$BG174,1,FALSE)=BG175,BG175+BI175,0)))</f>
        <v>#N/A</v>
      </c>
      <c r="BI175" s="23">
        <f>COUNTIF($BG$24:$BG175,BG175)-1</f>
        <v>100</v>
      </c>
      <c r="BJ175"/>
      <c r="BK175"/>
      <c r="BL175"/>
    </row>
    <row r="176" spans="26:64" hidden="1">
      <c r="Z176" s="23" t="str">
        <f t="shared" ref="Z176:Z239" si="30">AC176&amp;AD176</f>
        <v>Employment03 Self Employment/Business</v>
      </c>
      <c r="AA176" s="130" t="e">
        <f t="shared" ref="AA176:AA239" si="31">RANK($AE176,$AE$32:$AE$338,0)</f>
        <v>#N/A</v>
      </c>
      <c r="AB176" s="130" t="e">
        <f>IF(ISNA(IF(VLOOKUP($AA176,$AA$47:$AA175,1,FALSE)=AA176,AA176+AF176,0)),AA176,(IF(VLOOKUP($AA176,$AA$46:$AA176,1,FALSE)=AA176,AA176+AF176,0)))</f>
        <v>#N/A</v>
      </c>
      <c r="AC176" s="23" t="str" vm="13">
        <f t="shared" si="28"/>
        <v>Employment</v>
      </c>
      <c r="AD176" s="23" t="str" vm="475">
        <f>CUBEMEMBER("cabcrmsqlrs1 CABReportingCubes Local Advice Event",{"[AIC Outcome].[AIC Part1].&amp;[Employment]","[AIC Outcome].[AIC Part2].&amp;[Employment]&amp;[03 Self Employment/Business]"})</f>
        <v>03 Self Employment/Business</v>
      </c>
      <c r="AE176" s="141" vm="1194">
        <f t="shared" si="29"/>
        <v>40</v>
      </c>
      <c r="AF176" s="23">
        <f>COUNTIF($AA$47:$AA176,$AA176)-1</f>
        <v>99</v>
      </c>
      <c r="AP176"/>
      <c r="AQ176"/>
      <c r="AR176"/>
      <c r="BG176" s="130" t="e">
        <f t="shared" si="26"/>
        <v>#N/A</v>
      </c>
      <c r="BH176" s="130" t="e">
        <f>IF(ISNA(IF(VLOOKUP($BG176,$BG$24:$BG175,1,FALSE)=BG176,BG176+BI176,0)),BG176,(IF(VLOOKUP($BG176,$BG$24:$BG175,1,FALSE)=BG176,BG176+BI176,0)))</f>
        <v>#N/A</v>
      </c>
      <c r="BI176" s="23">
        <f>COUNTIF($BG$24:$BG176,BG176)-1</f>
        <v>101</v>
      </c>
      <c r="BJ176"/>
      <c r="BK176"/>
      <c r="BL176"/>
    </row>
    <row r="177" spans="26:64" hidden="1">
      <c r="Z177" s="23" t="str">
        <f t="shared" si="30"/>
        <v>Employment04 Applying for jobs</v>
      </c>
      <c r="AA177" s="130" t="e">
        <f t="shared" si="31"/>
        <v>#N/A</v>
      </c>
      <c r="AB177" s="130" t="e">
        <f>IF(ISNA(IF(VLOOKUP($AA177,$AA$47:$AA176,1,FALSE)=AA177,AA177+AF177,0)),AA177,(IF(VLOOKUP($AA177,$AA$46:$AA177,1,FALSE)=AA177,AA177+AF177,0)))</f>
        <v>#N/A</v>
      </c>
      <c r="AC177" s="23" t="str" vm="13">
        <f t="shared" si="28"/>
        <v>Employment</v>
      </c>
      <c r="AD177" s="23" t="str" vm="395">
        <f>CUBEMEMBER("cabcrmsqlrs1 CABReportingCubes Local Advice Event",{"[AIC Outcome].[AIC Part1].&amp;[Employment]","[AIC Outcome].[AIC Part2].&amp;[Employment]&amp;[04 Applying for jobs]"})</f>
        <v>04 Applying for jobs</v>
      </c>
      <c r="AE177" s="141" vm="1040">
        <f t="shared" si="29"/>
        <v>9</v>
      </c>
      <c r="AF177" s="23">
        <f>COUNTIF($AA$47:$AA177,$AA177)-1</f>
        <v>100</v>
      </c>
      <c r="AP177"/>
      <c r="AQ177"/>
      <c r="AR177"/>
      <c r="BG177" s="130" t="e">
        <f t="shared" si="26"/>
        <v>#N/A</v>
      </c>
      <c r="BH177" s="130" t="e">
        <f>IF(ISNA(IF(VLOOKUP($BG177,$BG$24:$BG176,1,FALSE)=BG177,BG177+BI177,0)),BG177,(IF(VLOOKUP($BG177,$BG$24:$BG176,1,FALSE)=BG177,BG177+BI177,0)))</f>
        <v>#N/A</v>
      </c>
      <c r="BI177" s="23">
        <f>COUNTIF($BG$24:$BG177,BG177)-1</f>
        <v>102</v>
      </c>
      <c r="BJ177"/>
      <c r="BK177"/>
      <c r="BL177"/>
    </row>
    <row r="178" spans="26:64" hidden="1">
      <c r="Z178" s="23" t="str">
        <f t="shared" si="30"/>
        <v>Employment05 Terms &amp; Conditions of Employment</v>
      </c>
      <c r="AA178" s="130" t="e">
        <f t="shared" si="31"/>
        <v>#N/A</v>
      </c>
      <c r="AB178" s="130" t="e">
        <f>IF(ISNA(IF(VLOOKUP($AA178,$AA$47:$AA177,1,FALSE)=AA178,AA178+AF178,0)),AA178,(IF(VLOOKUP($AA178,$AA$46:$AA178,1,FALSE)=AA178,AA178+AF178,0)))</f>
        <v>#N/A</v>
      </c>
      <c r="AC178" s="23" t="str" vm="13">
        <f t="shared" si="28"/>
        <v>Employment</v>
      </c>
      <c r="AD178" s="23" t="str" vm="474">
        <f>CUBEMEMBER("cabcrmsqlrs1 CABReportingCubes Local Advice Event",{"[AIC Outcome].[AIC Part1].&amp;[Employment]","[AIC Outcome].[AIC Part2].&amp;[Employment]&amp;[05 Terms &amp; Conditions of Employment]"})</f>
        <v>05 Terms &amp; Conditions of Employment</v>
      </c>
      <c r="AE178" s="141" vm="1281">
        <f t="shared" si="29"/>
        <v>93</v>
      </c>
      <c r="AF178" s="23">
        <f>COUNTIF($AA$47:$AA178,$AA178)-1</f>
        <v>101</v>
      </c>
      <c r="AP178"/>
      <c r="AQ178"/>
      <c r="AR178"/>
      <c r="BG178" s="130" t="e">
        <f t="shared" si="26"/>
        <v>#N/A</v>
      </c>
      <c r="BH178" s="130" t="e">
        <f>IF(ISNA(IF(VLOOKUP($BG178,$BG$24:$BG177,1,FALSE)=BG178,BG178+BI178,0)),BG178,(IF(VLOOKUP($BG178,$BG$24:$BG177,1,FALSE)=BG178,BG178+BI178,0)))</f>
        <v>#N/A</v>
      </c>
      <c r="BI178" s="23">
        <f>COUNTIF($BG$24:$BG178,BG178)-1</f>
        <v>103</v>
      </c>
      <c r="BJ178"/>
      <c r="BK178"/>
      <c r="BL178"/>
    </row>
    <row r="179" spans="26:64" hidden="1">
      <c r="Z179" s="23" t="str">
        <f t="shared" si="30"/>
        <v>Employment06 Health &amp; Safety</v>
      </c>
      <c r="AA179" s="130" t="e">
        <f t="shared" si="31"/>
        <v>#VALUE!</v>
      </c>
      <c r="AB179" s="130" t="e">
        <f>IF(ISNA(IF(VLOOKUP($AA179,$AA$47:$AA178,1,FALSE)=AA179,AA179+AF179,0)),AA179,(IF(VLOOKUP($AA179,$AA$46:$AA179,1,FALSE)=AA179,AA179+AF179,0)))</f>
        <v>#VALUE!</v>
      </c>
      <c r="AC179" s="23" t="str" vm="13">
        <f t="shared" si="28"/>
        <v>Employment</v>
      </c>
      <c r="AD179" s="23" t="str" vm="394">
        <f>CUBEMEMBER("cabcrmsqlrs1 CABReportingCubes Local Advice Event",{"[AIC Outcome].[AIC Part1].&amp;[Employment]","[AIC Outcome].[AIC Part2].&amp;[Employment]&amp;[06 Health &amp; Safety]"})</f>
        <v>06 Health &amp; Safety</v>
      </c>
      <c r="AE179" s="141" t="str" vm="1245">
        <f t="shared" si="29"/>
        <v/>
      </c>
      <c r="AF179" s="23">
        <f>COUNTIF($AA$47:$AA179,$AA179)-1</f>
        <v>30</v>
      </c>
      <c r="AP179"/>
      <c r="AQ179"/>
      <c r="AR179"/>
      <c r="BG179" s="130" t="e">
        <f t="shared" si="26"/>
        <v>#N/A</v>
      </c>
      <c r="BH179" s="130" t="e">
        <f>IF(ISNA(IF(VLOOKUP($BG179,$BG$24:$BG178,1,FALSE)=BG179,BG179+BI179,0)),BG179,(IF(VLOOKUP($BG179,$BG$24:$BG178,1,FALSE)=BG179,BG179+BI179,0)))</f>
        <v>#N/A</v>
      </c>
      <c r="BI179" s="23">
        <f>COUNTIF($BG$24:$BG179,BG179)-1</f>
        <v>104</v>
      </c>
      <c r="BJ179"/>
      <c r="BK179"/>
      <c r="BL179"/>
    </row>
    <row r="180" spans="26:64" hidden="1">
      <c r="Z180" s="23" t="str">
        <f t="shared" si="30"/>
        <v>Employment07 Pay &amp; Entitlements</v>
      </c>
      <c r="AA180" s="130" t="e">
        <f t="shared" si="31"/>
        <v>#N/A</v>
      </c>
      <c r="AB180" s="130" t="e">
        <f>IF(ISNA(IF(VLOOKUP($AA180,$AA$47:$AA179,1,FALSE)=AA180,AA180+AF180,0)),AA180,(IF(VLOOKUP($AA180,$AA$46:$AA180,1,FALSE)=AA180,AA180+AF180,0)))</f>
        <v>#N/A</v>
      </c>
      <c r="AC180" s="23" t="str" vm="13">
        <f t="shared" si="28"/>
        <v>Employment</v>
      </c>
      <c r="AD180" s="23" t="str" vm="473">
        <f>CUBEMEMBER("cabcrmsqlrs1 CABReportingCubes Local Advice Event",{"[AIC Outcome].[AIC Part1].&amp;[Employment]","[AIC Outcome].[AIC Part2].&amp;[Employment]&amp;[07 Pay &amp; Entitlements]"})</f>
        <v>07 Pay &amp; Entitlements</v>
      </c>
      <c r="AE180" s="141" vm="1180">
        <f t="shared" si="29"/>
        <v>211</v>
      </c>
      <c r="AF180" s="23">
        <f>COUNTIF($AA$47:$AA180,$AA180)-1</f>
        <v>102</v>
      </c>
      <c r="AP180"/>
      <c r="AQ180"/>
      <c r="AR180"/>
      <c r="BG180" s="130" t="e">
        <f t="shared" si="26"/>
        <v>#N/A</v>
      </c>
      <c r="BH180" s="130" t="e">
        <f>IF(ISNA(IF(VLOOKUP($BG180,$BG$24:$BG179,1,FALSE)=BG180,BG180+BI180,0)),BG180,(IF(VLOOKUP($BG180,$BG$24:$BG179,1,FALSE)=BG180,BG180+BI180,0)))</f>
        <v>#N/A</v>
      </c>
      <c r="BI180" s="23">
        <f>COUNTIF($BG$24:$BG180,BG180)-1</f>
        <v>105</v>
      </c>
      <c r="BJ180"/>
      <c r="BK180"/>
      <c r="BL180"/>
    </row>
    <row r="181" spans="26:64" hidden="1">
      <c r="Z181" s="23" t="str">
        <f t="shared" si="30"/>
        <v>Employment08  Parental &amp; Carers rights</v>
      </c>
      <c r="AA181" s="130" t="e">
        <f t="shared" si="31"/>
        <v>#N/A</v>
      </c>
      <c r="AB181" s="130" t="e">
        <f>IF(ISNA(IF(VLOOKUP($AA181,$AA$47:$AA180,1,FALSE)=AA181,AA181+AF181,0)),AA181,(IF(VLOOKUP($AA181,$AA$46:$AA181,1,FALSE)=AA181,AA181+AF181,0)))</f>
        <v>#N/A</v>
      </c>
      <c r="AC181" s="23" t="str" vm="13">
        <f t="shared" si="28"/>
        <v>Employment</v>
      </c>
      <c r="AD181" s="23" t="str" vm="393">
        <f>CUBEMEMBER("cabcrmsqlrs1 CABReportingCubes Local Advice Event",{"[AIC Outcome].[AIC Part1].&amp;[Employment]","[AIC Outcome].[AIC Part2].&amp;[Employment]&amp;[08  Parental &amp; Carers rights]"})</f>
        <v>08  Parental &amp; Carers rights</v>
      </c>
      <c r="AE181" s="141" vm="1170">
        <f t="shared" si="29"/>
        <v>38</v>
      </c>
      <c r="AF181" s="23">
        <f>COUNTIF($AA$47:$AA181,$AA181)-1</f>
        <v>103</v>
      </c>
      <c r="AP181"/>
      <c r="AQ181"/>
      <c r="AR181"/>
      <c r="BG181" s="130" t="e">
        <f t="shared" si="26"/>
        <v>#N/A</v>
      </c>
      <c r="BH181" s="130" t="e">
        <f>IF(ISNA(IF(VLOOKUP($BG181,$BG$24:$BG180,1,FALSE)=BG181,BG181+BI181,0)),BG181,(IF(VLOOKUP($BG181,$BG$24:$BG180,1,FALSE)=BG181,BG181+BI181,0)))</f>
        <v>#N/A</v>
      </c>
      <c r="BI181" s="23">
        <f>COUNTIF($BG$24:$BG181,BG181)-1</f>
        <v>106</v>
      </c>
      <c r="BJ181"/>
      <c r="BK181"/>
      <c r="BL181"/>
    </row>
    <row r="182" spans="26:64" hidden="1">
      <c r="Z182" s="23" t="str">
        <f t="shared" si="30"/>
        <v>Employment09 Dispute resolution</v>
      </c>
      <c r="AA182" s="130" t="e">
        <f t="shared" si="31"/>
        <v>#N/A</v>
      </c>
      <c r="AB182" s="130" t="e">
        <f>IF(ISNA(IF(VLOOKUP($AA182,$AA$47:$AA181,1,FALSE)=AA182,AA182+AF182,0)),AA182,(IF(VLOOKUP($AA182,$AA$46:$AA182,1,FALSE)=AA182,AA182+AF182,0)))</f>
        <v>#N/A</v>
      </c>
      <c r="AC182" s="23" t="str" vm="13">
        <f t="shared" si="28"/>
        <v>Employment</v>
      </c>
      <c r="AD182" s="23" t="str" vm="472">
        <f>CUBEMEMBER("cabcrmsqlrs1 CABReportingCubes Local Advice Event",{"[AIC Outcome].[AIC Part1].&amp;[Employment]","[AIC Outcome].[AIC Part2].&amp;[Employment]&amp;[09 Dispute resolution]"})</f>
        <v>09 Dispute resolution</v>
      </c>
      <c r="AE182" s="141" vm="1172">
        <f t="shared" si="29"/>
        <v>121</v>
      </c>
      <c r="AF182" s="23">
        <f>COUNTIF($AA$47:$AA182,$AA182)-1</f>
        <v>104</v>
      </c>
      <c r="AP182"/>
      <c r="AQ182"/>
      <c r="AR182"/>
      <c r="BG182" s="130" t="e">
        <f t="shared" si="26"/>
        <v>#N/A</v>
      </c>
      <c r="BH182" s="130" t="e">
        <f>IF(ISNA(IF(VLOOKUP($BG182,$BG$24:$BG181,1,FALSE)=BG182,BG182+BI182,0)),BG182,(IF(VLOOKUP($BG182,$BG$24:$BG181,1,FALSE)=BG182,BG182+BI182,0)))</f>
        <v>#N/A</v>
      </c>
      <c r="BI182" s="23">
        <f>COUNTIF($BG$24:$BG182,BG182)-1</f>
        <v>107</v>
      </c>
      <c r="BJ182"/>
      <c r="BK182"/>
      <c r="BL182"/>
    </row>
    <row r="183" spans="26:64" hidden="1">
      <c r="Z183" s="23" t="str">
        <f t="shared" si="30"/>
        <v>Employment10 Resignation</v>
      </c>
      <c r="AA183" s="130" t="e">
        <f t="shared" si="31"/>
        <v>#N/A</v>
      </c>
      <c r="AB183" s="130" t="e">
        <f>IF(ISNA(IF(VLOOKUP($AA183,$AA$47:$AA182,1,FALSE)=AA183,AA183+AF183,0)),AA183,(IF(VLOOKUP($AA183,$AA$46:$AA183,1,FALSE)=AA183,AA183+AF183,0)))</f>
        <v>#N/A</v>
      </c>
      <c r="AC183" s="23" t="str" vm="13">
        <f t="shared" si="28"/>
        <v>Employment</v>
      </c>
      <c r="AD183" s="23" t="str" vm="392">
        <f>CUBEMEMBER("cabcrmsqlrs1 CABReportingCubes Local Advice Event",{"[AIC Outcome].[AIC Part1].&amp;[Employment]","[AIC Outcome].[AIC Part2].&amp;[Employment]&amp;[10 Resignation]"})</f>
        <v>10 Resignation</v>
      </c>
      <c r="AE183" s="141" vm="992">
        <f t="shared" si="29"/>
        <v>30</v>
      </c>
      <c r="AF183" s="23">
        <f>COUNTIF($AA$47:$AA183,$AA183)-1</f>
        <v>105</v>
      </c>
      <c r="AP183"/>
      <c r="AQ183"/>
      <c r="AR183"/>
      <c r="BG183" s="130" t="e">
        <f t="shared" si="26"/>
        <v>#N/A</v>
      </c>
      <c r="BH183" s="130" t="e">
        <f>IF(ISNA(IF(VLOOKUP($BG183,$BG$24:$BG182,1,FALSE)=BG183,BG183+BI183,0)),BG183,(IF(VLOOKUP($BG183,$BG$24:$BG182,1,FALSE)=BG183,BG183+BI183,0)))</f>
        <v>#N/A</v>
      </c>
      <c r="BI183" s="23">
        <f>COUNTIF($BG$24:$BG183,BG183)-1</f>
        <v>108</v>
      </c>
      <c r="BJ183"/>
      <c r="BK183"/>
      <c r="BL183"/>
    </row>
    <row r="184" spans="26:64" hidden="1">
      <c r="Z184" s="23" t="str">
        <f t="shared" si="30"/>
        <v>Employment11 Dismissal</v>
      </c>
      <c r="AA184" s="130" t="e">
        <f t="shared" si="31"/>
        <v>#N/A</v>
      </c>
      <c r="AB184" s="130" t="e">
        <f>IF(ISNA(IF(VLOOKUP($AA184,$AA$47:$AA183,1,FALSE)=AA184,AA184+AF184,0)),AA184,(IF(VLOOKUP($AA184,$AA$46:$AA184,1,FALSE)=AA184,AA184+AF184,0)))</f>
        <v>#N/A</v>
      </c>
      <c r="AC184" s="23" t="str" vm="13">
        <f t="shared" si="28"/>
        <v>Employment</v>
      </c>
      <c r="AD184" s="23" t="str" vm="471">
        <f>CUBEMEMBER("cabcrmsqlrs1 CABReportingCubes Local Advice Event",{"[AIC Outcome].[AIC Part1].&amp;[Employment]","[AIC Outcome].[AIC Part2].&amp;[Employment]&amp;[11 Dismissal]"})</f>
        <v>11 Dismissal</v>
      </c>
      <c r="AE184" s="141" vm="1136">
        <f t="shared" si="29"/>
        <v>126</v>
      </c>
      <c r="AF184" s="23">
        <f>COUNTIF($AA$47:$AA184,$AA184)-1</f>
        <v>106</v>
      </c>
      <c r="AP184"/>
      <c r="AQ184"/>
      <c r="AR184"/>
      <c r="BG184" s="130" t="e">
        <f t="shared" si="26"/>
        <v>#N/A</v>
      </c>
      <c r="BH184" s="130" t="e">
        <f>IF(ISNA(IF(VLOOKUP($BG184,$BG$24:$BG183,1,FALSE)=BG184,BG184+BI184,0)),BG184,(IF(VLOOKUP($BG184,$BG$24:$BG183,1,FALSE)=BG184,BG184+BI184,0)))</f>
        <v>#N/A</v>
      </c>
      <c r="BI184" s="23">
        <f>COUNTIF($BG$24:$BG184,BG184)-1</f>
        <v>109</v>
      </c>
      <c r="BJ184"/>
      <c r="BK184"/>
      <c r="BL184"/>
    </row>
    <row r="185" spans="26:64" hidden="1">
      <c r="Z185" s="23" t="str">
        <f t="shared" si="30"/>
        <v>Employment12 Redundancy</v>
      </c>
      <c r="AA185" s="130" t="e">
        <f t="shared" si="31"/>
        <v>#N/A</v>
      </c>
      <c r="AB185" s="130" t="e">
        <f>IF(ISNA(IF(VLOOKUP($AA185,$AA$47:$AA184,1,FALSE)=AA185,AA185+AF185,0)),AA185,(IF(VLOOKUP($AA185,$AA$46:$AA185,1,FALSE)=AA185,AA185+AF185,0)))</f>
        <v>#N/A</v>
      </c>
      <c r="AC185" s="23" t="str" vm="13">
        <f t="shared" si="28"/>
        <v>Employment</v>
      </c>
      <c r="AD185" s="23" t="str" vm="391">
        <f>CUBEMEMBER("cabcrmsqlrs1 CABReportingCubes Local Advice Event",{"[AIC Outcome].[AIC Part1].&amp;[Employment]","[AIC Outcome].[AIC Part2].&amp;[Employment]&amp;[12 Redundancy]"})</f>
        <v>12 Redundancy</v>
      </c>
      <c r="AE185" s="141" vm="1280">
        <f t="shared" si="29"/>
        <v>63</v>
      </c>
      <c r="AF185" s="23">
        <f>COUNTIF($AA$47:$AA185,$AA185)-1</f>
        <v>107</v>
      </c>
      <c r="AP185"/>
      <c r="AQ185"/>
      <c r="AR185"/>
      <c r="BG185" s="130" t="e">
        <f t="shared" si="26"/>
        <v>#N/A</v>
      </c>
      <c r="BH185" s="130" t="e">
        <f>IF(ISNA(IF(VLOOKUP($BG185,$BG$24:$BG184,1,FALSE)=BG185,BG185+BI185,0)),BG185,(IF(VLOOKUP($BG185,$BG$24:$BG184,1,FALSE)=BG185,BG185+BI185,0)))</f>
        <v>#N/A</v>
      </c>
      <c r="BI185" s="23">
        <f>COUNTIF($BG$24:$BG185,BG185)-1</f>
        <v>110</v>
      </c>
      <c r="BJ185"/>
      <c r="BK185"/>
      <c r="BL185"/>
    </row>
    <row r="186" spans="26:64" hidden="1">
      <c r="Z186" s="23" t="str">
        <f t="shared" si="30"/>
        <v>Employment13 Employment tribunals &amp; appeals</v>
      </c>
      <c r="AA186" s="130" t="e">
        <f t="shared" si="31"/>
        <v>#N/A</v>
      </c>
      <c r="AB186" s="130" t="e">
        <f>IF(ISNA(IF(VLOOKUP($AA186,$AA$47:$AA185,1,FALSE)=AA186,AA186+AF186,0)),AA186,(IF(VLOOKUP($AA186,$AA$46:$AA186,1,FALSE)=AA186,AA186+AF186,0)))</f>
        <v>#N/A</v>
      </c>
      <c r="AC186" s="23" t="str" vm="13">
        <f t="shared" si="28"/>
        <v>Employment</v>
      </c>
      <c r="AD186" s="23" t="str" vm="470">
        <f>CUBEMEMBER("cabcrmsqlrs1 CABReportingCubes Local Advice Event",{"[AIC Outcome].[AIC Part1].&amp;[Employment]","[AIC Outcome].[AIC Part2].&amp;[Employment]&amp;[13 Employment tribunals &amp; appeals]"})</f>
        <v>13 Employment tribunals &amp; appeals</v>
      </c>
      <c r="AE186" s="141" vm="1315">
        <f t="shared" si="29"/>
        <v>21</v>
      </c>
      <c r="AF186" s="23">
        <f>COUNTIF($AA$47:$AA186,$AA186)-1</f>
        <v>108</v>
      </c>
      <c r="AP186"/>
      <c r="AQ186"/>
      <c r="AR186"/>
      <c r="BG186" s="130" t="e">
        <f t="shared" si="26"/>
        <v>#N/A</v>
      </c>
      <c r="BH186" s="130" t="e">
        <f>IF(ISNA(IF(VLOOKUP($BG186,$BG$24:$BG185,1,FALSE)=BG186,BG186+BI186,0)),BG186,(IF(VLOOKUP($BG186,$BG$24:$BG185,1,FALSE)=BG186,BG186+BI186,0)))</f>
        <v>#N/A</v>
      </c>
      <c r="BI186" s="23">
        <f>COUNTIF($BG$24:$BG186,BG186)-1</f>
        <v>111</v>
      </c>
      <c r="BJ186"/>
      <c r="BK186"/>
      <c r="BL186"/>
    </row>
    <row r="187" spans="26:64" hidden="1">
      <c r="Z187" s="23" t="str">
        <f t="shared" si="30"/>
        <v>Employment99 Other</v>
      </c>
      <c r="AA187" s="130" t="e">
        <f t="shared" si="31"/>
        <v>#N/A</v>
      </c>
      <c r="AB187" s="130" t="e">
        <f>IF(ISNA(IF(VLOOKUP($AA187,$AA$47:$AA186,1,FALSE)=AA187,AA187+AF187,0)),AA187,(IF(VLOOKUP($AA187,$AA$46:$AA187,1,FALSE)=AA187,AA187+AF187,0)))</f>
        <v>#N/A</v>
      </c>
      <c r="AC187" s="23" t="str" vm="13">
        <f t="shared" si="28"/>
        <v>Employment</v>
      </c>
      <c r="AD187" s="23" t="str" vm="390">
        <f>CUBEMEMBER("cabcrmsqlrs1 CABReportingCubes Local Advice Event",{"[AIC Outcome].[AIC Part1].&amp;[Employment]","[AIC Outcome].[AIC Part2].&amp;[Employment]&amp;[99 Other]"})</f>
        <v>99 Other</v>
      </c>
      <c r="AE187" s="141" vm="1073">
        <f t="shared" si="29"/>
        <v>30</v>
      </c>
      <c r="AF187" s="23">
        <f>COUNTIF($AA$47:$AA187,$AA187)-1</f>
        <v>109</v>
      </c>
      <c r="AP187"/>
      <c r="AQ187"/>
      <c r="AR187"/>
      <c r="BG187" s="130" t="e">
        <f t="shared" si="26"/>
        <v>#N/A</v>
      </c>
      <c r="BH187" s="130" t="e">
        <f>IF(ISNA(IF(VLOOKUP($BG187,$BG$24:$BG186,1,FALSE)=BG187,BG187+BI187,0)),BG187,(IF(VLOOKUP($BG187,$BG$24:$BG186,1,FALSE)=BG187,BG187+BI187,0)))</f>
        <v>#N/A</v>
      </c>
      <c r="BI187" s="23">
        <f>COUNTIF($BG$24:$BG187,BG187)-1</f>
        <v>112</v>
      </c>
      <c r="BJ187"/>
      <c r="BK187"/>
      <c r="BL187"/>
    </row>
    <row r="188" spans="26:64" hidden="1">
      <c r="Z188" s="23" t="str">
        <f t="shared" si="30"/>
        <v>EmploymentNot recorded/not applicable</v>
      </c>
      <c r="AA188" s="130" t="e">
        <f t="shared" si="31"/>
        <v>#N/A</v>
      </c>
      <c r="AB188" s="130" t="e">
        <f>IF(ISNA(IF(VLOOKUP($AA188,$AA$47:$AA187,1,FALSE)=AA188,AA188+AF188,0)),AA188,(IF(VLOOKUP($AA188,$AA$46:$AA188,1,FALSE)=AA188,AA188+AF188,0)))</f>
        <v>#N/A</v>
      </c>
      <c r="AC188" s="23" t="str" vm="13">
        <f t="shared" si="28"/>
        <v>Employment</v>
      </c>
      <c r="AD188" s="23" t="str" vm="469">
        <f>CUBEMEMBER("cabcrmsqlrs1 CABReportingCubes Local Advice Event",{"[AIC Outcome].[AIC Part1].&amp;[Employment]","[AIC Outcome].[AIC Part2].&amp;[Employment]&amp;[Not recorded/not applicable]"})</f>
        <v>Not recorded/not applicable</v>
      </c>
      <c r="AE188" s="141" vm="1196">
        <f t="shared" si="29"/>
        <v>161</v>
      </c>
      <c r="AF188" s="23">
        <f>COUNTIF($AA$47:$AA188,$AA188)-1</f>
        <v>110</v>
      </c>
      <c r="AP188"/>
      <c r="AQ188"/>
      <c r="AR188"/>
      <c r="BG188" s="130" t="e">
        <f t="shared" si="26"/>
        <v>#N/A</v>
      </c>
      <c r="BH188" s="130" t="e">
        <f>IF(ISNA(IF(VLOOKUP($BG188,$BG$24:$BG187,1,FALSE)=BG188,BG188+BI188,0)),BG188,(IF(VLOOKUP($BG188,$BG$24:$BG187,1,FALSE)=BG188,BG188+BI188,0)))</f>
        <v>#N/A</v>
      </c>
      <c r="BI188" s="23">
        <f>COUNTIF($BG$24:$BG188,BG188)-1</f>
        <v>113</v>
      </c>
      <c r="BJ188"/>
      <c r="BK188"/>
      <c r="BL188"/>
    </row>
    <row r="189" spans="26:64" hidden="1">
      <c r="Z189" s="23" t="str">
        <f t="shared" si="30"/>
        <v>Financial services &amp; capability01 Discrimination</v>
      </c>
      <c r="AA189" s="130" t="e">
        <f t="shared" si="31"/>
        <v>#VALUE!</v>
      </c>
      <c r="AB189" s="130" t="e">
        <f>IF(ISNA(IF(VLOOKUP($AA189,$AA$47:$AA188,1,FALSE)=AA189,AA189+AF189,0)),AA189,(IF(VLOOKUP($AA189,$AA$46:$AA189,1,FALSE)=AA189,AA189+AF189,0)))</f>
        <v>#VALUE!</v>
      </c>
      <c r="AC189" s="23" t="str" vm="18">
        <f t="shared" ref="AC189:AC212" si="32">CUBEMEMBER("cabcrmsqlrs1 CABReportingCubes Local Advice Event","[AIC Outcome].[AIC Part1].&amp;[Financial services &amp; capability]")</f>
        <v>Financial services &amp; capability</v>
      </c>
      <c r="AD189" s="23" t="str" vm="389">
        <f>CUBEMEMBER("cabcrmsqlrs1 CABReportingCubes Local Advice Event",{"[AIC Outcome].[AIC Part1].&amp;[Financial services &amp; capability]","[AIC Outcome].[AIC Part2].&amp;[Financial services &amp; capability]&amp;[01 Discrimination]"})</f>
        <v>01 Discrimination</v>
      </c>
      <c r="AE189" s="141" t="str" vm="1119">
        <f t="shared" si="29"/>
        <v/>
      </c>
      <c r="AF189" s="23">
        <f>COUNTIF($AA$47:$AA189,$AA189)-1</f>
        <v>31</v>
      </c>
      <c r="AP189"/>
      <c r="AQ189"/>
      <c r="AR189"/>
      <c r="BG189" s="130" t="e">
        <f t="shared" si="26"/>
        <v>#N/A</v>
      </c>
      <c r="BH189" s="130" t="e">
        <f>IF(ISNA(IF(VLOOKUP($BG189,$BG$24:$BG188,1,FALSE)=BG189,BG189+BI189,0)),BG189,(IF(VLOOKUP($BG189,$BG$24:$BG188,1,FALSE)=BG189,BG189+BI189,0)))</f>
        <v>#N/A</v>
      </c>
      <c r="BI189" s="23">
        <f>COUNTIF($BG$24:$BG189,BG189)-1</f>
        <v>114</v>
      </c>
      <c r="BJ189"/>
      <c r="BK189"/>
      <c r="BL189"/>
    </row>
    <row r="190" spans="26:64" hidden="1">
      <c r="Z190" s="23" t="str">
        <f t="shared" si="30"/>
        <v>Financial services &amp; capability02 Bank/Building &amp; P/O Accounts</v>
      </c>
      <c r="AA190" s="130" t="e">
        <f t="shared" si="31"/>
        <v>#N/A</v>
      </c>
      <c r="AB190" s="130" t="e">
        <f>IF(ISNA(IF(VLOOKUP($AA190,$AA$47:$AA189,1,FALSE)=AA190,AA190+AF190,0)),AA190,(IF(VLOOKUP($AA190,$AA$46:$AA190,1,FALSE)=AA190,AA190+AF190,0)))</f>
        <v>#N/A</v>
      </c>
      <c r="AC190" s="23" t="str" vm="18">
        <f t="shared" si="32"/>
        <v>Financial services &amp; capability</v>
      </c>
      <c r="AD190" s="23" t="str" vm="468">
        <f>CUBEMEMBER("cabcrmsqlrs1 CABReportingCubes Local Advice Event",{"[AIC Outcome].[AIC Part1].&amp;[Financial services &amp; capability]","[AIC Outcome].[AIC Part2].&amp;[Financial services &amp; capability]&amp;[02 Bank/Building &amp; P/O Accounts]"})</f>
        <v>02 Bank/Building &amp; P/O Accounts</v>
      </c>
      <c r="AE190" s="141" vm="1150">
        <f t="shared" si="29"/>
        <v>18</v>
      </c>
      <c r="AF190" s="23">
        <f>COUNTIF($AA$47:$AA190,$AA190)-1</f>
        <v>111</v>
      </c>
      <c r="AP190"/>
      <c r="AQ190"/>
      <c r="AR190"/>
      <c r="BG190" s="130" t="e">
        <f t="shared" si="26"/>
        <v>#N/A</v>
      </c>
      <c r="BH190" s="130" t="e">
        <f>IF(ISNA(IF(VLOOKUP($BG190,$BG$24:$BG189,1,FALSE)=BG190,BG190+BI190,0)),BG190,(IF(VLOOKUP($BG190,$BG$24:$BG189,1,FALSE)=BG190,BG190+BI190,0)))</f>
        <v>#N/A</v>
      </c>
      <c r="BI190" s="23">
        <f>COUNTIF($BG$24:$BG190,BG190)-1</f>
        <v>115</v>
      </c>
      <c r="BJ190"/>
      <c r="BK190"/>
      <c r="BL190"/>
    </row>
    <row r="191" spans="26:64" hidden="1">
      <c r="Z191" s="23" t="str">
        <f t="shared" si="30"/>
        <v>Financial services &amp; capability03 Credit/store/charge cards</v>
      </c>
      <c r="AA191" s="130" t="e">
        <f t="shared" si="31"/>
        <v>#N/A</v>
      </c>
      <c r="AB191" s="130" t="e">
        <f>IF(ISNA(IF(VLOOKUP($AA191,$AA$47:$AA190,1,FALSE)=AA191,AA191+AF191,0)),AA191,(IF(VLOOKUP($AA191,$AA$46:$AA191,1,FALSE)=AA191,AA191+AF191,0)))</f>
        <v>#N/A</v>
      </c>
      <c r="AC191" s="23" t="str" vm="18">
        <f t="shared" si="32"/>
        <v>Financial services &amp; capability</v>
      </c>
      <c r="AD191" s="23" t="str" vm="388">
        <f>CUBEMEMBER("cabcrmsqlrs1 CABReportingCubes Local Advice Event",{"[AIC Outcome].[AIC Part1].&amp;[Financial services &amp; capability]","[AIC Outcome].[AIC Part2].&amp;[Financial services &amp; capability]&amp;[03 Credit/store/charge cards]"})</f>
        <v>03 Credit/store/charge cards</v>
      </c>
      <c r="AE191" s="141" vm="1219">
        <f t="shared" si="29"/>
        <v>2</v>
      </c>
      <c r="AF191" s="23">
        <f>COUNTIF($AA$47:$AA191,$AA191)-1</f>
        <v>112</v>
      </c>
      <c r="AP191"/>
      <c r="AQ191"/>
      <c r="AR191"/>
      <c r="BG191" s="130" t="e">
        <f t="shared" si="26"/>
        <v>#N/A</v>
      </c>
      <c r="BH191" s="130" t="e">
        <f>IF(ISNA(IF(VLOOKUP($BG191,$BG$24:$BG190,1,FALSE)=BG191,BG191+BI191,0)),BG191,(IF(VLOOKUP($BG191,$BG$24:$BG190,1,FALSE)=BG191,BG191+BI191,0)))</f>
        <v>#N/A</v>
      </c>
      <c r="BI191" s="23">
        <f>COUNTIF($BG$24:$BG191,BG191)-1</f>
        <v>116</v>
      </c>
      <c r="BJ191"/>
      <c r="BK191"/>
      <c r="BL191"/>
    </row>
    <row r="192" spans="26:64" hidden="1">
      <c r="Z192" s="23" t="str">
        <f t="shared" si="30"/>
        <v>Financial services &amp; capability04 Mortgages &amp; secured loans</v>
      </c>
      <c r="AA192" s="130" t="e">
        <f t="shared" si="31"/>
        <v>#N/A</v>
      </c>
      <c r="AB192" s="130" t="e">
        <f>IF(ISNA(IF(VLOOKUP($AA192,$AA$47:$AA191,1,FALSE)=AA192,AA192+AF192,0)),AA192,(IF(VLOOKUP($AA192,$AA$46:$AA192,1,FALSE)=AA192,AA192+AF192,0)))</f>
        <v>#N/A</v>
      </c>
      <c r="AC192" s="23" t="str" vm="18">
        <f t="shared" si="32"/>
        <v>Financial services &amp; capability</v>
      </c>
      <c r="AD192" s="23" t="str" vm="467">
        <f>CUBEMEMBER("cabcrmsqlrs1 CABReportingCubes Local Advice Event",{"[AIC Outcome].[AIC Part1].&amp;[Financial services &amp; capability]","[AIC Outcome].[AIC Part2].&amp;[Financial services &amp; capability]&amp;[04 Mortgages &amp; secured loans]"})</f>
        <v>04 Mortgages &amp; secured loans</v>
      </c>
      <c r="AE192" s="141" vm="1236">
        <f t="shared" si="29"/>
        <v>10</v>
      </c>
      <c r="AF192" s="23">
        <f>COUNTIF($AA$47:$AA192,$AA192)-1</f>
        <v>113</v>
      </c>
      <c r="AP192"/>
      <c r="AQ192"/>
      <c r="AR192"/>
      <c r="BG192" s="130" t="e">
        <f t="shared" si="26"/>
        <v>#N/A</v>
      </c>
      <c r="BH192" s="130" t="e">
        <f>IF(ISNA(IF(VLOOKUP($BG192,$BG$24:$BG191,1,FALSE)=BG192,BG192+BI192,0)),BG192,(IF(VLOOKUP($BG192,$BG$24:$BG191,1,FALSE)=BG192,BG192+BI192,0)))</f>
        <v>#N/A</v>
      </c>
      <c r="BI192" s="23">
        <f>COUNTIF($BG$24:$BG192,BG192)-1</f>
        <v>117</v>
      </c>
      <c r="BJ192"/>
      <c r="BK192"/>
      <c r="BL192"/>
    </row>
    <row r="193" spans="26:64" hidden="1">
      <c r="Z193" s="23" t="str">
        <f t="shared" si="30"/>
        <v>Financial services &amp; capability05 Loans - unsecured</v>
      </c>
      <c r="AA193" s="130" t="e">
        <f t="shared" si="31"/>
        <v>#N/A</v>
      </c>
      <c r="AB193" s="130" t="e">
        <f>IF(ISNA(IF(VLOOKUP($AA193,$AA$47:$AA192,1,FALSE)=AA193,AA193+AF193,0)),AA193,(IF(VLOOKUP($AA193,$AA$46:$AA193,1,FALSE)=AA193,AA193+AF193,0)))</f>
        <v>#N/A</v>
      </c>
      <c r="AC193" s="23" t="str" vm="18">
        <f t="shared" si="32"/>
        <v>Financial services &amp; capability</v>
      </c>
      <c r="AD193" s="23" t="str" vm="387">
        <f>CUBEMEMBER("cabcrmsqlrs1 CABReportingCubes Local Advice Event",{"[AIC Outcome].[AIC Part1].&amp;[Financial services &amp; capability]","[AIC Outcome].[AIC Part2].&amp;[Financial services &amp; capability]&amp;[05 Loans - unsecured]"})</f>
        <v>05 Loans - unsecured</v>
      </c>
      <c r="AE193" s="141" vm="1057">
        <f t="shared" si="29"/>
        <v>3</v>
      </c>
      <c r="AF193" s="23">
        <f>COUNTIF($AA$47:$AA193,$AA193)-1</f>
        <v>114</v>
      </c>
      <c r="AP193"/>
      <c r="AQ193"/>
      <c r="AR193"/>
      <c r="BG193" s="130" t="e">
        <f t="shared" si="26"/>
        <v>#N/A</v>
      </c>
      <c r="BH193" s="130" t="e">
        <f>IF(ISNA(IF(VLOOKUP($BG193,$BG$24:$BG192,1,FALSE)=BG193,BG193+BI193,0)),BG193,(IF(VLOOKUP($BG193,$BG$24:$BG192,1,FALSE)=BG193,BG193+BI193,0)))</f>
        <v>#N/A</v>
      </c>
      <c r="BI193" s="23">
        <f>COUNTIF($BG$24:$BG193,BG193)-1</f>
        <v>118</v>
      </c>
      <c r="BJ193"/>
      <c r="BK193"/>
      <c r="BL193"/>
    </row>
    <row r="194" spans="26:64" hidden="1">
      <c r="Z194" s="23" t="str">
        <f t="shared" si="30"/>
        <v>Financial services &amp; capability06 HP &amp; conditional sale</v>
      </c>
      <c r="AA194" s="130" t="e">
        <f t="shared" si="31"/>
        <v>#VALUE!</v>
      </c>
      <c r="AB194" s="130" t="e">
        <f>IF(ISNA(IF(VLOOKUP($AA194,$AA$47:$AA193,1,FALSE)=AA194,AA194+AF194,0)),AA194,(IF(VLOOKUP($AA194,$AA$46:$AA194,1,FALSE)=AA194,AA194+AF194,0)))</f>
        <v>#VALUE!</v>
      </c>
      <c r="AC194" s="23" t="str" vm="18">
        <f t="shared" si="32"/>
        <v>Financial services &amp; capability</v>
      </c>
      <c r="AD194" s="23" t="str" vm="466">
        <f>CUBEMEMBER("cabcrmsqlrs1 CABReportingCubes Local Advice Event",{"[AIC Outcome].[AIC Part1].&amp;[Financial services &amp; capability]","[AIC Outcome].[AIC Part2].&amp;[Financial services &amp; capability]&amp;[06 HP &amp; conditional sale]"})</f>
        <v>06 HP &amp; conditional sale</v>
      </c>
      <c r="AE194" s="141" t="str" vm="1319">
        <f t="shared" si="29"/>
        <v/>
      </c>
      <c r="AF194" s="23">
        <f>COUNTIF($AA$47:$AA194,$AA194)-1</f>
        <v>32</v>
      </c>
      <c r="AP194"/>
      <c r="AQ194"/>
      <c r="AR194"/>
      <c r="BG194" s="130" t="e">
        <f t="shared" si="26"/>
        <v>#N/A</v>
      </c>
      <c r="BH194" s="130" t="e">
        <f>IF(ISNA(IF(VLOOKUP($BG194,$BG$24:$BG193,1,FALSE)=BG194,BG194+BI194,0)),BG194,(IF(VLOOKUP($BG194,$BG$24:$BG193,1,FALSE)=BG194,BG194+BI194,0)))</f>
        <v>#N/A</v>
      </c>
      <c r="BI194" s="23">
        <f>COUNTIF($BG$24:$BG194,BG194)-1</f>
        <v>119</v>
      </c>
      <c r="BJ194"/>
      <c r="BK194"/>
      <c r="BL194"/>
    </row>
    <row r="195" spans="26:64" hidden="1">
      <c r="Z195" s="23" t="str">
        <f t="shared" si="30"/>
        <v>Financial services &amp; capability08 Financial advisers/brokers/intermeds.</v>
      </c>
      <c r="AA195" s="130" t="e">
        <f t="shared" si="31"/>
        <v>#VALUE!</v>
      </c>
      <c r="AB195" s="130" t="e">
        <f>IF(ISNA(IF(VLOOKUP($AA195,$AA$47:$AA194,1,FALSE)=AA195,AA195+AF195,0)),AA195,(IF(VLOOKUP($AA195,$AA$46:$AA195,1,FALSE)=AA195,AA195+AF195,0)))</f>
        <v>#VALUE!</v>
      </c>
      <c r="AC195" s="23" t="str" vm="18">
        <f t="shared" si="32"/>
        <v>Financial services &amp; capability</v>
      </c>
      <c r="AD195" s="23" t="str" vm="386">
        <f>CUBEMEMBER("cabcrmsqlrs1 CABReportingCubes Local Advice Event",{"[AIC Outcome].[AIC Part1].&amp;[Financial services &amp; capability]","[AIC Outcome].[AIC Part2].&amp;[Financial services &amp; capability]&amp;[08 Financial advisers/brokers/intermeds.]"})</f>
        <v>08 Financial advisers/brokers/intermeds.</v>
      </c>
      <c r="AE195" s="141" t="str" vm="1094">
        <f t="shared" si="29"/>
        <v/>
      </c>
      <c r="AF195" s="23">
        <f>COUNTIF($AA$47:$AA195,$AA195)-1</f>
        <v>33</v>
      </c>
      <c r="AP195"/>
      <c r="AQ195"/>
      <c r="AR195"/>
      <c r="BG195" s="130" t="e">
        <f t="shared" si="26"/>
        <v>#N/A</v>
      </c>
      <c r="BH195" s="130" t="e">
        <f>IF(ISNA(IF(VLOOKUP($BG195,$BG$24:$BG194,1,FALSE)=BG195,BG195+BI195,0)),BG195,(IF(VLOOKUP($BG195,$BG$24:$BG194,1,FALSE)=BG195,BG195+BI195,0)))</f>
        <v>#N/A</v>
      </c>
      <c r="BI195" s="23">
        <f>COUNTIF($BG$24:$BG195,BG195)-1</f>
        <v>120</v>
      </c>
      <c r="BJ195"/>
      <c r="BK195"/>
      <c r="BL195"/>
    </row>
    <row r="196" spans="26:64" hidden="1">
      <c r="Z196" s="23" t="e">
        <f t="shared" si="30"/>
        <v>#N/A</v>
      </c>
      <c r="AA196" s="130" t="e">
        <f t="shared" si="31"/>
        <v>#N/A</v>
      </c>
      <c r="AB196" s="130" t="e">
        <f>IF(ISNA(IF(VLOOKUP($AA196,$AA$47:$AA195,1,FALSE)=AA196,AA196+AF196,0)),AA196,(IF(VLOOKUP($AA196,$AA$46:$AA196,1,FALSE)=AA196,AA196+AF196,0)))</f>
        <v>#N/A</v>
      </c>
      <c r="AC196" s="23" t="str" vm="18">
        <f t="shared" si="32"/>
        <v>Financial services &amp; capability</v>
      </c>
      <c r="AD196" s="23" t="e">
        <f>CUBEMEMBER("cabcrmsqlrs1 CABReportingCubes Local Advice Event",{"[AIC Outcome].[AIC Part1].&amp;[Financial services &amp; capability]","[AIC Outcome].[AIC Part2].&amp;[Financial services &amp; capability]&amp;[09 Debt mgt. services &amp; credit repair]"})</f>
        <v>#N/A</v>
      </c>
      <c r="AE196" s="141" t="e">
        <f t="shared" si="29"/>
        <v>#N/A</v>
      </c>
      <c r="AF196" s="23">
        <f>COUNTIF($AA$47:$AA196,$AA196)-1</f>
        <v>115</v>
      </c>
      <c r="AP196"/>
      <c r="AQ196"/>
      <c r="AR196"/>
      <c r="BG196" s="130" t="e">
        <f t="shared" si="26"/>
        <v>#N/A</v>
      </c>
      <c r="BH196" s="130" t="e">
        <f>IF(ISNA(IF(VLOOKUP($BG196,$BG$24:$BG195,1,FALSE)=BG196,BG196+BI196,0)),BG196,(IF(VLOOKUP($BG196,$BG$24:$BG195,1,FALSE)=BG196,BG196+BI196,0)))</f>
        <v>#N/A</v>
      </c>
      <c r="BI196" s="23">
        <f>COUNTIF($BG$24:$BG196,BG196)-1</f>
        <v>121</v>
      </c>
      <c r="BJ196"/>
      <c r="BK196"/>
      <c r="BL196"/>
    </row>
    <row r="197" spans="26:64" hidden="1">
      <c r="Z197" s="23" t="str">
        <f t="shared" si="30"/>
        <v>Financial services &amp; capability10 Payment protection insurance</v>
      </c>
      <c r="AA197" s="130" t="e">
        <f t="shared" si="31"/>
        <v>#N/A</v>
      </c>
      <c r="AB197" s="130" t="e">
        <f>IF(ISNA(IF(VLOOKUP($AA197,$AA$47:$AA196,1,FALSE)=AA197,AA197+AF197,0)),AA197,(IF(VLOOKUP($AA197,$AA$46:$AA197,1,FALSE)=AA197,AA197+AF197,0)))</f>
        <v>#N/A</v>
      </c>
      <c r="AC197" s="23" t="str" vm="18">
        <f t="shared" si="32"/>
        <v>Financial services &amp; capability</v>
      </c>
      <c r="AD197" s="23" t="str" vm="385">
        <f>CUBEMEMBER("cabcrmsqlrs1 CABReportingCubes Local Advice Event",{"[AIC Outcome].[AIC Part1].&amp;[Financial services &amp; capability]","[AIC Outcome].[AIC Part2].&amp;[Financial services &amp; capability]&amp;[10 Payment protection insurance]"})</f>
        <v>10 Payment protection insurance</v>
      </c>
      <c r="AE197" s="141" vm="1108">
        <f t="shared" si="29"/>
        <v>17</v>
      </c>
      <c r="AF197" s="23">
        <f>COUNTIF($AA$47:$AA197,$AA197)-1</f>
        <v>116</v>
      </c>
      <c r="AP197"/>
      <c r="AQ197"/>
      <c r="AR197"/>
      <c r="BG197" s="130" t="e">
        <f t="shared" si="26"/>
        <v>#N/A</v>
      </c>
      <c r="BH197" s="130" t="e">
        <f>IF(ISNA(IF(VLOOKUP($BG197,$BG$24:$BG196,1,FALSE)=BG197,BG197+BI197,0)),BG197,(IF(VLOOKUP($BG197,$BG$24:$BG196,1,FALSE)=BG197,BG197+BI197,0)))</f>
        <v>#N/A</v>
      </c>
      <c r="BI197" s="23">
        <f>COUNTIF($BG$24:$BG197,BG197)-1</f>
        <v>122</v>
      </c>
      <c r="BJ197"/>
      <c r="BK197"/>
      <c r="BL197"/>
    </row>
    <row r="198" spans="26:64" hidden="1">
      <c r="Z198" s="23" t="str">
        <f t="shared" si="30"/>
        <v>Financial services &amp; capability11 Holiday/travel insurance</v>
      </c>
      <c r="AA198" s="130" t="e">
        <f t="shared" si="31"/>
        <v>#N/A</v>
      </c>
      <c r="AB198" s="130" t="e">
        <f>IF(ISNA(IF(VLOOKUP($AA198,$AA$47:$AA197,1,FALSE)=AA198,AA198+AF198,0)),AA198,(IF(VLOOKUP($AA198,$AA$46:$AA198,1,FALSE)=AA198,AA198+AF198,0)))</f>
        <v>#N/A</v>
      </c>
      <c r="AC198" s="23" t="str" vm="18">
        <f t="shared" si="32"/>
        <v>Financial services &amp; capability</v>
      </c>
      <c r="AD198" s="23" t="str" vm="465">
        <f>CUBEMEMBER("cabcrmsqlrs1 CABReportingCubes Local Advice Event",{"[AIC Outcome].[AIC Part1].&amp;[Financial services &amp; capability]","[AIC Outcome].[AIC Part2].&amp;[Financial services &amp; capability]&amp;[11 Holiday/travel insurance]"})</f>
        <v>11 Holiday/travel insurance</v>
      </c>
      <c r="AE198" s="141" vm="1078">
        <f t="shared" si="29"/>
        <v>4</v>
      </c>
      <c r="AF198" s="23">
        <f>COUNTIF($AA$47:$AA198,$AA198)-1</f>
        <v>117</v>
      </c>
      <c r="AP198"/>
      <c r="AQ198"/>
      <c r="AR198"/>
      <c r="BG198" s="130" t="e">
        <f t="shared" si="26"/>
        <v>#N/A</v>
      </c>
      <c r="BH198" s="130" t="e">
        <f>IF(ISNA(IF(VLOOKUP($BG198,$BG$24:$BG197,1,FALSE)=BG198,BG198+BI198,0)),BG198,(IF(VLOOKUP($BG198,$BG$24:$BG197,1,FALSE)=BG198,BG198+BI198,0)))</f>
        <v>#N/A</v>
      </c>
      <c r="BI198" s="23">
        <f>COUNTIF($BG$24:$BG198,BG198)-1</f>
        <v>123</v>
      </c>
      <c r="BJ198"/>
      <c r="BK198"/>
      <c r="BL198"/>
    </row>
    <row r="199" spans="26:64" hidden="1">
      <c r="Z199" s="23" t="str">
        <f t="shared" si="30"/>
        <v>Financial services &amp; capability12 Vehicle insurance</v>
      </c>
      <c r="AA199" s="130" t="e">
        <f t="shared" si="31"/>
        <v>#N/A</v>
      </c>
      <c r="AB199" s="130" t="e">
        <f>IF(ISNA(IF(VLOOKUP($AA199,$AA$47:$AA198,1,FALSE)=AA199,AA199+AF199,0)),AA199,(IF(VLOOKUP($AA199,$AA$46:$AA199,1,FALSE)=AA199,AA199+AF199,0)))</f>
        <v>#N/A</v>
      </c>
      <c r="AC199" s="23" t="str" vm="18">
        <f t="shared" si="32"/>
        <v>Financial services &amp; capability</v>
      </c>
      <c r="AD199" s="23" t="str" vm="384">
        <f>CUBEMEMBER("cabcrmsqlrs1 CABReportingCubes Local Advice Event",{"[AIC Outcome].[AIC Part1].&amp;[Financial services &amp; capability]","[AIC Outcome].[AIC Part2].&amp;[Financial services &amp; capability]&amp;[12 Vehicle insurance]"})</f>
        <v>12 Vehicle insurance</v>
      </c>
      <c r="AE199" s="141" vm="1111">
        <f t="shared" si="29"/>
        <v>4</v>
      </c>
      <c r="AF199" s="23">
        <f>COUNTIF($AA$47:$AA199,$AA199)-1</f>
        <v>118</v>
      </c>
      <c r="AP199"/>
      <c r="AQ199"/>
      <c r="AR199"/>
      <c r="BG199" s="130" t="e">
        <f t="shared" si="26"/>
        <v>#N/A</v>
      </c>
      <c r="BH199" s="130" t="e">
        <f>IF(ISNA(IF(VLOOKUP($BG199,$BG$24:$BG198,1,FALSE)=BG199,BG199+BI199,0)),BG199,(IF(VLOOKUP($BG199,$BG$24:$BG198,1,FALSE)=BG199,BG199+BI199,0)))</f>
        <v>#N/A</v>
      </c>
      <c r="BI199" s="23">
        <f>COUNTIF($BG$24:$BG199,BG199)-1</f>
        <v>124</v>
      </c>
      <c r="BJ199"/>
      <c r="BK199"/>
      <c r="BL199"/>
    </row>
    <row r="200" spans="26:64" hidden="1">
      <c r="Z200" s="23" t="str">
        <f t="shared" si="30"/>
        <v>Financial services &amp; capability13 Buildings &amp; house contents insurance</v>
      </c>
      <c r="AA200" s="130" t="e">
        <f t="shared" si="31"/>
        <v>#N/A</v>
      </c>
      <c r="AB200" s="130" t="e">
        <f>IF(ISNA(IF(VLOOKUP($AA200,$AA$47:$AA199,1,FALSE)=AA200,AA200+AF200,0)),AA200,(IF(VLOOKUP($AA200,$AA$46:$AA200,1,FALSE)=AA200,AA200+AF200,0)))</f>
        <v>#N/A</v>
      </c>
      <c r="AC200" s="23" t="str" vm="18">
        <f t="shared" si="32"/>
        <v>Financial services &amp; capability</v>
      </c>
      <c r="AD200" s="23" t="str" vm="464">
        <f>CUBEMEMBER("cabcrmsqlrs1 CABReportingCubes Local Advice Event",{"[AIC Outcome].[AIC Part1].&amp;[Financial services &amp; capability]","[AIC Outcome].[AIC Part2].&amp;[Financial services &amp; capability]&amp;[13 Buildings &amp; house contents insurance]"})</f>
        <v>13 Buildings &amp; house contents insurance</v>
      </c>
      <c r="AE200" s="141" vm="1235">
        <f t="shared" si="29"/>
        <v>6</v>
      </c>
      <c r="AF200" s="23">
        <f>COUNTIF($AA$47:$AA200,$AA200)-1</f>
        <v>119</v>
      </c>
      <c r="AP200"/>
      <c r="AQ200"/>
      <c r="AR200"/>
      <c r="BG200" s="130" t="e">
        <f t="shared" si="26"/>
        <v>#N/A</v>
      </c>
      <c r="BH200" s="130" t="e">
        <f>IF(ISNA(IF(VLOOKUP($BG200,$BG$24:$BG199,1,FALSE)=BG200,BG200+BI200,0)),BG200,(IF(VLOOKUP($BG200,$BG$24:$BG199,1,FALSE)=BG200,BG200+BI200,0)))</f>
        <v>#N/A</v>
      </c>
      <c r="BI200" s="23">
        <f>COUNTIF($BG$24:$BG200,BG200)-1</f>
        <v>125</v>
      </c>
      <c r="BJ200"/>
      <c r="BK200"/>
      <c r="BL200"/>
    </row>
    <row r="201" spans="26:64" hidden="1">
      <c r="Z201" s="23" t="e">
        <f t="shared" si="30"/>
        <v>#N/A</v>
      </c>
      <c r="AA201" s="130" t="e">
        <f t="shared" si="31"/>
        <v>#N/A</v>
      </c>
      <c r="AB201" s="130" t="e">
        <f>IF(ISNA(IF(VLOOKUP($AA201,$AA$47:$AA200,1,FALSE)=AA201,AA201+AF201,0)),AA201,(IF(VLOOKUP($AA201,$AA$46:$AA201,1,FALSE)=AA201,AA201+AF201,0)))</f>
        <v>#N/A</v>
      </c>
      <c r="AC201" s="23" t="str" vm="18">
        <f t="shared" si="32"/>
        <v>Financial services &amp; capability</v>
      </c>
      <c r="AD201" s="23" t="e">
        <f>CUBEMEMBER("cabcrmsqlrs1 CABReportingCubes Local Advice Event",{"[AIC Outcome].[AIC Part1].&amp;[Financial services &amp; capability]","[AIC Outcome].[AIC Part2].&amp;[Financial services &amp; capability]&amp;[13 Vehicle repairs/servicing]"})</f>
        <v>#N/A</v>
      </c>
      <c r="AE201" s="141" t="e">
        <f t="shared" si="29"/>
        <v>#N/A</v>
      </c>
      <c r="AF201" s="23">
        <f>COUNTIF($AA$47:$AA201,$AA201)-1</f>
        <v>120</v>
      </c>
      <c r="AP201"/>
      <c r="AQ201"/>
      <c r="AR201"/>
      <c r="BG201" s="130" t="e">
        <f t="shared" si="26"/>
        <v>#N/A</v>
      </c>
      <c r="BH201" s="130" t="e">
        <f>IF(ISNA(IF(VLOOKUP($BG201,$BG$24:$BG200,1,FALSE)=BG201,BG201+BI201,0)),BG201,(IF(VLOOKUP($BG201,$BG$24:$BG200,1,FALSE)=BG201,BG201+BI201,0)))</f>
        <v>#N/A</v>
      </c>
      <c r="BI201" s="23">
        <f>COUNTIF($BG$24:$BG201,BG201)-1</f>
        <v>126</v>
      </c>
      <c r="BJ201"/>
      <c r="BK201"/>
      <c r="BL201"/>
    </row>
    <row r="202" spans="26:64" hidden="1">
      <c r="Z202" s="23" t="str">
        <f t="shared" si="30"/>
        <v>Financial services &amp; capability14 Life Insurance</v>
      </c>
      <c r="AA202" s="130" t="e">
        <f t="shared" si="31"/>
        <v>#N/A</v>
      </c>
      <c r="AB202" s="130" t="e">
        <f>IF(ISNA(IF(VLOOKUP($AA202,$AA$47:$AA201,1,FALSE)=AA202,AA202+AF202,0)),AA202,(IF(VLOOKUP($AA202,$AA$46:$AA202,1,FALSE)=AA202,AA202+AF202,0)))</f>
        <v>#N/A</v>
      </c>
      <c r="AC202" s="23" t="str" vm="18">
        <f t="shared" si="32"/>
        <v>Financial services &amp; capability</v>
      </c>
      <c r="AD202" s="23" t="str" vm="463">
        <f>CUBEMEMBER("cabcrmsqlrs1 CABReportingCubes Local Advice Event",{"[AIC Outcome].[AIC Part1].&amp;[Financial services &amp; capability]","[AIC Outcome].[AIC Part2].&amp;[Financial services &amp; capability]&amp;[14 Life Insurance]"})</f>
        <v>14 Life Insurance</v>
      </c>
      <c r="AE202" s="141" vm="1099">
        <f t="shared" si="29"/>
        <v>3</v>
      </c>
      <c r="AF202" s="23">
        <f>COUNTIF($AA$47:$AA202,$AA202)-1</f>
        <v>121</v>
      </c>
      <c r="AP202"/>
      <c r="AQ202"/>
      <c r="AR202"/>
      <c r="BG202" s="130" t="e">
        <f t="shared" si="26"/>
        <v>#N/A</v>
      </c>
      <c r="BH202" s="130" t="e">
        <f>IF(ISNA(IF(VLOOKUP($BG202,$BG$24:$BG201,1,FALSE)=BG202,BG202+BI202,0)),BG202,(IF(VLOOKUP($BG202,$BG$24:$BG201,1,FALSE)=BG202,BG202+BI202,0)))</f>
        <v>#N/A</v>
      </c>
      <c r="BI202" s="23">
        <f>COUNTIF($BG$24:$BG202,BG202)-1</f>
        <v>127</v>
      </c>
      <c r="BJ202"/>
      <c r="BK202"/>
      <c r="BL202"/>
    </row>
    <row r="203" spans="26:64" hidden="1">
      <c r="Z203" s="23" t="str">
        <f t="shared" si="30"/>
        <v>Financial services &amp; capability17 Credit Reference Agencies</v>
      </c>
      <c r="AA203" s="130" t="e">
        <f t="shared" si="31"/>
        <v>#N/A</v>
      </c>
      <c r="AB203" s="130" t="e">
        <f>IF(ISNA(IF(VLOOKUP($AA203,$AA$47:$AA202,1,FALSE)=AA203,AA203+AF203,0)),AA203,(IF(VLOOKUP($AA203,$AA$46:$AA203,1,FALSE)=AA203,AA203+AF203,0)))</f>
        <v>#N/A</v>
      </c>
      <c r="AC203" s="23" t="str" vm="18">
        <f t="shared" si="32"/>
        <v>Financial services &amp; capability</v>
      </c>
      <c r="AD203" s="23" t="str" vm="383">
        <f>CUBEMEMBER("cabcrmsqlrs1 CABReportingCubes Local Advice Event",{"[AIC Outcome].[AIC Part1].&amp;[Financial services &amp; capability]","[AIC Outcome].[AIC Part2].&amp;[Financial services &amp; capability]&amp;[17 Credit Reference Agencies]"})</f>
        <v>17 Credit Reference Agencies</v>
      </c>
      <c r="AE203" s="141" vm="1023">
        <f t="shared" si="29"/>
        <v>6</v>
      </c>
      <c r="AF203" s="23">
        <f>COUNTIF($AA$47:$AA203,$AA203)-1</f>
        <v>122</v>
      </c>
      <c r="AP203"/>
      <c r="AQ203"/>
      <c r="AR203"/>
      <c r="BG203" s="130" t="e">
        <f t="shared" si="26"/>
        <v>#N/A</v>
      </c>
      <c r="BH203" s="130" t="e">
        <f>IF(ISNA(IF(VLOOKUP($BG203,$BG$24:$BG202,1,FALSE)=BG203,BG203+BI203,0)),BG203,(IF(VLOOKUP($BG203,$BG$24:$BG202,1,FALSE)=BG203,BG203+BI203,0)))</f>
        <v>#N/A</v>
      </c>
      <c r="BI203" s="23">
        <f>COUNTIF($BG$24:$BG203,BG203)-1</f>
        <v>128</v>
      </c>
      <c r="BJ203"/>
      <c r="BK203"/>
      <c r="BL203"/>
    </row>
    <row r="204" spans="26:64" hidden="1">
      <c r="Z204" s="23" t="str">
        <f t="shared" si="30"/>
        <v>Financial services &amp; capability18 Personal Pensions</v>
      </c>
      <c r="AA204" s="130" t="e">
        <f t="shared" si="31"/>
        <v>#N/A</v>
      </c>
      <c r="AB204" s="130" t="e">
        <f>IF(ISNA(IF(VLOOKUP($AA204,$AA$47:$AA203,1,FALSE)=AA204,AA204+AF204,0)),AA204,(IF(VLOOKUP($AA204,$AA$46:$AA204,1,FALSE)=AA204,AA204+AF204,0)))</f>
        <v>#N/A</v>
      </c>
      <c r="AC204" s="23" t="str" vm="18">
        <f t="shared" si="32"/>
        <v>Financial services &amp; capability</v>
      </c>
      <c r="AD204" s="23" t="str" vm="462">
        <f>CUBEMEMBER("cabcrmsqlrs1 CABReportingCubes Local Advice Event",{"[AIC Outcome].[AIC Part1].&amp;[Financial services &amp; capability]","[AIC Outcome].[AIC Part2].&amp;[Financial services &amp; capability]&amp;[18 Personal Pensions]"})</f>
        <v>18 Personal Pensions</v>
      </c>
      <c r="AE204" s="141" vm="1175">
        <f t="shared" si="29"/>
        <v>18</v>
      </c>
      <c r="AF204" s="23">
        <f>COUNTIF($AA$47:$AA204,$AA204)-1</f>
        <v>123</v>
      </c>
      <c r="AP204"/>
      <c r="AQ204"/>
      <c r="AR204"/>
      <c r="BG204" s="130" t="e">
        <f t="shared" si="26"/>
        <v>#N/A</v>
      </c>
      <c r="BH204" s="130" t="e">
        <f>IF(ISNA(IF(VLOOKUP($BG204,$BG$24:$BG203,1,FALSE)=BG204,BG204+BI204,0)),BG204,(IF(VLOOKUP($BG204,$BG$24:$BG203,1,FALSE)=BG204,BG204+BI204,0)))</f>
        <v>#N/A</v>
      </c>
      <c r="BI204" s="23">
        <f>COUNTIF($BG$24:$BG204,BG204)-1</f>
        <v>129</v>
      </c>
      <c r="BJ204"/>
      <c r="BK204"/>
      <c r="BL204"/>
    </row>
    <row r="205" spans="26:64" hidden="1">
      <c r="Z205" s="23" t="str">
        <f t="shared" si="30"/>
        <v>Financial services &amp; capability19 Savings and investments</v>
      </c>
      <c r="AA205" s="130" t="e">
        <f t="shared" si="31"/>
        <v>#N/A</v>
      </c>
      <c r="AB205" s="130" t="e">
        <f>IF(ISNA(IF(VLOOKUP($AA205,$AA$47:$AA204,1,FALSE)=AA205,AA205+AF205,0)),AA205,(IF(VLOOKUP($AA205,$AA$46:$AA205,1,FALSE)=AA205,AA205+AF205,0)))</f>
        <v>#N/A</v>
      </c>
      <c r="AC205" s="23" t="str" vm="18">
        <f t="shared" si="32"/>
        <v>Financial services &amp; capability</v>
      </c>
      <c r="AD205" s="23" t="str" vm="382">
        <f>CUBEMEMBER("cabcrmsqlrs1 CABReportingCubes Local Advice Event",{"[AIC Outcome].[AIC Part1].&amp;[Financial services &amp; capability]","[AIC Outcome].[AIC Part2].&amp;[Financial services &amp; capability]&amp;[19 Savings and investments]"})</f>
        <v>19 Savings and investments</v>
      </c>
      <c r="AE205" s="141" vm="1240">
        <f t="shared" si="29"/>
        <v>1</v>
      </c>
      <c r="AF205" s="23">
        <f>COUNTIF($AA$47:$AA205,$AA205)-1</f>
        <v>124</v>
      </c>
      <c r="AP205"/>
      <c r="AQ205"/>
      <c r="AR205"/>
      <c r="BG205" s="130" t="e">
        <f t="shared" si="26"/>
        <v>#N/A</v>
      </c>
      <c r="BH205" s="130" t="e">
        <f>IF(ISNA(IF(VLOOKUP($BG205,$BG$24:$BG204,1,FALSE)=BG205,BG205+BI205,0)),BG205,(IF(VLOOKUP($BG205,$BG$24:$BG204,1,FALSE)=BG205,BG205+BI205,0)))</f>
        <v>#N/A</v>
      </c>
      <c r="BI205" s="23">
        <f>COUNTIF($BG$24:$BG205,BG205)-1</f>
        <v>130</v>
      </c>
      <c r="BJ205"/>
      <c r="BK205"/>
      <c r="BL205"/>
    </row>
    <row r="206" spans="26:64" hidden="1">
      <c r="Z206" s="23" t="str">
        <f t="shared" si="30"/>
        <v>Financial services &amp; capability20 Financial capability</v>
      </c>
      <c r="AA206" s="130" t="e">
        <f t="shared" si="31"/>
        <v>#N/A</v>
      </c>
      <c r="AB206" s="130" t="e">
        <f>IF(ISNA(IF(VLOOKUP($AA206,$AA$47:$AA205,1,FALSE)=AA206,AA206+AF206,0)),AA206,(IF(VLOOKUP($AA206,$AA$46:$AA206,1,FALSE)=AA206,AA206+AF206,0)))</f>
        <v>#N/A</v>
      </c>
      <c r="AC206" s="23" t="str" vm="18">
        <f t="shared" si="32"/>
        <v>Financial services &amp; capability</v>
      </c>
      <c r="AD206" s="23" t="str" vm="461">
        <f>CUBEMEMBER("cabcrmsqlrs1 CABReportingCubes Local Advice Event",{"[AIC Outcome].[AIC Part1].&amp;[Financial services &amp; capability]","[AIC Outcome].[AIC Part2].&amp;[Financial services &amp; capability]&amp;[20 Financial capability]"})</f>
        <v>20 Financial capability</v>
      </c>
      <c r="AE206" s="141" vm="1131">
        <f t="shared" si="29"/>
        <v>266</v>
      </c>
      <c r="AF206" s="23">
        <f>COUNTIF($AA$47:$AA206,$AA206)-1</f>
        <v>125</v>
      </c>
      <c r="AP206"/>
      <c r="AQ206"/>
      <c r="AR206"/>
      <c r="BG206" s="130" t="e">
        <f t="shared" si="26"/>
        <v>#N/A</v>
      </c>
      <c r="BH206" s="130" t="e">
        <f>IF(ISNA(IF(VLOOKUP($BG206,$BG$24:$BG205,1,FALSE)=BG206,BG206+BI206,0)),BG206,(IF(VLOOKUP($BG206,$BG$24:$BG205,1,FALSE)=BG206,BG206+BI206,0)))</f>
        <v>#N/A</v>
      </c>
      <c r="BI206" s="23">
        <f>COUNTIF($BG$24:$BG206,BG206)-1</f>
        <v>131</v>
      </c>
      <c r="BJ206"/>
      <c r="BK206"/>
      <c r="BL206"/>
    </row>
    <row r="207" spans="26:64" hidden="1">
      <c r="Z207" s="23" t="str">
        <f t="shared" si="30"/>
        <v>Financial services &amp; capability21 Claims management services</v>
      </c>
      <c r="AA207" s="130" t="e">
        <f t="shared" si="31"/>
        <v>#VALUE!</v>
      </c>
      <c r="AB207" s="130" t="e">
        <f>IF(ISNA(IF(VLOOKUP($AA207,$AA$47:$AA206,1,FALSE)=AA207,AA207+AF207,0)),AA207,(IF(VLOOKUP($AA207,$AA$46:$AA207,1,FALSE)=AA207,AA207+AF207,0)))</f>
        <v>#VALUE!</v>
      </c>
      <c r="AC207" s="23" t="str" vm="18">
        <f t="shared" si="32"/>
        <v>Financial services &amp; capability</v>
      </c>
      <c r="AD207" s="23" t="str" vm="381">
        <f>CUBEMEMBER("cabcrmsqlrs1 CABReportingCubes Local Advice Event",{"[AIC Outcome].[AIC Part1].&amp;[Financial services &amp; capability]","[AIC Outcome].[AIC Part2].&amp;[Financial services &amp; capability]&amp;[21 Claims management services]"})</f>
        <v>21 Claims management services</v>
      </c>
      <c r="AE207" s="141" t="str" vm="1206">
        <f t="shared" si="29"/>
        <v/>
      </c>
      <c r="AF207" s="23">
        <f>COUNTIF($AA$47:$AA207,$AA207)-1</f>
        <v>34</v>
      </c>
      <c r="AP207"/>
      <c r="AQ207"/>
      <c r="AR207"/>
      <c r="BG207" s="130" t="e">
        <f t="shared" si="26"/>
        <v>#N/A</v>
      </c>
      <c r="BH207" s="130" t="e">
        <f>IF(ISNA(IF(VLOOKUP($BG207,$BG$24:$BG206,1,FALSE)=BG207,BG207+BI207,0)),BG207,(IF(VLOOKUP($BG207,$BG$24:$BG206,1,FALSE)=BG207,BG207+BI207,0)))</f>
        <v>#N/A</v>
      </c>
      <c r="BI207" s="23">
        <f>COUNTIF($BG$24:$BG207,BG207)-1</f>
        <v>132</v>
      </c>
      <c r="BJ207"/>
      <c r="BK207"/>
      <c r="BL207"/>
    </row>
    <row r="208" spans="26:64" hidden="1">
      <c r="Z208" s="23" t="str">
        <f t="shared" si="30"/>
        <v>Financial services &amp; capability7 Pensions, savings &amp; investments</v>
      </c>
      <c r="AA208" s="130" t="e">
        <f t="shared" si="31"/>
        <v>#VALUE!</v>
      </c>
      <c r="AB208" s="130" t="e">
        <f>IF(ISNA(IF(VLOOKUP($AA208,$AA$47:$AA207,1,FALSE)=AA208,AA208+AF208,0)),AA208,(IF(VLOOKUP($AA208,$AA$46:$AA208,1,FALSE)=AA208,AA208+AF208,0)))</f>
        <v>#VALUE!</v>
      </c>
      <c r="AC208" s="23" t="str" vm="18">
        <f t="shared" si="32"/>
        <v>Financial services &amp; capability</v>
      </c>
      <c r="AD208" s="23" t="str" vm="460">
        <f>CUBEMEMBER("cabcrmsqlrs1 CABReportingCubes Local Advice Event",{"[AIC Outcome].[AIC Part1].&amp;[Financial services &amp; capability]","[AIC Outcome].[AIC Part2].&amp;[Financial services &amp; capability]&amp;[7 Pensions, savings &amp; investments]"})</f>
        <v>7 Pensions, savings &amp; investments</v>
      </c>
      <c r="AE208" s="141" t="str" vm="1331">
        <f t="shared" si="29"/>
        <v/>
      </c>
      <c r="AF208" s="23">
        <f>COUNTIF($AA$47:$AA208,$AA208)-1</f>
        <v>35</v>
      </c>
      <c r="AP208"/>
      <c r="AQ208"/>
      <c r="AR208"/>
      <c r="BG208" s="130" t="e">
        <f t="shared" si="26"/>
        <v>#N/A</v>
      </c>
      <c r="BH208" s="130" t="e">
        <f>IF(ISNA(IF(VLOOKUP($BG208,$BG$24:$BG207,1,FALSE)=BG208,BG208+BI208,0)),BG208,(IF(VLOOKUP($BG208,$BG$24:$BG207,1,FALSE)=BG208,BG208+BI208,0)))</f>
        <v>#N/A</v>
      </c>
      <c r="BI208" s="23">
        <f>COUNTIF($BG$24:$BG208,BG208)-1</f>
        <v>133</v>
      </c>
      <c r="BJ208"/>
      <c r="BK208"/>
      <c r="BL208"/>
    </row>
    <row r="209" spans="26:64" hidden="1">
      <c r="Z209" s="23" t="e">
        <f t="shared" si="30"/>
        <v>#N/A</v>
      </c>
      <c r="AA209" s="130" t="e">
        <f t="shared" si="31"/>
        <v>#N/A</v>
      </c>
      <c r="AB209" s="130" t="e">
        <f>IF(ISNA(IF(VLOOKUP($AA209,$AA$47:$AA208,1,FALSE)=AA209,AA209+AF209,0)),AA209,(IF(VLOOKUP($AA209,$AA$46:$AA209,1,FALSE)=AA209,AA209+AF209,0)))</f>
        <v>#N/A</v>
      </c>
      <c r="AC209" s="23" t="str" vm="18">
        <f t="shared" si="32"/>
        <v>Financial services &amp; capability</v>
      </c>
      <c r="AD209" s="23" t="e">
        <f>CUBEMEMBER("cabcrmsqlrs1 CABReportingCubes Local Advice Event",{"[AIC Outcome].[AIC Part1].&amp;[Financial services &amp; capability]","[AIC Outcome].[AIC Part2].&amp;[Financial services &amp; capability]&amp;[99 Other]"})</f>
        <v>#N/A</v>
      </c>
      <c r="AE209" s="141" t="e">
        <f t="shared" si="29"/>
        <v>#N/A</v>
      </c>
      <c r="AF209" s="23">
        <f>COUNTIF($AA$47:$AA209,$AA209)-1</f>
        <v>126</v>
      </c>
      <c r="AP209"/>
      <c r="AQ209"/>
      <c r="AR209"/>
      <c r="BG209" s="130" t="e">
        <f t="shared" si="26"/>
        <v>#N/A</v>
      </c>
      <c r="BH209" s="130" t="e">
        <f>IF(ISNA(IF(VLOOKUP($BG209,$BG$24:$BG208,1,FALSE)=BG209,BG209+BI209,0)),BG209,(IF(VLOOKUP($BG209,$BG$24:$BG208,1,FALSE)=BG209,BG209+BI209,0)))</f>
        <v>#N/A</v>
      </c>
      <c r="BI209" s="23">
        <f>COUNTIF($BG$24:$BG209,BG209)-1</f>
        <v>134</v>
      </c>
      <c r="BJ209"/>
      <c r="BK209"/>
      <c r="BL209"/>
    </row>
    <row r="210" spans="26:64" hidden="1">
      <c r="Z210" s="23" t="str">
        <f t="shared" si="30"/>
        <v>Financial services &amp; capability99 Other credit, fin. &amp; insurance issues</v>
      </c>
      <c r="AA210" s="130" t="e">
        <f t="shared" si="31"/>
        <v>#N/A</v>
      </c>
      <c r="AB210" s="130" t="e">
        <f>IF(ISNA(IF(VLOOKUP($AA210,$AA$47:$AA209,1,FALSE)=AA210,AA210+AF210,0)),AA210,(IF(VLOOKUP($AA210,$AA$46:$AA210,1,FALSE)=AA210,AA210+AF210,0)))</f>
        <v>#N/A</v>
      </c>
      <c r="AC210" s="23" t="str" vm="18">
        <f t="shared" si="32"/>
        <v>Financial services &amp; capability</v>
      </c>
      <c r="AD210" s="23" t="str" vm="459">
        <f>CUBEMEMBER("cabcrmsqlrs1 CABReportingCubes Local Advice Event",{"[AIC Outcome].[AIC Part1].&amp;[Financial services &amp; capability]","[AIC Outcome].[AIC Part2].&amp;[Financial services &amp; capability]&amp;[99 Other credit, fin. &amp; insurance issues]"})</f>
        <v>99 Other credit, fin. &amp; insurance issues</v>
      </c>
      <c r="AE210" s="141" vm="1214">
        <f t="shared" si="29"/>
        <v>12</v>
      </c>
      <c r="AF210" s="23">
        <f>COUNTIF($AA$47:$AA210,$AA210)-1</f>
        <v>127</v>
      </c>
      <c r="AP210"/>
      <c r="AQ210"/>
      <c r="AR210"/>
      <c r="BG210" s="130" t="e">
        <f t="shared" si="26"/>
        <v>#N/A</v>
      </c>
      <c r="BH210" s="130" t="e">
        <f>IF(ISNA(IF(VLOOKUP($BG210,$BG$24:$BG209,1,FALSE)=BG210,BG210+BI210,0)),BG210,(IF(VLOOKUP($BG210,$BG$24:$BG209,1,FALSE)=BG210,BG210+BI210,0)))</f>
        <v>#N/A</v>
      </c>
      <c r="BI210" s="23">
        <f>COUNTIF($BG$24:$BG210,BG210)-1</f>
        <v>135</v>
      </c>
      <c r="BJ210"/>
      <c r="BK210"/>
      <c r="BL210"/>
    </row>
    <row r="211" spans="26:64" hidden="1">
      <c r="Z211" s="23" t="e">
        <f t="shared" si="30"/>
        <v>#N/A</v>
      </c>
      <c r="AA211" s="130" t="e">
        <f t="shared" si="31"/>
        <v>#N/A</v>
      </c>
      <c r="AB211" s="130" t="e">
        <f>IF(ISNA(IF(VLOOKUP($AA211,$AA$47:$AA210,1,FALSE)=AA211,AA211+AF211,0)),AA211,(IF(VLOOKUP($AA211,$AA$46:$AA211,1,FALSE)=AA211,AA211+AF211,0)))</f>
        <v>#N/A</v>
      </c>
      <c r="AC211" s="23" t="str" vm="18">
        <f t="shared" si="32"/>
        <v>Financial services &amp; capability</v>
      </c>
      <c r="AD211" s="23" t="e">
        <f>CUBEMEMBER("cabcrmsqlrs1 CABReportingCubes Local Advice Event",{"[AIC Outcome].[AIC Part1].&amp;[Financial services &amp; capability]","[AIC Outcome].[AIC Part2].&amp;[Financial services &amp; capability]&amp;[99 Other goods &amp; services]"})</f>
        <v>#N/A</v>
      </c>
      <c r="AE211" s="141" t="e">
        <f t="shared" si="29"/>
        <v>#N/A</v>
      </c>
      <c r="AF211" s="23">
        <f>COUNTIF($AA$47:$AA211,$AA211)-1</f>
        <v>128</v>
      </c>
      <c r="AP211"/>
      <c r="AQ211"/>
      <c r="AR211"/>
      <c r="BG211" s="130" t="e">
        <f t="shared" si="26"/>
        <v>#N/A</v>
      </c>
      <c r="BH211" s="130" t="e">
        <f>IF(ISNA(IF(VLOOKUP($BG211,$BG$24:$BG210,1,FALSE)=BG211,BG211+BI211,0)),BG211,(IF(VLOOKUP($BG211,$BG$24:$BG210,1,FALSE)=BG211,BG211+BI211,0)))</f>
        <v>#N/A</v>
      </c>
      <c r="BI211" s="23">
        <f>COUNTIF($BG$24:$BG211,BG211)-1</f>
        <v>136</v>
      </c>
      <c r="BJ211"/>
      <c r="BK211"/>
      <c r="BL211"/>
    </row>
    <row r="212" spans="26:64" hidden="1">
      <c r="Z212" s="23" t="str">
        <f t="shared" si="30"/>
        <v>Financial services &amp; capabilityNot recorded/not applicable</v>
      </c>
      <c r="AA212" s="130" t="e">
        <f t="shared" si="31"/>
        <v>#N/A</v>
      </c>
      <c r="AB212" s="130" t="e">
        <f>IF(ISNA(IF(VLOOKUP($AA212,$AA$47:$AA211,1,FALSE)=AA212,AA212+AF212,0)),AA212,(IF(VLOOKUP($AA212,$AA$46:$AA212,1,FALSE)=AA212,AA212+AF212,0)))</f>
        <v>#N/A</v>
      </c>
      <c r="AC212" s="23" t="str" vm="18">
        <f t="shared" si="32"/>
        <v>Financial services &amp; capability</v>
      </c>
      <c r="AD212" s="23" t="str" vm="458">
        <f>CUBEMEMBER("cabcrmsqlrs1 CABReportingCubes Local Advice Event",{"[AIC Outcome].[AIC Part1].&amp;[Financial services &amp; capability]","[AIC Outcome].[AIC Part2].&amp;[Financial services &amp; capability]&amp;[Not recorded/not applicable]"})</f>
        <v>Not recorded/not applicable</v>
      </c>
      <c r="AE212" s="141" vm="1121">
        <f t="shared" si="29"/>
        <v>28</v>
      </c>
      <c r="AF212" s="23">
        <f>COUNTIF($AA$47:$AA212,$AA212)-1</f>
        <v>129</v>
      </c>
      <c r="AP212"/>
      <c r="AQ212"/>
      <c r="AR212"/>
      <c r="BG212" s="130" t="e">
        <f t="shared" si="26"/>
        <v>#N/A</v>
      </c>
      <c r="BH212" s="130" t="e">
        <f>IF(ISNA(IF(VLOOKUP($BG212,$BG$24:$BG211,1,FALSE)=BG212,BG212+BI212,0)),BG212,(IF(VLOOKUP($BG212,$BG$24:$BG211,1,FALSE)=BG212,BG212+BI212,0)))</f>
        <v>#N/A</v>
      </c>
      <c r="BI212" s="23">
        <f>COUNTIF($BG$24:$BG212,BG212)-1</f>
        <v>137</v>
      </c>
      <c r="BJ212"/>
      <c r="BK212"/>
      <c r="BL212"/>
    </row>
    <row r="213" spans="26:64" hidden="1">
      <c r="Z213" s="23" t="str">
        <f t="shared" si="30"/>
        <v>Health &amp; community care01 Discrimination</v>
      </c>
      <c r="AA213" s="130" t="e">
        <f t="shared" si="31"/>
        <v>#VALUE!</v>
      </c>
      <c r="AB213" s="130" t="e">
        <f>IF(ISNA(IF(VLOOKUP($AA213,$AA$47:$AA212,1,FALSE)=AA213,AA213+AF213,0)),AA213,(IF(VLOOKUP($AA213,$AA$46:$AA213,1,FALSE)=AA213,AA213+AF213,0)))</f>
        <v>#VALUE!</v>
      </c>
      <c r="AC213" s="23" t="str" vm="14">
        <f t="shared" ref="AC213:AC229" si="33">CUBEMEMBER("cabcrmsqlrs1 CABReportingCubes Local Advice Event","[AIC Outcome].[AIC Part1].&amp;[Health &amp; community care]")</f>
        <v>Health &amp; community care</v>
      </c>
      <c r="AD213" s="23" t="str" vm="380">
        <f>CUBEMEMBER("cabcrmsqlrs1 CABReportingCubes Local Advice Event",{"[AIC Outcome].[AIC Part1].&amp;[Health &amp; community care]","[AIC Outcome].[AIC Part2].&amp;[Health &amp; community care]&amp;[01 Discrimination]"})</f>
        <v>01 Discrimination</v>
      </c>
      <c r="AE213" s="141" t="str" vm="1267">
        <f t="shared" si="29"/>
        <v/>
      </c>
      <c r="AF213" s="23">
        <f>COUNTIF($AA$47:$AA213,$AA213)-1</f>
        <v>36</v>
      </c>
      <c r="AP213"/>
      <c r="AQ213"/>
      <c r="AR213"/>
      <c r="BG213" s="130" t="e">
        <f t="shared" si="26"/>
        <v>#N/A</v>
      </c>
      <c r="BH213" s="130" t="e">
        <f>IF(ISNA(IF(VLOOKUP($BG213,$BG$24:$BG212,1,FALSE)=BG213,BG213+BI213,0)),BG213,(IF(VLOOKUP($BG213,$BG$24:$BG212,1,FALSE)=BG213,BG213+BI213,0)))</f>
        <v>#N/A</v>
      </c>
      <c r="BI213" s="23">
        <f>COUNTIF($BG$24:$BG213,BG213)-1</f>
        <v>138</v>
      </c>
      <c r="BJ213"/>
      <c r="BK213"/>
      <c r="BL213"/>
    </row>
    <row r="214" spans="26:64" hidden="1">
      <c r="Z214" s="23" t="e">
        <f t="shared" si="30"/>
        <v>#N/A</v>
      </c>
      <c r="AA214" s="130" t="e">
        <f t="shared" si="31"/>
        <v>#N/A</v>
      </c>
      <c r="AB214" s="130" t="e">
        <f>IF(ISNA(IF(VLOOKUP($AA214,$AA$47:$AA213,1,FALSE)=AA214,AA214+AF214,0)),AA214,(IF(VLOOKUP($AA214,$AA$46:$AA214,1,FALSE)=AA214,AA214+AF214,0)))</f>
        <v>#N/A</v>
      </c>
      <c r="AC214" s="23" t="str" vm="14">
        <f t="shared" si="33"/>
        <v>Health &amp; community care</v>
      </c>
      <c r="AD214" s="23" t="e">
        <f>CUBEMEMBER("cabcrmsqlrs1 CABReportingCubes Local Advice Event",{"[AIC Outcome].[AIC Part1].&amp;[Health &amp; community care]","[AIC Outcome].[AIC Part2].&amp;[Health &amp; community care]&amp;[02 Schemes for the unemployed]"})</f>
        <v>#N/A</v>
      </c>
      <c r="AE214" s="141" t="e">
        <f t="shared" si="29"/>
        <v>#N/A</v>
      </c>
      <c r="AF214" s="23">
        <f>COUNTIF($AA$47:$AA214,$AA214)-1</f>
        <v>130</v>
      </c>
      <c r="AP214"/>
      <c r="AQ214"/>
      <c r="AR214"/>
      <c r="BG214" s="130" t="e">
        <f t="shared" si="26"/>
        <v>#N/A</v>
      </c>
      <c r="BH214" s="130" t="e">
        <f>IF(ISNA(IF(VLOOKUP($BG214,$BG$24:$BG213,1,FALSE)=BG214,BG214+BI214,0)),BG214,(IF(VLOOKUP($BG214,$BG$24:$BG213,1,FALSE)=BG214,BG214+BI214,0)))</f>
        <v>#N/A</v>
      </c>
      <c r="BI214" s="23">
        <f>COUNTIF($BG$24:$BG214,BG214)-1</f>
        <v>139</v>
      </c>
      <c r="BJ214"/>
      <c r="BK214"/>
      <c r="BL214"/>
    </row>
    <row r="215" spans="26:64" hidden="1">
      <c r="Z215" s="23" t="str">
        <f t="shared" si="30"/>
        <v>Health &amp; community care03 Hospital Services (non-MH)</v>
      </c>
      <c r="AA215" s="130" t="e">
        <f t="shared" si="31"/>
        <v>#N/A</v>
      </c>
      <c r="AB215" s="130" t="e">
        <f>IF(ISNA(IF(VLOOKUP($AA215,$AA$47:$AA214,1,FALSE)=AA215,AA215+AF215,0)),AA215,(IF(VLOOKUP($AA215,$AA$46:$AA215,1,FALSE)=AA215,AA215+AF215,0)))</f>
        <v>#N/A</v>
      </c>
      <c r="AC215" s="23" t="str" vm="14">
        <f t="shared" si="33"/>
        <v>Health &amp; community care</v>
      </c>
      <c r="AD215" s="23" t="str" vm="379">
        <f>CUBEMEMBER("cabcrmsqlrs1 CABReportingCubes Local Advice Event",{"[AIC Outcome].[AIC Part1].&amp;[Health &amp; community care]","[AIC Outcome].[AIC Part2].&amp;[Health &amp; community care]&amp;[03 Hospital Services (non-MH)]"})</f>
        <v>03 Hospital Services (non-MH)</v>
      </c>
      <c r="AE215" s="141" vm="1018">
        <f t="shared" si="29"/>
        <v>8</v>
      </c>
      <c r="AF215" s="23">
        <f>COUNTIF($AA$47:$AA215,$AA215)-1</f>
        <v>131</v>
      </c>
      <c r="AP215"/>
      <c r="AQ215"/>
      <c r="AR215"/>
      <c r="BG215" s="130" t="e">
        <f t="shared" si="26"/>
        <v>#N/A</v>
      </c>
      <c r="BH215" s="130" t="e">
        <f>IF(ISNA(IF(VLOOKUP($BG215,$BG$24:$BG214,1,FALSE)=BG215,BG215+BI215,0)),BG215,(IF(VLOOKUP($BG215,$BG$24:$BG214,1,FALSE)=BG215,BG215+BI215,0)))</f>
        <v>#N/A</v>
      </c>
      <c r="BI215" s="23">
        <f>COUNTIF($BG$24:$BG215,BG215)-1</f>
        <v>140</v>
      </c>
      <c r="BJ215"/>
      <c r="BK215"/>
      <c r="BL215"/>
    </row>
    <row r="216" spans="26:64" hidden="1">
      <c r="Z216" s="23" t="str">
        <f t="shared" si="30"/>
        <v>Health &amp; community care04 Hospital services - Mental Health</v>
      </c>
      <c r="AA216" s="130" t="e">
        <f t="shared" si="31"/>
        <v>#N/A</v>
      </c>
      <c r="AB216" s="130" t="e">
        <f>IF(ISNA(IF(VLOOKUP($AA216,$AA$47:$AA215,1,FALSE)=AA216,AA216+AF216,0)),AA216,(IF(VLOOKUP($AA216,$AA$46:$AA216,1,FALSE)=AA216,AA216+AF216,0)))</f>
        <v>#N/A</v>
      </c>
      <c r="AC216" s="23" t="str" vm="14">
        <f t="shared" si="33"/>
        <v>Health &amp; community care</v>
      </c>
      <c r="AD216" s="23" t="str" vm="457">
        <f>CUBEMEMBER("cabcrmsqlrs1 CABReportingCubes Local Advice Event",{"[AIC Outcome].[AIC Part1].&amp;[Health &amp; community care]","[AIC Outcome].[AIC Part2].&amp;[Health &amp; community care]&amp;[04 Hospital services - Mental Health]"})</f>
        <v>04 Hospital services - Mental Health</v>
      </c>
      <c r="AE216" s="141" vm="1230">
        <f t="shared" si="29"/>
        <v>5</v>
      </c>
      <c r="AF216" s="23">
        <f>COUNTIF($AA$47:$AA216,$AA216)-1</f>
        <v>132</v>
      </c>
      <c r="AP216"/>
      <c r="AQ216"/>
      <c r="AR216"/>
      <c r="BG216" s="130" t="e">
        <f t="shared" si="26"/>
        <v>#N/A</v>
      </c>
      <c r="BH216" s="130" t="e">
        <f>IF(ISNA(IF(VLOOKUP($BG216,$BG$24:$BG215,1,FALSE)=BG216,BG216+BI216,0)),BG216,(IF(VLOOKUP($BG216,$BG$24:$BG215,1,FALSE)=BG216,BG216+BI216,0)))</f>
        <v>#N/A</v>
      </c>
      <c r="BI216" s="23">
        <f>COUNTIF($BG$24:$BG216,BG216)-1</f>
        <v>141</v>
      </c>
      <c r="BJ216"/>
      <c r="BK216"/>
      <c r="BL216"/>
    </row>
    <row r="217" spans="26:64" hidden="1">
      <c r="Z217" s="23" t="str">
        <f t="shared" si="30"/>
        <v>Health &amp; community care05 General Medical Practice</v>
      </c>
      <c r="AA217" s="130" t="e">
        <f t="shared" si="31"/>
        <v>#N/A</v>
      </c>
      <c r="AB217" s="130" t="e">
        <f>IF(ISNA(IF(VLOOKUP($AA217,$AA$47:$AA216,1,FALSE)=AA217,AA217+AF217,0)),AA217,(IF(VLOOKUP($AA217,$AA$46:$AA217,1,FALSE)=AA217,AA217+AF217,0)))</f>
        <v>#N/A</v>
      </c>
      <c r="AC217" s="23" t="str" vm="14">
        <f t="shared" si="33"/>
        <v>Health &amp; community care</v>
      </c>
      <c r="AD217" s="23" t="str" vm="378">
        <f>CUBEMEMBER("cabcrmsqlrs1 CABReportingCubes Local Advice Event",{"[AIC Outcome].[AIC Part1].&amp;[Health &amp; community care]","[AIC Outcome].[AIC Part2].&amp;[Health &amp; community care]&amp;[05 General Medical Practice]"})</f>
        <v>05 General Medical Practice</v>
      </c>
      <c r="AE217" s="141" vm="1178">
        <f t="shared" si="29"/>
        <v>15</v>
      </c>
      <c r="AF217" s="23">
        <f>COUNTIF($AA$47:$AA217,$AA217)-1</f>
        <v>133</v>
      </c>
      <c r="AP217"/>
      <c r="AQ217"/>
      <c r="AR217"/>
      <c r="BG217" s="130" t="e">
        <f t="shared" ref="BG217:BG280" si="34">RANK($BL217,$BL$24:$BL$432,0)</f>
        <v>#N/A</v>
      </c>
      <c r="BH217" s="130" t="e">
        <f>IF(ISNA(IF(VLOOKUP($BG217,$BG$24:$BG216,1,FALSE)=BG217,BG217+BI217,0)),BG217,(IF(VLOOKUP($BG217,$BG$24:$BG216,1,FALSE)=BG217,BG217+BI217,0)))</f>
        <v>#N/A</v>
      </c>
      <c r="BI217" s="23">
        <f>COUNTIF($BG$24:$BG217,BG217)-1</f>
        <v>142</v>
      </c>
      <c r="BJ217"/>
      <c r="BK217"/>
      <c r="BL217"/>
    </row>
    <row r="218" spans="26:64" hidden="1">
      <c r="Z218" s="23" t="str">
        <f t="shared" si="30"/>
        <v>Health &amp; community care06 Residential Care</v>
      </c>
      <c r="AA218" s="130" t="e">
        <f t="shared" si="31"/>
        <v>#N/A</v>
      </c>
      <c r="AB218" s="130" t="e">
        <f>IF(ISNA(IF(VLOOKUP($AA218,$AA$47:$AA217,1,FALSE)=AA218,AA218+AF218,0)),AA218,(IF(VLOOKUP($AA218,$AA$46:$AA218,1,FALSE)=AA218,AA218+AF218,0)))</f>
        <v>#N/A</v>
      </c>
      <c r="AC218" s="23" t="str" vm="14">
        <f t="shared" si="33"/>
        <v>Health &amp; community care</v>
      </c>
      <c r="AD218" s="23" t="str" vm="456">
        <f>CUBEMEMBER("cabcrmsqlrs1 CABReportingCubes Local Advice Event",{"[AIC Outcome].[AIC Part1].&amp;[Health &amp; community care]","[AIC Outcome].[AIC Part2].&amp;[Health &amp; community care]&amp;[06 Residential Care]"})</f>
        <v>06 Residential Care</v>
      </c>
      <c r="AE218" s="141" vm="1324">
        <f t="shared" si="29"/>
        <v>11</v>
      </c>
      <c r="AF218" s="23">
        <f>COUNTIF($AA$47:$AA218,$AA218)-1</f>
        <v>134</v>
      </c>
      <c r="AP218"/>
      <c r="AQ218"/>
      <c r="AR218"/>
      <c r="BG218" s="130" t="e">
        <f t="shared" si="34"/>
        <v>#N/A</v>
      </c>
      <c r="BH218" s="130" t="e">
        <f>IF(ISNA(IF(VLOOKUP($BG218,$BG$24:$BG217,1,FALSE)=BG218,BG218+BI218,0)),BG218,(IF(VLOOKUP($BG218,$BG$24:$BG217,1,FALSE)=BG218,BG218+BI218,0)))</f>
        <v>#N/A</v>
      </c>
      <c r="BI218" s="23">
        <f>COUNTIF($BG$24:$BG218,BG218)-1</f>
        <v>143</v>
      </c>
      <c r="BJ218"/>
      <c r="BK218"/>
      <c r="BL218"/>
    </row>
    <row r="219" spans="26:64" hidden="1">
      <c r="Z219" s="23" t="str">
        <f t="shared" si="30"/>
        <v>Health &amp; community care07 Community Care (non-MH)</v>
      </c>
      <c r="AA219" s="130" t="e">
        <f t="shared" si="31"/>
        <v>#N/A</v>
      </c>
      <c r="AB219" s="130" t="e">
        <f>IF(ISNA(IF(VLOOKUP($AA219,$AA$47:$AA218,1,FALSE)=AA219,AA219+AF219,0)),AA219,(IF(VLOOKUP($AA219,$AA$46:$AA219,1,FALSE)=AA219,AA219+AF219,0)))</f>
        <v>#N/A</v>
      </c>
      <c r="AC219" s="23" t="str" vm="14">
        <f t="shared" si="33"/>
        <v>Health &amp; community care</v>
      </c>
      <c r="AD219" s="23" t="str" vm="377">
        <f>CUBEMEMBER("cabcrmsqlrs1 CABReportingCubes Local Advice Event",{"[AIC Outcome].[AIC Part1].&amp;[Health &amp; community care]","[AIC Outcome].[AIC Part2].&amp;[Health &amp; community care]&amp;[07 Community Care (non-MH)]"})</f>
        <v>07 Community Care (non-MH)</v>
      </c>
      <c r="AE219" s="141" vm="1144">
        <f t="shared" si="29"/>
        <v>24</v>
      </c>
      <c r="AF219" s="23">
        <f>COUNTIF($AA$47:$AA219,$AA219)-1</f>
        <v>135</v>
      </c>
      <c r="AP219"/>
      <c r="AQ219"/>
      <c r="AR219"/>
      <c r="BG219" s="130" t="e">
        <f t="shared" si="34"/>
        <v>#N/A</v>
      </c>
      <c r="BH219" s="130" t="e">
        <f>IF(ISNA(IF(VLOOKUP($BG219,$BG$24:$BG218,1,FALSE)=BG219,BG219+BI219,0)),BG219,(IF(VLOOKUP($BG219,$BG$24:$BG218,1,FALSE)=BG219,BG219+BI219,0)))</f>
        <v>#N/A</v>
      </c>
      <c r="BI219" s="23">
        <f>COUNTIF($BG$24:$BG219,BG219)-1</f>
        <v>144</v>
      </c>
      <c r="BJ219"/>
      <c r="BK219"/>
      <c r="BL219"/>
    </row>
    <row r="220" spans="26:64" hidden="1">
      <c r="Z220" s="23" t="str">
        <f t="shared" si="30"/>
        <v>Health &amp; community care08 Community Care - Mental Health</v>
      </c>
      <c r="AA220" s="130" t="e">
        <f t="shared" si="31"/>
        <v>#N/A</v>
      </c>
      <c r="AB220" s="130" t="e">
        <f>IF(ISNA(IF(VLOOKUP($AA220,$AA$47:$AA219,1,FALSE)=AA220,AA220+AF220,0)),AA220,(IF(VLOOKUP($AA220,$AA$46:$AA220,1,FALSE)=AA220,AA220+AF220,0)))</f>
        <v>#N/A</v>
      </c>
      <c r="AC220" s="23" t="str" vm="14">
        <f t="shared" si="33"/>
        <v>Health &amp; community care</v>
      </c>
      <c r="AD220" s="23" t="str" vm="455">
        <f>CUBEMEMBER("cabcrmsqlrs1 CABReportingCubes Local Advice Event",{"[AIC Outcome].[AIC Part1].&amp;[Health &amp; community care]","[AIC Outcome].[AIC Part2].&amp;[Health &amp; community care]&amp;[08 Community Care - Mental Health]"})</f>
        <v>08 Community Care - Mental Health</v>
      </c>
      <c r="AE220" s="141" vm="1159">
        <f t="shared" si="29"/>
        <v>41</v>
      </c>
      <c r="AF220" s="23">
        <f>COUNTIF($AA$47:$AA220,$AA220)-1</f>
        <v>136</v>
      </c>
      <c r="AP220"/>
      <c r="AQ220"/>
      <c r="AR220"/>
      <c r="BG220" s="130" t="e">
        <f t="shared" si="34"/>
        <v>#N/A</v>
      </c>
      <c r="BH220" s="130" t="e">
        <f>IF(ISNA(IF(VLOOKUP($BG220,$BG$24:$BG219,1,FALSE)=BG220,BG220+BI220,0)),BG220,(IF(VLOOKUP($BG220,$BG$24:$BG219,1,FALSE)=BG220,BG220+BI220,0)))</f>
        <v>#N/A</v>
      </c>
      <c r="BI220" s="23">
        <f>COUNTIF($BG$24:$BG220,BG220)-1</f>
        <v>145</v>
      </c>
      <c r="BJ220"/>
      <c r="BK220"/>
      <c r="BL220"/>
    </row>
    <row r="221" spans="26:64" hidden="1">
      <c r="Z221" s="23" t="str">
        <f t="shared" si="30"/>
        <v>Health &amp; community care09 Dentists</v>
      </c>
      <c r="AA221" s="130" t="e">
        <f t="shared" si="31"/>
        <v>#N/A</v>
      </c>
      <c r="AB221" s="130" t="e">
        <f>IF(ISNA(IF(VLOOKUP($AA221,$AA$47:$AA220,1,FALSE)=AA221,AA221+AF221,0)),AA221,(IF(VLOOKUP($AA221,$AA$46:$AA221,1,FALSE)=AA221,AA221+AF221,0)))</f>
        <v>#N/A</v>
      </c>
      <c r="AC221" s="23" t="str" vm="14">
        <f t="shared" si="33"/>
        <v>Health &amp; community care</v>
      </c>
      <c r="AD221" s="23" t="str" vm="376">
        <f>CUBEMEMBER("cabcrmsqlrs1 CABReportingCubes Local Advice Event",{"[AIC Outcome].[AIC Part1].&amp;[Health &amp; community care]","[AIC Outcome].[AIC Part2].&amp;[Health &amp; community care]&amp;[09 Dentists]"})</f>
        <v>09 Dentists</v>
      </c>
      <c r="AE221" s="141" vm="1109">
        <f t="shared" si="29"/>
        <v>6</v>
      </c>
      <c r="AF221" s="23">
        <f>COUNTIF($AA$47:$AA221,$AA221)-1</f>
        <v>137</v>
      </c>
      <c r="AP221"/>
      <c r="AQ221"/>
      <c r="AR221"/>
      <c r="BG221" s="130" t="e">
        <f t="shared" si="34"/>
        <v>#N/A</v>
      </c>
      <c r="BH221" s="130" t="e">
        <f>IF(ISNA(IF(VLOOKUP($BG221,$BG$24:$BG220,1,FALSE)=BG221,BG221+BI221,0)),BG221,(IF(VLOOKUP($BG221,$BG$24:$BG220,1,FALSE)=BG221,BG221+BI221,0)))</f>
        <v>#N/A</v>
      </c>
      <c r="BI221" s="23">
        <f>COUNTIF($BG$24:$BG221,BG221)-1</f>
        <v>146</v>
      </c>
      <c r="BJ221"/>
      <c r="BK221"/>
      <c r="BL221"/>
    </row>
    <row r="222" spans="26:64" hidden="1">
      <c r="Z222" s="23" t="str">
        <f t="shared" si="30"/>
        <v>Health &amp; community care10 NHS costs/charges</v>
      </c>
      <c r="AA222" s="130" t="e">
        <f t="shared" si="31"/>
        <v>#N/A</v>
      </c>
      <c r="AB222" s="130" t="e">
        <f>IF(ISNA(IF(VLOOKUP($AA222,$AA$47:$AA221,1,FALSE)=AA222,AA222+AF222,0)),AA222,(IF(VLOOKUP($AA222,$AA$46:$AA222,1,FALSE)=AA222,AA222+AF222,0)))</f>
        <v>#N/A</v>
      </c>
      <c r="AC222" s="23" t="str" vm="14">
        <f t="shared" si="33"/>
        <v>Health &amp; community care</v>
      </c>
      <c r="AD222" s="23" t="str" vm="454">
        <f>CUBEMEMBER("cabcrmsqlrs1 CABReportingCubes Local Advice Event",{"[AIC Outcome].[AIC Part1].&amp;[Health &amp; community care]","[AIC Outcome].[AIC Part2].&amp;[Health &amp; community care]&amp;[10 NHS costs/charges]"})</f>
        <v>10 NHS costs/charges</v>
      </c>
      <c r="AE222" s="141" vm="1105">
        <f t="shared" si="29"/>
        <v>26</v>
      </c>
      <c r="AF222" s="23">
        <f>COUNTIF($AA$47:$AA222,$AA222)-1</f>
        <v>138</v>
      </c>
      <c r="AP222"/>
      <c r="AQ222"/>
      <c r="AR222"/>
      <c r="BG222" s="130" t="e">
        <f t="shared" si="34"/>
        <v>#N/A</v>
      </c>
      <c r="BH222" s="130" t="e">
        <f>IF(ISNA(IF(VLOOKUP($BG222,$BG$24:$BG221,1,FALSE)=BG222,BG222+BI222,0)),BG222,(IF(VLOOKUP($BG222,$BG$24:$BG221,1,FALSE)=BG222,BG222+BI222,0)))</f>
        <v>#N/A</v>
      </c>
      <c r="BI222" s="23">
        <f>COUNTIF($BG$24:$BG222,BG222)-1</f>
        <v>147</v>
      </c>
      <c r="BJ222"/>
      <c r="BK222"/>
      <c r="BL222"/>
    </row>
    <row r="223" spans="26:64" hidden="1">
      <c r="Z223" s="23" t="str">
        <f t="shared" si="30"/>
        <v>Health &amp; community care80 Health Watch - General</v>
      </c>
      <c r="AA223" s="130" t="e">
        <f t="shared" si="31"/>
        <v>#N/A</v>
      </c>
      <c r="AB223" s="130" t="e">
        <f>IF(ISNA(IF(VLOOKUP($AA223,$AA$47:$AA222,1,FALSE)=AA223,AA223+AF223,0)),AA223,(IF(VLOOKUP($AA223,$AA$46:$AA223,1,FALSE)=AA223,AA223+AF223,0)))</f>
        <v>#N/A</v>
      </c>
      <c r="AC223" s="23" t="str" vm="14">
        <f t="shared" si="33"/>
        <v>Health &amp; community care</v>
      </c>
      <c r="AD223" s="23" t="str" vm="375">
        <f>CUBEMEMBER("cabcrmsqlrs1 CABReportingCubes Local Advice Event",{"[AIC Outcome].[AIC Part1].&amp;[Health &amp; community care]","[AIC Outcome].[AIC Part2].&amp;[Health &amp; community care]&amp;[80 Health Watch - General]"})</f>
        <v>80 Health Watch - General</v>
      </c>
      <c r="AE223" s="141" vm="1128">
        <f t="shared" si="29"/>
        <v>1</v>
      </c>
      <c r="AF223" s="23">
        <f>COUNTIF($AA$47:$AA223,$AA223)-1</f>
        <v>139</v>
      </c>
      <c r="AP223"/>
      <c r="AQ223"/>
      <c r="AR223"/>
      <c r="BG223" s="130" t="e">
        <f t="shared" si="34"/>
        <v>#N/A</v>
      </c>
      <c r="BH223" s="130" t="e">
        <f>IF(ISNA(IF(VLOOKUP($BG223,$BG$24:$BG222,1,FALSE)=BG223,BG223+BI223,0)),BG223,(IF(VLOOKUP($BG223,$BG$24:$BG222,1,FALSE)=BG223,BG223+BI223,0)))</f>
        <v>#N/A</v>
      </c>
      <c r="BI223" s="23">
        <f>COUNTIF($BG$24:$BG223,BG223)-1</f>
        <v>148</v>
      </c>
      <c r="BJ223"/>
      <c r="BK223"/>
      <c r="BL223"/>
    </row>
    <row r="224" spans="26:64" hidden="1">
      <c r="Z224" s="23" t="str">
        <f t="shared" si="30"/>
        <v>Health &amp; community care81 Health Watch - Hospital Service</v>
      </c>
      <c r="AA224" s="130" t="e">
        <f t="shared" si="31"/>
        <v>#N/A</v>
      </c>
      <c r="AB224" s="130" t="e">
        <f>IF(ISNA(IF(VLOOKUP($AA224,$AA$47:$AA223,1,FALSE)=AA224,AA224+AF224,0)),AA224,(IF(VLOOKUP($AA224,$AA$46:$AA224,1,FALSE)=AA224,AA224+AF224,0)))</f>
        <v>#N/A</v>
      </c>
      <c r="AC224" s="23" t="str" vm="14">
        <f t="shared" si="33"/>
        <v>Health &amp; community care</v>
      </c>
      <c r="AD224" s="23" t="str" vm="453">
        <f>CUBEMEMBER("cabcrmsqlrs1 CABReportingCubes Local Advice Event",{"[AIC Outcome].[AIC Part1].&amp;[Health &amp; community care]","[AIC Outcome].[AIC Part2].&amp;[Health &amp; community care]&amp;[81 Health Watch - Hospital Service]"})</f>
        <v>81 Health Watch - Hospital Service</v>
      </c>
      <c r="AE224" s="141" vm="1125">
        <f t="shared" si="29"/>
        <v>1</v>
      </c>
      <c r="AF224" s="23">
        <f>COUNTIF($AA$47:$AA224,$AA224)-1</f>
        <v>140</v>
      </c>
      <c r="AP224"/>
      <c r="AQ224"/>
      <c r="AR224"/>
      <c r="BG224" s="130" t="e">
        <f t="shared" si="34"/>
        <v>#N/A</v>
      </c>
      <c r="BH224" s="130" t="e">
        <f>IF(ISNA(IF(VLOOKUP($BG224,$BG$24:$BG223,1,FALSE)=BG224,BG224+BI224,0)),BG224,(IF(VLOOKUP($BG224,$BG$24:$BG223,1,FALSE)=BG224,BG224+BI224,0)))</f>
        <v>#N/A</v>
      </c>
      <c r="BI224" s="23">
        <f>COUNTIF($BG$24:$BG224,BG224)-1</f>
        <v>149</v>
      </c>
      <c r="BJ224"/>
      <c r="BK224"/>
      <c r="BL224"/>
    </row>
    <row r="225" spans="26:64" hidden="1">
      <c r="Z225" s="23" t="str">
        <f t="shared" si="30"/>
        <v>Health &amp; community care82 Health Watch - Social Care Service</v>
      </c>
      <c r="AA225" s="130" t="e">
        <f t="shared" si="31"/>
        <v>#N/A</v>
      </c>
      <c r="AB225" s="130" t="e">
        <f>IF(ISNA(IF(VLOOKUP($AA225,$AA$47:$AA224,1,FALSE)=AA225,AA225+AF225,0)),AA225,(IF(VLOOKUP($AA225,$AA$46:$AA225,1,FALSE)=AA225,AA225+AF225,0)))</f>
        <v>#N/A</v>
      </c>
      <c r="AC225" s="23" t="str" vm="14">
        <f t="shared" si="33"/>
        <v>Health &amp; community care</v>
      </c>
      <c r="AD225" s="23" t="str" vm="374">
        <f>CUBEMEMBER("cabcrmsqlrs1 CABReportingCubes Local Advice Event",{"[AIC Outcome].[AIC Part1].&amp;[Health &amp; community care]","[AIC Outcome].[AIC Part2].&amp;[Health &amp; community care]&amp;[82 Health Watch - Social Care Service]"})</f>
        <v>82 Health Watch - Social Care Service</v>
      </c>
      <c r="AE225" s="141" vm="1048">
        <f t="shared" si="29"/>
        <v>9</v>
      </c>
      <c r="AF225" s="23">
        <f>COUNTIF($AA$47:$AA225,$AA225)-1</f>
        <v>141</v>
      </c>
      <c r="AP225"/>
      <c r="AQ225"/>
      <c r="AR225"/>
      <c r="BG225" s="130" t="e">
        <f t="shared" si="34"/>
        <v>#N/A</v>
      </c>
      <c r="BH225" s="130" t="e">
        <f>IF(ISNA(IF(VLOOKUP($BG225,$BG$24:$BG224,1,FALSE)=BG225,BG225+BI225,0)),BG225,(IF(VLOOKUP($BG225,$BG$24:$BG224,1,FALSE)=BG225,BG225+BI225,0)))</f>
        <v>#N/A</v>
      </c>
      <c r="BI225" s="23">
        <f>COUNTIF($BG$24:$BG225,BG225)-1</f>
        <v>150</v>
      </c>
      <c r="BJ225"/>
      <c r="BK225"/>
      <c r="BL225"/>
    </row>
    <row r="226" spans="26:64" hidden="1">
      <c r="Z226" s="23" t="str">
        <f t="shared" si="30"/>
        <v>Health &amp; community care83 Health Watch - Other Service</v>
      </c>
      <c r="AA226" s="130" t="e">
        <f t="shared" si="31"/>
        <v>#N/A</v>
      </c>
      <c r="AB226" s="130" t="e">
        <f>IF(ISNA(IF(VLOOKUP($AA226,$AA$47:$AA225,1,FALSE)=AA226,AA226+AF226,0)),AA226,(IF(VLOOKUP($AA226,$AA$46:$AA226,1,FALSE)=AA226,AA226+AF226,0)))</f>
        <v>#N/A</v>
      </c>
      <c r="AC226" s="23" t="str" vm="14">
        <f t="shared" si="33"/>
        <v>Health &amp; community care</v>
      </c>
      <c r="AD226" s="23" t="str" vm="452">
        <f>CUBEMEMBER("cabcrmsqlrs1 CABReportingCubes Local Advice Event",{"[AIC Outcome].[AIC Part1].&amp;[Health &amp; community care]","[AIC Outcome].[AIC Part2].&amp;[Health &amp; community care]&amp;[83 Health Watch - Other Service]"})</f>
        <v>83 Health Watch - Other Service</v>
      </c>
      <c r="AE226" s="141" vm="1052">
        <f t="shared" si="29"/>
        <v>1</v>
      </c>
      <c r="AF226" s="23">
        <f>COUNTIF($AA$47:$AA226,$AA226)-1</f>
        <v>142</v>
      </c>
      <c r="AP226"/>
      <c r="AQ226"/>
      <c r="AR226"/>
      <c r="BG226" s="130" t="e">
        <f t="shared" si="34"/>
        <v>#N/A</v>
      </c>
      <c r="BH226" s="130" t="e">
        <f>IF(ISNA(IF(VLOOKUP($BG226,$BG$24:$BG225,1,FALSE)=BG226,BG226+BI226,0)),BG226,(IF(VLOOKUP($BG226,$BG$24:$BG225,1,FALSE)=BG226,BG226+BI226,0)))</f>
        <v>#N/A</v>
      </c>
      <c r="BI226" s="23">
        <f>COUNTIF($BG$24:$BG226,BG226)-1</f>
        <v>151</v>
      </c>
      <c r="BJ226"/>
      <c r="BK226"/>
      <c r="BL226"/>
    </row>
    <row r="227" spans="26:64" hidden="1">
      <c r="Z227" s="23" t="str">
        <f t="shared" si="30"/>
        <v>Health &amp; community care84 Health Watch - Childrens Services</v>
      </c>
      <c r="AA227" s="130" t="e">
        <f t="shared" si="31"/>
        <v>#N/A</v>
      </c>
      <c r="AB227" s="130" t="e">
        <f>IF(ISNA(IF(VLOOKUP($AA227,$AA$47:$AA226,1,FALSE)=AA227,AA227+AF227,0)),AA227,(IF(VLOOKUP($AA227,$AA$46:$AA227,1,FALSE)=AA227,AA227+AF227,0)))</f>
        <v>#N/A</v>
      </c>
      <c r="AC227" s="23" t="str" vm="14">
        <f t="shared" si="33"/>
        <v>Health &amp; community care</v>
      </c>
      <c r="AD227" s="23" t="str" vm="373">
        <f>CUBEMEMBER("cabcrmsqlrs1 CABReportingCubes Local Advice Event",{"[AIC Outcome].[AIC Part1].&amp;[Health &amp; community care]","[AIC Outcome].[AIC Part2].&amp;[Health &amp; community care]&amp;[84 Health Watch - Childrens Services]"})</f>
        <v>84 Health Watch - Childrens Services</v>
      </c>
      <c r="AE227" s="141" vm="1203">
        <f t="shared" si="29"/>
        <v>5</v>
      </c>
      <c r="AF227" s="23">
        <f>COUNTIF($AA$47:$AA227,$AA227)-1</f>
        <v>143</v>
      </c>
      <c r="AP227"/>
      <c r="AQ227"/>
      <c r="AR227"/>
      <c r="BG227" s="130" t="e">
        <f t="shared" si="34"/>
        <v>#N/A</v>
      </c>
      <c r="BH227" s="130" t="e">
        <f>IF(ISNA(IF(VLOOKUP($BG227,$BG$24:$BG226,1,FALSE)=BG227,BG227+BI227,0)),BG227,(IF(VLOOKUP($BG227,$BG$24:$BG226,1,FALSE)=BG227,BG227+BI227,0)))</f>
        <v>#N/A</v>
      </c>
      <c r="BI227" s="23">
        <f>COUNTIF($BG$24:$BG227,BG227)-1</f>
        <v>152</v>
      </c>
      <c r="BJ227"/>
      <c r="BK227"/>
      <c r="BL227"/>
    </row>
    <row r="228" spans="26:64" hidden="1">
      <c r="Z228" s="23" t="str">
        <f t="shared" si="30"/>
        <v>Health &amp; community care99 Other health &amp; community care issues</v>
      </c>
      <c r="AA228" s="130" t="e">
        <f t="shared" si="31"/>
        <v>#N/A</v>
      </c>
      <c r="AB228" s="130" t="e">
        <f>IF(ISNA(IF(VLOOKUP($AA228,$AA$47:$AA227,1,FALSE)=AA228,AA228+AF228,0)),AA228,(IF(VLOOKUP($AA228,$AA$46:$AA228,1,FALSE)=AA228,AA228+AF228,0)))</f>
        <v>#N/A</v>
      </c>
      <c r="AC228" s="23" t="str" vm="14">
        <f t="shared" si="33"/>
        <v>Health &amp; community care</v>
      </c>
      <c r="AD228" s="23" t="str" vm="451">
        <f>CUBEMEMBER("cabcrmsqlrs1 CABReportingCubes Local Advice Event",{"[AIC Outcome].[AIC Part1].&amp;[Health &amp; community care]","[AIC Outcome].[AIC Part2].&amp;[Health &amp; community care]&amp;[99 Other health &amp; community care issues]"})</f>
        <v>99 Other health &amp; community care issues</v>
      </c>
      <c r="AE228" s="141" vm="1340">
        <f t="shared" si="29"/>
        <v>25</v>
      </c>
      <c r="AF228" s="23">
        <f>COUNTIF($AA$47:$AA228,$AA228)-1</f>
        <v>144</v>
      </c>
      <c r="AP228"/>
      <c r="AQ228"/>
      <c r="AR228"/>
      <c r="BG228" s="130" t="e">
        <f t="shared" si="34"/>
        <v>#N/A</v>
      </c>
      <c r="BH228" s="130" t="e">
        <f>IF(ISNA(IF(VLOOKUP($BG228,$BG$24:$BG227,1,FALSE)=BG228,BG228+BI228,0)),BG228,(IF(VLOOKUP($BG228,$BG$24:$BG227,1,FALSE)=BG228,BG228+BI228,0)))</f>
        <v>#N/A</v>
      </c>
      <c r="BI228" s="23">
        <f>COUNTIF($BG$24:$BG228,BG228)-1</f>
        <v>153</v>
      </c>
      <c r="BJ228"/>
      <c r="BK228"/>
      <c r="BL228"/>
    </row>
    <row r="229" spans="26:64" hidden="1">
      <c r="Z229" s="23" t="str">
        <f t="shared" si="30"/>
        <v>Health &amp; community careNot recorded/not applicable</v>
      </c>
      <c r="AA229" s="130" t="e">
        <f t="shared" si="31"/>
        <v>#N/A</v>
      </c>
      <c r="AB229" s="130" t="e">
        <f>IF(ISNA(IF(VLOOKUP($AA229,$AA$47:$AA228,1,FALSE)=AA229,AA229+AF229,0)),AA229,(IF(VLOOKUP($AA229,$AA$46:$AA229,1,FALSE)=AA229,AA229+AF229,0)))</f>
        <v>#N/A</v>
      </c>
      <c r="AC229" s="23" t="str" vm="14">
        <f t="shared" si="33"/>
        <v>Health &amp; community care</v>
      </c>
      <c r="AD229" s="23" t="str" vm="372">
        <f>CUBEMEMBER("cabcrmsqlrs1 CABReportingCubes Local Advice Event",{"[AIC Outcome].[AIC Part1].&amp;[Health &amp; community care]","[AIC Outcome].[AIC Part2].&amp;[Health &amp; community care]&amp;[Not recorded/not applicable]"})</f>
        <v>Not recorded/not applicable</v>
      </c>
      <c r="AE229" s="141" vm="1075">
        <f t="shared" si="29"/>
        <v>24</v>
      </c>
      <c r="AF229" s="23">
        <f>COUNTIF($AA$47:$AA229,$AA229)-1</f>
        <v>145</v>
      </c>
      <c r="AP229"/>
      <c r="AQ229"/>
      <c r="AR229"/>
      <c r="BG229" s="130" t="e">
        <f t="shared" si="34"/>
        <v>#N/A</v>
      </c>
      <c r="BH229" s="130" t="e">
        <f>IF(ISNA(IF(VLOOKUP($BG229,$BG$24:$BG228,1,FALSE)=BG229,BG229+BI229,0)),BG229,(IF(VLOOKUP($BG229,$BG$24:$BG228,1,FALSE)=BG229,BG229+BI229,0)))</f>
        <v>#N/A</v>
      </c>
      <c r="BI229" s="23">
        <f>COUNTIF($BG$24:$BG229,BG229)-1</f>
        <v>154</v>
      </c>
      <c r="BJ229"/>
      <c r="BK229"/>
      <c r="BL229"/>
    </row>
    <row r="230" spans="26:64" hidden="1">
      <c r="Z230" s="23" t="str">
        <f t="shared" si="30"/>
        <v>Housing01 Discrimination</v>
      </c>
      <c r="AA230" s="130" t="e">
        <f t="shared" si="31"/>
        <v>#VALUE!</v>
      </c>
      <c r="AB230" s="130" t="e">
        <f>IF(ISNA(IF(VLOOKUP($AA230,$AA$47:$AA229,1,FALSE)=AA230,AA230+AF230,0)),AA230,(IF(VLOOKUP($AA230,$AA$46:$AA230,1,FALSE)=AA230,AA230+AF230,0)))</f>
        <v>#VALUE!</v>
      </c>
      <c r="AC230" s="23" t="str" vm="5">
        <f t="shared" ref="AC230:AC249" si="35">CUBEMEMBER("cabcrmsqlrs1 CABReportingCubes Local Advice Event","[AIC Outcome].[AIC Part1].&amp;[Housing]")</f>
        <v>Housing</v>
      </c>
      <c r="AD230" s="23" t="str" vm="450">
        <f>CUBEMEMBER("cabcrmsqlrs1 CABReportingCubes Local Advice Event",{"[AIC Outcome].[AIC Part1].&amp;[Housing]","[AIC Outcome].[AIC Part2].&amp;[Housing]&amp;[01 Discrimination]"})</f>
        <v>01 Discrimination</v>
      </c>
      <c r="AE230" s="141" t="str" vm="1217">
        <f t="shared" si="29"/>
        <v/>
      </c>
      <c r="AF230" s="23">
        <f>COUNTIF($AA$47:$AA230,$AA230)-1</f>
        <v>37</v>
      </c>
      <c r="AP230"/>
      <c r="AQ230"/>
      <c r="AR230"/>
      <c r="BG230" s="130" t="e">
        <f t="shared" si="34"/>
        <v>#N/A</v>
      </c>
      <c r="BH230" s="130" t="e">
        <f>IF(ISNA(IF(VLOOKUP($BG230,$BG$24:$BG229,1,FALSE)=BG230,BG230+BI230,0)),BG230,(IF(VLOOKUP($BG230,$BG$24:$BG229,1,FALSE)=BG230,BG230+BI230,0)))</f>
        <v>#N/A</v>
      </c>
      <c r="BI230" s="23">
        <f>COUNTIF($BG$24:$BG230,BG230)-1</f>
        <v>155</v>
      </c>
      <c r="BJ230"/>
      <c r="BK230"/>
      <c r="BL230"/>
    </row>
    <row r="231" spans="26:64" hidden="1">
      <c r="Z231" s="23" t="str">
        <f t="shared" si="30"/>
        <v>Housing02 Actual homelessness</v>
      </c>
      <c r="AA231" s="130" t="e">
        <f t="shared" si="31"/>
        <v>#N/A</v>
      </c>
      <c r="AB231" s="130" t="e">
        <f>IF(ISNA(IF(VLOOKUP($AA231,$AA$47:$AA230,1,FALSE)=AA231,AA231+AF231,0)),AA231,(IF(VLOOKUP($AA231,$AA$46:$AA231,1,FALSE)=AA231,AA231+AF231,0)))</f>
        <v>#N/A</v>
      </c>
      <c r="AC231" s="23" t="str" vm="5">
        <f t="shared" si="35"/>
        <v>Housing</v>
      </c>
      <c r="AD231" s="23" t="str" vm="371">
        <f>CUBEMEMBER("cabcrmsqlrs1 CABReportingCubes Local Advice Event",{"[AIC Outcome].[AIC Part1].&amp;[Housing]","[AIC Outcome].[AIC Part2].&amp;[Housing]&amp;[02 Actual homelessness]"})</f>
        <v>02 Actual homelessness</v>
      </c>
      <c r="AE231" s="141" vm="1021">
        <f t="shared" si="29"/>
        <v>40</v>
      </c>
      <c r="AF231" s="23">
        <f>COUNTIF($AA$47:$AA231,$AA231)-1</f>
        <v>146</v>
      </c>
      <c r="AP231"/>
      <c r="AQ231"/>
      <c r="AR231"/>
      <c r="BG231" s="130" t="e">
        <f t="shared" si="34"/>
        <v>#N/A</v>
      </c>
      <c r="BH231" s="130" t="e">
        <f>IF(ISNA(IF(VLOOKUP($BG231,$BG$24:$BG230,1,FALSE)=BG231,BG231+BI231,0)),BG231,(IF(VLOOKUP($BG231,$BG$24:$BG230,1,FALSE)=BG231,BG231+BI231,0)))</f>
        <v>#N/A</v>
      </c>
      <c r="BI231" s="23">
        <f>COUNTIF($BG$24:$BG231,BG231)-1</f>
        <v>156</v>
      </c>
      <c r="BJ231"/>
      <c r="BK231"/>
      <c r="BL231"/>
    </row>
    <row r="232" spans="26:64" hidden="1">
      <c r="Z232" s="23" t="str">
        <f t="shared" si="30"/>
        <v>Housing02 Fuel (gas, electricity, oil, coal etc.)</v>
      </c>
      <c r="AA232" s="130" t="e">
        <f t="shared" si="31"/>
        <v>#VALUE!</v>
      </c>
      <c r="AB232" s="130" t="e">
        <f>IF(ISNA(IF(VLOOKUP($AA232,$AA$47:$AA231,1,FALSE)=AA232,AA232+AF232,0)),AA232,(IF(VLOOKUP($AA232,$AA$46:$AA232,1,FALSE)=AA232,AA232+AF232,0)))</f>
        <v>#VALUE!</v>
      </c>
      <c r="AC232" s="23" t="str" vm="5">
        <f t="shared" si="35"/>
        <v>Housing</v>
      </c>
      <c r="AD232" s="23" t="str" vm="356">
        <f>CUBEMEMBER("cabcrmsqlrs1 CABReportingCubes Local Advice Event",{"[AIC Outcome].[AIC Part1].&amp;[Housing]","[AIC Outcome].[AIC Part2].&amp;[Housing]&amp;[02 Fuel (gas, electricity, oil, coal etc.)]"})</f>
        <v>02 Fuel (gas, electricity, oil, coal etc.)</v>
      </c>
      <c r="AE232" s="141" t="str" vm="1100">
        <f t="shared" si="29"/>
        <v/>
      </c>
      <c r="AF232" s="23">
        <f>COUNTIF($AA$47:$AA232,$AA232)-1</f>
        <v>38</v>
      </c>
      <c r="AP232"/>
      <c r="AQ232"/>
      <c r="AR232"/>
      <c r="BG232" s="130" t="e">
        <f t="shared" si="34"/>
        <v>#N/A</v>
      </c>
      <c r="BH232" s="130" t="e">
        <f>IF(ISNA(IF(VLOOKUP($BG232,$BG$24:$BG231,1,FALSE)=BG232,BG232+BI232,0)),BG232,(IF(VLOOKUP($BG232,$BG$24:$BG231,1,FALSE)=BG232,BG232+BI232,0)))</f>
        <v>#N/A</v>
      </c>
      <c r="BI232" s="23">
        <f>COUNTIF($BG$24:$BG232,BG232)-1</f>
        <v>157</v>
      </c>
      <c r="BJ232"/>
      <c r="BK232"/>
      <c r="BL232"/>
    </row>
    <row r="233" spans="26:64" hidden="1">
      <c r="Z233" s="23" t="e">
        <f t="shared" si="30"/>
        <v>#N/A</v>
      </c>
      <c r="AA233" s="130" t="e">
        <f t="shared" si="31"/>
        <v>#N/A</v>
      </c>
      <c r="AB233" s="130" t="e">
        <f>IF(ISNA(IF(VLOOKUP($AA233,$AA$47:$AA232,1,FALSE)=AA233,AA233+AF233,0)),AA233,(IF(VLOOKUP($AA233,$AA$46:$AA233,1,FALSE)=AA233,AA233+AF233,0)))</f>
        <v>#N/A</v>
      </c>
      <c r="AC233" s="23" t="str" vm="5">
        <f t="shared" si="35"/>
        <v>Housing</v>
      </c>
      <c r="AD233" s="23" t="e">
        <f>CUBEMEMBER("cabcrmsqlrs1 CABReportingCubes Local Advice Event",{"[AIC Outcome].[AIC Part1].&amp;[Housing]","[AIC Outcome].[AIC Part2].&amp;[Housing]&amp;[02 Marriage, cohabitation, civil partnership]"})</f>
        <v>#N/A</v>
      </c>
      <c r="AE233" s="141" t="e">
        <f t="shared" si="29"/>
        <v>#N/A</v>
      </c>
      <c r="AF233" s="23">
        <f>COUNTIF($AA$47:$AA233,$AA233)-1</f>
        <v>147</v>
      </c>
      <c r="AP233"/>
      <c r="AQ233"/>
      <c r="AR233"/>
      <c r="BG233" s="130" t="e">
        <f t="shared" si="34"/>
        <v>#N/A</v>
      </c>
      <c r="BH233" s="130" t="e">
        <f>IF(ISNA(IF(VLOOKUP($BG233,$BG$24:$BG232,1,FALSE)=BG233,BG233+BI233,0)),BG233,(IF(VLOOKUP($BG233,$BG$24:$BG232,1,FALSE)=BG233,BG233+BI233,0)))</f>
        <v>#N/A</v>
      </c>
      <c r="BI233" s="23">
        <f>COUNTIF($BG$24:$BG233,BG233)-1</f>
        <v>158</v>
      </c>
      <c r="BJ233"/>
      <c r="BK233"/>
      <c r="BL233"/>
    </row>
    <row r="234" spans="26:64" hidden="1">
      <c r="Z234" s="23" t="str">
        <f t="shared" si="30"/>
        <v>Housing03 Building repairs &amp; improvements</v>
      </c>
      <c r="AA234" s="130" t="e">
        <f t="shared" si="31"/>
        <v>#VALUE!</v>
      </c>
      <c r="AB234" s="130" t="e">
        <f>IF(ISNA(IF(VLOOKUP($AA234,$AA$47:$AA233,1,FALSE)=AA234,AA234+AF234,0)),AA234,(IF(VLOOKUP($AA234,$AA$46:$AA234,1,FALSE)=AA234,AA234+AF234,0)))</f>
        <v>#VALUE!</v>
      </c>
      <c r="AC234" s="23" t="str" vm="5">
        <f t="shared" si="35"/>
        <v>Housing</v>
      </c>
      <c r="AD234" s="23" t="str" vm="437">
        <f>CUBEMEMBER("cabcrmsqlrs1 CABReportingCubes Local Advice Event",{"[AIC Outcome].[AIC Part1].&amp;[Housing]","[AIC Outcome].[AIC Part2].&amp;[Housing]&amp;[03 Building repairs &amp; improvements]"})</f>
        <v>03 Building repairs &amp; improvements</v>
      </c>
      <c r="AE234" s="141" t="str" vm="1322">
        <f t="shared" si="29"/>
        <v/>
      </c>
      <c r="AF234" s="23">
        <f>COUNTIF($AA$47:$AA234,$AA234)-1</f>
        <v>39</v>
      </c>
      <c r="AP234"/>
      <c r="AQ234"/>
      <c r="AR234"/>
      <c r="BG234" s="130" t="e">
        <f t="shared" si="34"/>
        <v>#N/A</v>
      </c>
      <c r="BH234" s="130" t="e">
        <f>IF(ISNA(IF(VLOOKUP($BG234,$BG$24:$BG233,1,FALSE)=BG234,BG234+BI234,0)),BG234,(IF(VLOOKUP($BG234,$BG$24:$BG233,1,FALSE)=BG234,BG234+BI234,0)))</f>
        <v>#N/A</v>
      </c>
      <c r="BI234" s="23">
        <f>COUNTIF($BG$24:$BG234,BG234)-1</f>
        <v>159</v>
      </c>
      <c r="BJ234"/>
      <c r="BK234"/>
      <c r="BL234"/>
    </row>
    <row r="235" spans="26:64" hidden="1">
      <c r="Z235" s="23" t="str">
        <f t="shared" si="30"/>
        <v>Housing03 County &amp; High Court proceedings</v>
      </c>
      <c r="AA235" s="130" t="e">
        <f t="shared" si="31"/>
        <v>#VALUE!</v>
      </c>
      <c r="AB235" s="130" t="e">
        <f>IF(ISNA(IF(VLOOKUP($AA235,$AA$47:$AA234,1,FALSE)=AA235,AA235+AF235,0)),AA235,(IF(VLOOKUP($AA235,$AA$46:$AA235,1,FALSE)=AA235,AA235+AF235,0)))</f>
        <v>#VALUE!</v>
      </c>
      <c r="AC235" s="23" t="str" vm="5">
        <f t="shared" si="35"/>
        <v>Housing</v>
      </c>
      <c r="AD235" s="23" t="str" vm="370">
        <f>CUBEMEMBER("cabcrmsqlrs1 CABReportingCubes Local Advice Event",{"[AIC Outcome].[AIC Part1].&amp;[Housing]","[AIC Outcome].[AIC Part2].&amp;[Housing]&amp;[03 County &amp; High Court proceedings]"})</f>
        <v>03 County &amp; High Court proceedings</v>
      </c>
      <c r="AE235" s="141" t="str" vm="1261">
        <f t="shared" si="29"/>
        <v/>
      </c>
      <c r="AF235" s="23">
        <f>COUNTIF($AA$47:$AA235,$AA235)-1</f>
        <v>40</v>
      </c>
      <c r="AP235"/>
      <c r="AQ235"/>
      <c r="AR235"/>
      <c r="BG235" s="130" t="e">
        <f t="shared" si="34"/>
        <v>#N/A</v>
      </c>
      <c r="BH235" s="130" t="e">
        <f>IF(ISNA(IF(VLOOKUP($BG235,$BG$24:$BG234,1,FALSE)=BG235,BG235+BI235,0)),BG235,(IF(VLOOKUP($BG235,$BG$24:$BG234,1,FALSE)=BG235,BG235+BI235,0)))</f>
        <v>#N/A</v>
      </c>
      <c r="BI235" s="23">
        <f>COUNTIF($BG$24:$BG235,BG235)-1</f>
        <v>160</v>
      </c>
      <c r="BJ235"/>
      <c r="BK235"/>
      <c r="BL235"/>
    </row>
    <row r="236" spans="26:64" hidden="1">
      <c r="Z236" s="23" t="e">
        <f t="shared" si="30"/>
        <v>#N/A</v>
      </c>
      <c r="AA236" s="130" t="e">
        <f t="shared" si="31"/>
        <v>#N/A</v>
      </c>
      <c r="AB236" s="130" t="e">
        <f>IF(ISNA(IF(VLOOKUP($AA236,$AA$47:$AA235,1,FALSE)=AA236,AA236+AF236,0)),AA236,(IF(VLOOKUP($AA236,$AA$46:$AA236,1,FALSE)=AA236,AA236+AF236,0)))</f>
        <v>#N/A</v>
      </c>
      <c r="AC236" s="23" t="str" vm="5">
        <f t="shared" si="35"/>
        <v>Housing</v>
      </c>
      <c r="AD236" s="23" t="e">
        <f>CUBEMEMBER("cabcrmsqlrs1 CABReportingCubes Local Advice Event",{"[AIC Outcome].[AIC Part1].&amp;[Housing]","[AIC Outcome].[AIC Part2].&amp;[Housing]&amp;[03 Domestic violence]"})</f>
        <v>#N/A</v>
      </c>
      <c r="AE236" s="141" t="e">
        <f t="shared" si="29"/>
        <v>#N/A</v>
      </c>
      <c r="AF236" s="23">
        <f>COUNTIF($AA$47:$AA236,$AA236)-1</f>
        <v>148</v>
      </c>
      <c r="AP236"/>
      <c r="AQ236"/>
      <c r="AR236"/>
      <c r="BG236" s="130" t="e">
        <f t="shared" si="34"/>
        <v>#N/A</v>
      </c>
      <c r="BH236" s="130" t="e">
        <f>IF(ISNA(IF(VLOOKUP($BG236,$BG$24:$BG235,1,FALSE)=BG236,BG236+BI236,0)),BG236,(IF(VLOOKUP($BG236,$BG$24:$BG235,1,FALSE)=BG236,BG236+BI236,0)))</f>
        <v>#N/A</v>
      </c>
      <c r="BI236" s="23">
        <f>COUNTIF($BG$24:$BG236,BG236)-1</f>
        <v>161</v>
      </c>
      <c r="BJ236"/>
      <c r="BK236"/>
      <c r="BL236"/>
    </row>
    <row r="237" spans="26:64" hidden="1">
      <c r="Z237" s="23" t="str">
        <f t="shared" si="30"/>
        <v>Housing03 Threatened homelessness</v>
      </c>
      <c r="AA237" s="130" t="e">
        <f t="shared" si="31"/>
        <v>#N/A</v>
      </c>
      <c r="AB237" s="130" t="e">
        <f>IF(ISNA(IF(VLOOKUP($AA237,$AA$47:$AA236,1,FALSE)=AA237,AA237+AF237,0)),AA237,(IF(VLOOKUP($AA237,$AA$46:$AA237,1,FALSE)=AA237,AA237+AF237,0)))</f>
        <v>#N/A</v>
      </c>
      <c r="AC237" s="23" t="str" vm="5">
        <f t="shared" si="35"/>
        <v>Housing</v>
      </c>
      <c r="AD237" s="23" t="str" vm="449">
        <f>CUBEMEMBER("cabcrmsqlrs1 CABReportingCubes Local Advice Event",{"[AIC Outcome].[AIC Part1].&amp;[Housing]","[AIC Outcome].[AIC Part2].&amp;[Housing]&amp;[03 Threatened homelessness]"})</f>
        <v>03 Threatened homelessness</v>
      </c>
      <c r="AE237" s="141" vm="1107">
        <f t="shared" si="29"/>
        <v>68</v>
      </c>
      <c r="AF237" s="23">
        <f>COUNTIF($AA$47:$AA237,$AA237)-1</f>
        <v>149</v>
      </c>
      <c r="AP237"/>
      <c r="AQ237"/>
      <c r="AR237"/>
      <c r="BG237" s="130" t="e">
        <f t="shared" si="34"/>
        <v>#N/A</v>
      </c>
      <c r="BH237" s="130" t="e">
        <f>IF(ISNA(IF(VLOOKUP($BG237,$BG$24:$BG236,1,FALSE)=BG237,BG237+BI237,0)),BG237,(IF(VLOOKUP($BG237,$BG$24:$BG236,1,FALSE)=BG237,BG237+BI237,0)))</f>
        <v>#N/A</v>
      </c>
      <c r="BI237" s="23">
        <f>COUNTIF($BG$24:$BG237,BG237)-1</f>
        <v>162</v>
      </c>
      <c r="BJ237"/>
      <c r="BK237"/>
      <c r="BL237"/>
    </row>
    <row r="238" spans="26:64" hidden="1">
      <c r="Z238" s="23" t="e">
        <f t="shared" si="30"/>
        <v>#N/A</v>
      </c>
      <c r="AA238" s="130" t="e">
        <f t="shared" si="31"/>
        <v>#N/A</v>
      </c>
      <c r="AB238" s="130" t="e">
        <f>IF(ISNA(IF(VLOOKUP($AA238,$AA$47:$AA237,1,FALSE)=AA238,AA238+AF238,0)),AA238,(IF(VLOOKUP($AA238,$AA$46:$AA238,1,FALSE)=AA238,AA238+AF238,0)))</f>
        <v>#N/A</v>
      </c>
      <c r="AC238" s="23" t="str" vm="5">
        <f t="shared" si="35"/>
        <v>Housing</v>
      </c>
      <c r="AD238" s="23" t="e">
        <f>CUBEMEMBER("cabcrmsqlrs1 CABReportingCubes Local Advice Event",{"[AIC Outcome].[AIC Part1].&amp;[Housing]","[AIC Outcome].[AIC Part2].&amp;[Housing]&amp;[04 Family, dependents &amp; partners]"})</f>
        <v>#N/A</v>
      </c>
      <c r="AE238" s="141" t="e">
        <f t="shared" si="29"/>
        <v>#N/A</v>
      </c>
      <c r="AF238" s="23">
        <f>COUNTIF($AA$47:$AA238,$AA238)-1</f>
        <v>150</v>
      </c>
      <c r="AP238"/>
      <c r="AQ238"/>
      <c r="AR238"/>
      <c r="BG238" s="130" t="e">
        <f t="shared" si="34"/>
        <v>#N/A</v>
      </c>
      <c r="BH238" s="130" t="e">
        <f>IF(ISNA(IF(VLOOKUP($BG238,$BG$24:$BG237,1,FALSE)=BG238,BG238+BI238,0)),BG238,(IF(VLOOKUP($BG238,$BG$24:$BG237,1,FALSE)=BG238,BG238+BI238,0)))</f>
        <v>#N/A</v>
      </c>
      <c r="BI238" s="23">
        <f>COUNTIF($BG$24:$BG238,BG238)-1</f>
        <v>163</v>
      </c>
      <c r="BJ238"/>
      <c r="BK238"/>
      <c r="BL238"/>
    </row>
    <row r="239" spans="26:64" hidden="1">
      <c r="Z239" s="23" t="str">
        <f t="shared" si="30"/>
        <v>Housing04 LA homelessness service</v>
      </c>
      <c r="AA239" s="130" t="e">
        <f t="shared" si="31"/>
        <v>#N/A</v>
      </c>
      <c r="AB239" s="130" t="e">
        <f>IF(ISNA(IF(VLOOKUP($AA239,$AA$47:$AA238,1,FALSE)=AA239,AA239+AF239,0)),AA239,(IF(VLOOKUP($AA239,$AA$46:$AA239,1,FALSE)=AA239,AA239+AF239,0)))</f>
        <v>#N/A</v>
      </c>
      <c r="AC239" s="23" t="str" vm="5">
        <f t="shared" si="35"/>
        <v>Housing</v>
      </c>
      <c r="AD239" s="23" t="str" vm="369">
        <f>CUBEMEMBER("cabcrmsqlrs1 CABReportingCubes Local Advice Event",{"[AIC Outcome].[AIC Part1].&amp;[Housing]","[AIC Outcome].[AIC Part2].&amp;[Housing]&amp;[04 LA homelessness service]"})</f>
        <v>04 LA homelessness service</v>
      </c>
      <c r="AE239" s="141" vm="1242">
        <f t="shared" ref="AE239:AE302" si="36">CUBEVALUE("cabcrmsqlrs1 CABReportingCubes Local Advice Event",$AD$41,$AD$42,$AD$43,$AD$44,$AD239,AE$46)</f>
        <v>25</v>
      </c>
      <c r="AF239" s="23">
        <f>COUNTIF($AA$47:$AA239,$AA239)-1</f>
        <v>151</v>
      </c>
      <c r="AP239"/>
      <c r="AQ239"/>
      <c r="AR239"/>
      <c r="BG239" s="130" t="e">
        <f t="shared" si="34"/>
        <v>#N/A</v>
      </c>
      <c r="BH239" s="130" t="e">
        <f>IF(ISNA(IF(VLOOKUP($BG239,$BG$24:$BG238,1,FALSE)=BG239,BG239+BI239,0)),BG239,(IF(VLOOKUP($BG239,$BG$24:$BG238,1,FALSE)=BG239,BG239+BI239,0)))</f>
        <v>#N/A</v>
      </c>
      <c r="BI239" s="23">
        <f>COUNTIF($BG$24:$BG239,BG239)-1</f>
        <v>164</v>
      </c>
      <c r="BJ239"/>
      <c r="BK239"/>
      <c r="BL239"/>
    </row>
    <row r="240" spans="26:64" hidden="1">
      <c r="Z240" s="23" t="str">
        <f t="shared" ref="Z240:Z303" si="37">AC240&amp;AD240</f>
        <v>Housing05 Access to &amp; provision of accomm.</v>
      </c>
      <c r="AA240" s="130" t="e">
        <f t="shared" ref="AA240:AA303" si="38">RANK($AE240,$AE$32:$AE$338,0)</f>
        <v>#N/A</v>
      </c>
      <c r="AB240" s="130" t="e">
        <f>IF(ISNA(IF(VLOOKUP($AA240,$AA$47:$AA239,1,FALSE)=AA240,AA240+AF240,0)),AA240,(IF(VLOOKUP($AA240,$AA$46:$AA240,1,FALSE)=AA240,AA240+AF240,0)))</f>
        <v>#N/A</v>
      </c>
      <c r="AC240" s="23" t="str" vm="5">
        <f t="shared" si="35"/>
        <v>Housing</v>
      </c>
      <c r="AD240" s="23" t="str" vm="355">
        <f>CUBEMEMBER("cabcrmsqlrs1 CABReportingCubes Local Advice Event",{"[AIC Outcome].[AIC Part1].&amp;[Housing]","[AIC Outcome].[AIC Part2].&amp;[Housing]&amp;[05 Access to &amp; provision of accomm.]"})</f>
        <v>05 Access to &amp; provision of accomm.</v>
      </c>
      <c r="AE240" s="141" vm="1069">
        <f t="shared" si="36"/>
        <v>73</v>
      </c>
      <c r="AF240" s="23">
        <f>COUNTIF($AA$47:$AA240,$AA240)-1</f>
        <v>152</v>
      </c>
      <c r="AP240"/>
      <c r="AQ240"/>
      <c r="AR240"/>
      <c r="BG240" s="130" t="e">
        <f t="shared" si="34"/>
        <v>#N/A</v>
      </c>
      <c r="BH240" s="130" t="e">
        <f>IF(ISNA(IF(VLOOKUP($BG240,$BG$24:$BG239,1,FALSE)=BG240,BG240+BI240,0)),BG240,(IF(VLOOKUP($BG240,$BG$24:$BG239,1,FALSE)=BG240,BG240+BI240,0)))</f>
        <v>#N/A</v>
      </c>
      <c r="BI240" s="23">
        <f>COUNTIF($BG$24:$BG240,BG240)-1</f>
        <v>165</v>
      </c>
      <c r="BJ240"/>
      <c r="BK240"/>
      <c r="BL240"/>
    </row>
    <row r="241" spans="26:64" hidden="1">
      <c r="Z241" s="23" t="e">
        <f t="shared" si="37"/>
        <v>#N/A</v>
      </c>
      <c r="AA241" s="130" t="e">
        <f t="shared" si="38"/>
        <v>#N/A</v>
      </c>
      <c r="AB241" s="130" t="e">
        <f>IF(ISNA(IF(VLOOKUP($AA241,$AA$47:$AA240,1,FALSE)=AA241,AA241+AF241,0)),AA241,(IF(VLOOKUP($AA241,$AA$46:$AA241,1,FALSE)=AA241,AA241+AF241,0)))</f>
        <v>#N/A</v>
      </c>
      <c r="AC241" s="23" t="str" vm="5">
        <f t="shared" si="35"/>
        <v>Housing</v>
      </c>
      <c r="AD241" s="23" t="e">
        <f>CUBEMEMBER("cabcrmsqlrs1 CABReportingCubes Local Advice Event",{"[AIC Outcome].[AIC Part1].&amp;[Housing]","[AIC Outcome].[AIC Part2].&amp;[Housing]&amp;[05 Social Fund Loans-Budgeting]"})</f>
        <v>#N/A</v>
      </c>
      <c r="AE241" s="141" t="e">
        <f t="shared" si="36"/>
        <v>#N/A</v>
      </c>
      <c r="AF241" s="23">
        <f>COUNTIF($AA$47:$AA241,$AA241)-1</f>
        <v>153</v>
      </c>
      <c r="AP241"/>
      <c r="AQ241"/>
      <c r="AR241"/>
      <c r="BG241" s="130" t="e">
        <f t="shared" si="34"/>
        <v>#N/A</v>
      </c>
      <c r="BH241" s="130" t="e">
        <f>IF(ISNA(IF(VLOOKUP($BG241,$BG$24:$BG240,1,FALSE)=BG241,BG241+BI241,0)),BG241,(IF(VLOOKUP($BG241,$BG$24:$BG240,1,FALSE)=BG241,BG241+BI241,0)))</f>
        <v>#N/A</v>
      </c>
      <c r="BI241" s="23">
        <f>COUNTIF($BG$24:$BG241,BG241)-1</f>
        <v>166</v>
      </c>
      <c r="BJ241"/>
      <c r="BK241"/>
      <c r="BL241"/>
    </row>
    <row r="242" spans="26:64" hidden="1">
      <c r="Z242" s="23" t="str">
        <f t="shared" si="37"/>
        <v>Housing06 Local Authority housing</v>
      </c>
      <c r="AA242" s="130" t="e">
        <f t="shared" si="38"/>
        <v>#N/A</v>
      </c>
      <c r="AB242" s="130" t="e">
        <f>IF(ISNA(IF(VLOOKUP($AA242,$AA$47:$AA241,1,FALSE)=AA242,AA242+AF242,0)),AA242,(IF(VLOOKUP($AA242,$AA$46:$AA242,1,FALSE)=AA242,AA242+AF242,0)))</f>
        <v>#N/A</v>
      </c>
      <c r="AC242" s="23" t="str" vm="5">
        <f t="shared" si="35"/>
        <v>Housing</v>
      </c>
      <c r="AD242" s="23" t="str" vm="436">
        <f>CUBEMEMBER("cabcrmsqlrs1 CABReportingCubes Local Advice Event",{"[AIC Outcome].[AIC Part1].&amp;[Housing]","[AIC Outcome].[AIC Part2].&amp;[Housing]&amp;[06 Local Authority housing]"})</f>
        <v>06 Local Authority housing</v>
      </c>
      <c r="AE242" s="141" vm="1096">
        <f t="shared" si="36"/>
        <v>191</v>
      </c>
      <c r="AF242" s="23">
        <f>COUNTIF($AA$47:$AA242,$AA242)-1</f>
        <v>154</v>
      </c>
      <c r="AP242"/>
      <c r="AQ242"/>
      <c r="AR242"/>
      <c r="BG242" s="130" t="e">
        <f t="shared" si="34"/>
        <v>#N/A</v>
      </c>
      <c r="BH242" s="130" t="e">
        <f>IF(ISNA(IF(VLOOKUP($BG242,$BG$24:$BG241,1,FALSE)=BG242,BG242+BI242,0)),BG242,(IF(VLOOKUP($BG242,$BG$24:$BG241,1,FALSE)=BG242,BG242+BI242,0)))</f>
        <v>#N/A</v>
      </c>
      <c r="BI242" s="23">
        <f>COUNTIF($BG$24:$BG242,BG242)-1</f>
        <v>167</v>
      </c>
      <c r="BJ242"/>
      <c r="BK242"/>
      <c r="BL242"/>
    </row>
    <row r="243" spans="26:64" hidden="1">
      <c r="Z243" s="23" t="str">
        <f t="shared" si="37"/>
        <v>Housing07 Housing association property</v>
      </c>
      <c r="AA243" s="130" t="e">
        <f t="shared" si="38"/>
        <v>#N/A</v>
      </c>
      <c r="AB243" s="130" t="e">
        <f>IF(ISNA(IF(VLOOKUP($AA243,$AA$47:$AA242,1,FALSE)=AA243,AA243+AF243,0)),AA243,(IF(VLOOKUP($AA243,$AA$46:$AA243,1,FALSE)=AA243,AA243+AF243,0)))</f>
        <v>#N/A</v>
      </c>
      <c r="AC243" s="23" t="str" vm="5">
        <f t="shared" si="35"/>
        <v>Housing</v>
      </c>
      <c r="AD243" s="23" t="str" vm="368">
        <f>CUBEMEMBER("cabcrmsqlrs1 CABReportingCubes Local Advice Event",{"[AIC Outcome].[AIC Part1].&amp;[Housing]","[AIC Outcome].[AIC Part2].&amp;[Housing]&amp;[07 Housing association property]"})</f>
        <v>07 Housing association property</v>
      </c>
      <c r="AE243" s="141" vm="1092">
        <f t="shared" si="36"/>
        <v>41</v>
      </c>
      <c r="AF243" s="23">
        <f>COUNTIF($AA$47:$AA243,$AA243)-1</f>
        <v>155</v>
      </c>
      <c r="AP243"/>
      <c r="AQ243"/>
      <c r="AR243"/>
      <c r="BG243" s="130" t="e">
        <f t="shared" si="34"/>
        <v>#N/A</v>
      </c>
      <c r="BH243" s="130" t="e">
        <f>IF(ISNA(IF(VLOOKUP($BG243,$BG$24:$BG242,1,FALSE)=BG243,BG243+BI243,0)),BG243,(IF(VLOOKUP($BG243,$BG$24:$BG242,1,FALSE)=BG243,BG243+BI243,0)))</f>
        <v>#N/A</v>
      </c>
      <c r="BI243" s="23">
        <f>COUNTIF($BG$24:$BG243,BG243)-1</f>
        <v>168</v>
      </c>
      <c r="BJ243"/>
      <c r="BK243"/>
      <c r="BL243"/>
    </row>
    <row r="244" spans="26:64" hidden="1">
      <c r="Z244" s="23" t="str">
        <f t="shared" si="37"/>
        <v>Housing08 Private sector rented property</v>
      </c>
      <c r="AA244" s="130" t="e">
        <f t="shared" si="38"/>
        <v>#N/A</v>
      </c>
      <c r="AB244" s="130" t="e">
        <f>IF(ISNA(IF(VLOOKUP($AA244,$AA$47:$AA243,1,FALSE)=AA244,AA244+AF244,0)),AA244,(IF(VLOOKUP($AA244,$AA$46:$AA244,1,FALSE)=AA244,AA244+AF244,0)))</f>
        <v>#N/A</v>
      </c>
      <c r="AC244" s="23" t="str" vm="5">
        <f t="shared" si="35"/>
        <v>Housing</v>
      </c>
      <c r="AD244" s="23" t="str" vm="354">
        <f>CUBEMEMBER("cabcrmsqlrs1 CABReportingCubes Local Advice Event",{"[AIC Outcome].[AIC Part1].&amp;[Housing]","[AIC Outcome].[AIC Part2].&amp;[Housing]&amp;[08 Private sector rented property]"})</f>
        <v>08 Private sector rented property</v>
      </c>
      <c r="AE244" s="141" vm="1025">
        <f t="shared" si="36"/>
        <v>176</v>
      </c>
      <c r="AF244" s="23">
        <f>COUNTIF($AA$47:$AA244,$AA244)-1</f>
        <v>156</v>
      </c>
      <c r="AP244"/>
      <c r="AQ244"/>
      <c r="AR244"/>
      <c r="BG244" s="130" t="e">
        <f t="shared" si="34"/>
        <v>#N/A</v>
      </c>
      <c r="BH244" s="130" t="e">
        <f>IF(ISNA(IF(VLOOKUP($BG244,$BG$24:$BG243,1,FALSE)=BG244,BG244+BI244,0)),BG244,(IF(VLOOKUP($BG244,$BG$24:$BG243,1,FALSE)=BG244,BG244+BI244,0)))</f>
        <v>#N/A</v>
      </c>
      <c r="BI244" s="23">
        <f>COUNTIF($BG$24:$BG244,BG244)-1</f>
        <v>169</v>
      </c>
      <c r="BJ244"/>
      <c r="BK244"/>
      <c r="BL244"/>
    </row>
    <row r="245" spans="26:64" hidden="1">
      <c r="Z245" s="23" t="str">
        <f t="shared" si="37"/>
        <v>Housing09 Owner occupier property</v>
      </c>
      <c r="AA245" s="130" t="e">
        <f t="shared" si="38"/>
        <v>#N/A</v>
      </c>
      <c r="AB245" s="130" t="e">
        <f>IF(ISNA(IF(VLOOKUP($AA245,$AA$47:$AA244,1,FALSE)=AA245,AA245+AF245,0)),AA245,(IF(VLOOKUP($AA245,$AA$46:$AA245,1,FALSE)=AA245,AA245+AF245,0)))</f>
        <v>#N/A</v>
      </c>
      <c r="AC245" s="23" t="str" vm="5">
        <f t="shared" si="35"/>
        <v>Housing</v>
      </c>
      <c r="AD245" s="23" t="str" vm="448">
        <f>CUBEMEMBER("cabcrmsqlrs1 CABReportingCubes Local Advice Event",{"[AIC Outcome].[AIC Part1].&amp;[Housing]","[AIC Outcome].[AIC Part2].&amp;[Housing]&amp;[09 Owner occupier property]"})</f>
        <v>09 Owner occupier property</v>
      </c>
      <c r="AE245" s="141" vm="1252">
        <f t="shared" si="36"/>
        <v>32</v>
      </c>
      <c r="AF245" s="23">
        <f>COUNTIF($AA$47:$AA245,$AA245)-1</f>
        <v>157</v>
      </c>
      <c r="AP245"/>
      <c r="AQ245"/>
      <c r="AR245"/>
      <c r="BG245" s="130" t="e">
        <f t="shared" si="34"/>
        <v>#N/A</v>
      </c>
      <c r="BH245" s="130" t="e">
        <f>IF(ISNA(IF(VLOOKUP($BG245,$BG$24:$BG244,1,FALSE)=BG245,BG245+BI245,0)),BG245,(IF(VLOOKUP($BG245,$BG$24:$BG244,1,FALSE)=BG245,BG245+BI245,0)))</f>
        <v>#N/A</v>
      </c>
      <c r="BI245" s="23">
        <f>COUNTIF($BG$24:$BG245,BG245)-1</f>
        <v>170</v>
      </c>
      <c r="BJ245"/>
      <c r="BK245"/>
      <c r="BL245"/>
    </row>
    <row r="246" spans="26:64" hidden="1">
      <c r="Z246" s="23" t="str">
        <f t="shared" si="37"/>
        <v>Housing10 Environmental &amp; neighbour issues</v>
      </c>
      <c r="AA246" s="130" t="e">
        <f t="shared" si="38"/>
        <v>#N/A</v>
      </c>
      <c r="AB246" s="130" t="e">
        <f>IF(ISNA(IF(VLOOKUP($AA246,$AA$47:$AA245,1,FALSE)=AA246,AA246+AF246,0)),AA246,(IF(VLOOKUP($AA246,$AA$46:$AA246,1,FALSE)=AA246,AA246+AF246,0)))</f>
        <v>#N/A</v>
      </c>
      <c r="AC246" s="23" t="str" vm="5">
        <f t="shared" si="35"/>
        <v>Housing</v>
      </c>
      <c r="AD246" s="23" t="str" vm="435">
        <f>CUBEMEMBER("cabcrmsqlrs1 CABReportingCubes Local Advice Event",{"[AIC Outcome].[AIC Part1].&amp;[Housing]","[AIC Outcome].[AIC Part2].&amp;[Housing]&amp;[10 Environmental &amp; neighbour issues]"})</f>
        <v>10 Environmental &amp; neighbour issues</v>
      </c>
      <c r="AE246" s="141" vm="1327">
        <f t="shared" si="36"/>
        <v>30</v>
      </c>
      <c r="AF246" s="23">
        <f>COUNTIF($AA$47:$AA246,$AA246)-1</f>
        <v>158</v>
      </c>
      <c r="AP246"/>
      <c r="AQ246"/>
      <c r="AR246"/>
      <c r="BG246" s="130" t="e">
        <f t="shared" si="34"/>
        <v>#N/A</v>
      </c>
      <c r="BH246" s="130" t="e">
        <f>IF(ISNA(IF(VLOOKUP($BG246,$BG$24:$BG245,1,FALSE)=BG246,BG246+BI246,0)),BG246,(IF(VLOOKUP($BG246,$BG$24:$BG245,1,FALSE)=BG246,BG246+BI246,0)))</f>
        <v>#N/A</v>
      </c>
      <c r="BI246" s="23">
        <f>COUNTIF($BG$24:$BG246,BG246)-1</f>
        <v>171</v>
      </c>
      <c r="BJ246"/>
      <c r="BK246"/>
      <c r="BL246"/>
    </row>
    <row r="247" spans="26:64" hidden="1">
      <c r="Z247" s="23" t="e">
        <f t="shared" si="37"/>
        <v>#N/A</v>
      </c>
      <c r="AA247" s="130" t="e">
        <f t="shared" si="38"/>
        <v>#N/A</v>
      </c>
      <c r="AB247" s="130" t="e">
        <f>IF(ISNA(IF(VLOOKUP($AA247,$AA$47:$AA246,1,FALSE)=AA247,AA247+AF247,0)),AA247,(IF(VLOOKUP($AA247,$AA$46:$AA247,1,FALSE)=AA247,AA247+AF247,0)))</f>
        <v>#N/A</v>
      </c>
      <c r="AC247" s="23" t="str" vm="5">
        <f t="shared" si="35"/>
        <v>Housing</v>
      </c>
      <c r="AD247" s="23" t="e">
        <f>CUBEMEMBER("cabcrmsqlrs1 CABReportingCubes Local Advice Event",{"[AIC Outcome].[AIC Part1].&amp;[Housing]","[AIC Outcome].[AIC Part2].&amp;[Housing]&amp;[11 Jobseekers Allowance]"})</f>
        <v>#N/A</v>
      </c>
      <c r="AE247" s="141" t="e">
        <f t="shared" si="36"/>
        <v>#N/A</v>
      </c>
      <c r="AF247" s="23">
        <f>COUNTIF($AA$47:$AA247,$AA247)-1</f>
        <v>159</v>
      </c>
      <c r="AP247"/>
      <c r="AQ247"/>
      <c r="AR247"/>
      <c r="BG247" s="130" t="e">
        <f t="shared" si="34"/>
        <v>#N/A</v>
      </c>
      <c r="BH247" s="130" t="e">
        <f>IF(ISNA(IF(VLOOKUP($BG247,$BG$24:$BG246,1,FALSE)=BG247,BG247+BI247,0)),BG247,(IF(VLOOKUP($BG247,$BG$24:$BG246,1,FALSE)=BG247,BG247+BI247,0)))</f>
        <v>#N/A</v>
      </c>
      <c r="BI247" s="23">
        <f>COUNTIF($BG$24:$BG247,BG247)-1</f>
        <v>172</v>
      </c>
      <c r="BJ247"/>
      <c r="BK247"/>
      <c r="BL247"/>
    </row>
    <row r="248" spans="26:64" hidden="1">
      <c r="Z248" s="23" t="str">
        <f t="shared" si="37"/>
        <v>Housing99 Other housing issues</v>
      </c>
      <c r="AA248" s="130" t="e">
        <f t="shared" si="38"/>
        <v>#N/A</v>
      </c>
      <c r="AB248" s="130" t="e">
        <f>IF(ISNA(IF(VLOOKUP($AA248,$AA$47:$AA247,1,FALSE)=AA248,AA248+AF248,0)),AA248,(IF(VLOOKUP($AA248,$AA$46:$AA248,1,FALSE)=AA248,AA248+AF248,0)))</f>
        <v>#N/A</v>
      </c>
      <c r="AC248" s="23" t="str" vm="5">
        <f t="shared" si="35"/>
        <v>Housing</v>
      </c>
      <c r="AD248" s="23" t="str" vm="353">
        <f>CUBEMEMBER("cabcrmsqlrs1 CABReportingCubes Local Advice Event",{"[AIC Outcome].[AIC Part1].&amp;[Housing]","[AIC Outcome].[AIC Part2].&amp;[Housing]&amp;[99 Other housing issues]"})</f>
        <v>99 Other housing issues</v>
      </c>
      <c r="AE248" s="141" vm="1033">
        <f t="shared" si="36"/>
        <v>40</v>
      </c>
      <c r="AF248" s="23">
        <f>COUNTIF($AA$47:$AA248,$AA248)-1</f>
        <v>160</v>
      </c>
      <c r="AP248"/>
      <c r="AQ248"/>
      <c r="AR248"/>
      <c r="BG248" s="130" t="e">
        <f t="shared" si="34"/>
        <v>#N/A</v>
      </c>
      <c r="BH248" s="130" t="e">
        <f>IF(ISNA(IF(VLOOKUP($BG248,$BG$24:$BG247,1,FALSE)=BG248,BG248+BI248,0)),BG248,(IF(VLOOKUP($BG248,$BG$24:$BG247,1,FALSE)=BG248,BG248+BI248,0)))</f>
        <v>#N/A</v>
      </c>
      <c r="BI248" s="23">
        <f>COUNTIF($BG$24:$BG248,BG248)-1</f>
        <v>173</v>
      </c>
      <c r="BJ248"/>
      <c r="BK248"/>
      <c r="BL248"/>
    </row>
    <row r="249" spans="26:64" hidden="1">
      <c r="Z249" s="23" t="str">
        <f t="shared" si="37"/>
        <v>HousingNot recorded/not applicable</v>
      </c>
      <c r="AA249" s="130" t="e">
        <f t="shared" si="38"/>
        <v>#N/A</v>
      </c>
      <c r="AB249" s="130" t="e">
        <f>IF(ISNA(IF(VLOOKUP($AA249,$AA$47:$AA248,1,FALSE)=AA249,AA249+AF249,0)),AA249,(IF(VLOOKUP($AA249,$AA$46:$AA249,1,FALSE)=AA249,AA249+AF249,0)))</f>
        <v>#N/A</v>
      </c>
      <c r="AC249" s="23" t="str" vm="5">
        <f t="shared" si="35"/>
        <v>Housing</v>
      </c>
      <c r="AD249" s="23" t="str" vm="447">
        <f>CUBEMEMBER("cabcrmsqlrs1 CABReportingCubes Local Advice Event",{"[AIC Outcome].[AIC Part1].&amp;[Housing]","[AIC Outcome].[AIC Part2].&amp;[Housing]&amp;[Not recorded/not applicable]"})</f>
        <v>Not recorded/not applicable</v>
      </c>
      <c r="AE249" s="141" vm="1097">
        <f t="shared" si="36"/>
        <v>192</v>
      </c>
      <c r="AF249" s="23">
        <f>COUNTIF($AA$47:$AA249,$AA249)-1</f>
        <v>161</v>
      </c>
      <c r="AP249"/>
      <c r="AQ249"/>
      <c r="AR249"/>
      <c r="BG249" s="130" t="e">
        <f t="shared" si="34"/>
        <v>#N/A</v>
      </c>
      <c r="BH249" s="130" t="e">
        <f>IF(ISNA(IF(VLOOKUP($BG249,$BG$24:$BG248,1,FALSE)=BG249,BG249+BI249,0)),BG249,(IF(VLOOKUP($BG249,$BG$24:$BG248,1,FALSE)=BG249,BG249+BI249,0)))</f>
        <v>#N/A</v>
      </c>
      <c r="BI249" s="23">
        <f>COUNTIF($BG$24:$BG249,BG249)-1</f>
        <v>174</v>
      </c>
      <c r="BJ249"/>
      <c r="BK249"/>
      <c r="BL249"/>
    </row>
    <row r="250" spans="26:64" hidden="1">
      <c r="Z250" s="23" t="str">
        <f t="shared" si="37"/>
        <v>Immigration &amp; asylum01 Discrimination</v>
      </c>
      <c r="AA250" s="130" t="e">
        <f t="shared" si="38"/>
        <v>#VALUE!</v>
      </c>
      <c r="AB250" s="130" t="e">
        <f>IF(ISNA(IF(VLOOKUP($AA250,$AA$47:$AA249,1,FALSE)=AA250,AA250+AF250,0)),AA250,(IF(VLOOKUP($AA250,$AA$46:$AA250,1,FALSE)=AA250,AA250+AF250,0)))</f>
        <v>#VALUE!</v>
      </c>
      <c r="AC250" s="23" t="str" vm="17">
        <f t="shared" ref="AC250:AC264" si="39">CUBEMEMBER("cabcrmsqlrs1 CABReportingCubes Local Advice Event","[AIC Outcome].[AIC Part1].&amp;[Immigration &amp; asylum]")</f>
        <v>Immigration &amp; asylum</v>
      </c>
      <c r="AD250" s="23" t="str" vm="434">
        <f>CUBEMEMBER("cabcrmsqlrs1 CABReportingCubes Local Advice Event",{"[AIC Outcome].[AIC Part1].&amp;[Immigration &amp; asylum]","[AIC Outcome].[AIC Part2].&amp;[Immigration &amp; asylum]&amp;[01 Discrimination]"})</f>
        <v>01 Discrimination</v>
      </c>
      <c r="AE250" s="141" t="str" vm="1167">
        <f t="shared" si="36"/>
        <v/>
      </c>
      <c r="AF250" s="23">
        <f>COUNTIF($AA$47:$AA250,$AA250)-1</f>
        <v>41</v>
      </c>
      <c r="AP250"/>
      <c r="AQ250"/>
      <c r="AR250"/>
      <c r="BG250" s="130" t="e">
        <f t="shared" si="34"/>
        <v>#N/A</v>
      </c>
      <c r="BH250" s="130" t="e">
        <f>IF(ISNA(IF(VLOOKUP($BG250,$BG$24:$BG249,1,FALSE)=BG250,BG250+BI250,0)),BG250,(IF(VLOOKUP($BG250,$BG$24:$BG249,1,FALSE)=BG250,BG250+BI250,0)))</f>
        <v>#N/A</v>
      </c>
      <c r="BI250" s="23">
        <f>COUNTIF($BG$24:$BG250,BG250)-1</f>
        <v>175</v>
      </c>
      <c r="BJ250"/>
      <c r="BK250"/>
      <c r="BL250"/>
    </row>
    <row r="251" spans="26:64" hidden="1">
      <c r="Z251" s="23" t="str">
        <f t="shared" si="37"/>
        <v>Immigration &amp; asylum02 Asylum seekers</v>
      </c>
      <c r="AA251" s="130" t="e">
        <f t="shared" si="38"/>
        <v>#N/A</v>
      </c>
      <c r="AB251" s="130" t="e">
        <f>IF(ISNA(IF(VLOOKUP($AA251,$AA$47:$AA250,1,FALSE)=AA251,AA251+AF251,0)),AA251,(IF(VLOOKUP($AA251,$AA$46:$AA251,1,FALSE)=AA251,AA251+AF251,0)))</f>
        <v>#N/A</v>
      </c>
      <c r="AC251" s="23" t="str" vm="17">
        <f t="shared" si="39"/>
        <v>Immigration &amp; asylum</v>
      </c>
      <c r="AD251" s="23" t="str" vm="367">
        <f>CUBEMEMBER("cabcrmsqlrs1 CABReportingCubes Local Advice Event",{"[AIC Outcome].[AIC Part1].&amp;[Immigration &amp; asylum]","[AIC Outcome].[AIC Part2].&amp;[Immigration &amp; asylum]&amp;[02 Asylum seekers]"})</f>
        <v>02 Asylum seekers</v>
      </c>
      <c r="AE251" s="141" vm="1158">
        <f t="shared" si="36"/>
        <v>9</v>
      </c>
      <c r="AF251" s="23">
        <f>COUNTIF($AA$47:$AA251,$AA251)-1</f>
        <v>162</v>
      </c>
      <c r="AP251"/>
      <c r="AQ251"/>
      <c r="AR251"/>
      <c r="BG251" s="130" t="e">
        <f t="shared" si="34"/>
        <v>#N/A</v>
      </c>
      <c r="BH251" s="130" t="e">
        <f>IF(ISNA(IF(VLOOKUP($BG251,$BG$24:$BG250,1,FALSE)=BG251,BG251+BI251,0)),BG251,(IF(VLOOKUP($BG251,$BG$24:$BG250,1,FALSE)=BG251,BG251+BI251,0)))</f>
        <v>#N/A</v>
      </c>
      <c r="BI251" s="23">
        <f>COUNTIF($BG$24:$BG251,BG251)-1</f>
        <v>176</v>
      </c>
      <c r="BJ251"/>
      <c r="BK251"/>
      <c r="BL251"/>
    </row>
    <row r="252" spans="26:64" hidden="1">
      <c r="Z252" s="23" t="e">
        <f t="shared" si="37"/>
        <v>#N/A</v>
      </c>
      <c r="AA252" s="130" t="e">
        <f t="shared" si="38"/>
        <v>#N/A</v>
      </c>
      <c r="AB252" s="130" t="e">
        <f>IF(ISNA(IF(VLOOKUP($AA252,$AA$47:$AA251,1,FALSE)=AA252,AA252+AF252,0)),AA252,(IF(VLOOKUP($AA252,$AA$46:$AA252,1,FALSE)=AA252,AA252+AF252,0)))</f>
        <v>#N/A</v>
      </c>
      <c r="AC252" s="23" t="str" vm="17">
        <f t="shared" si="39"/>
        <v>Immigration &amp; asylum</v>
      </c>
      <c r="AD252" s="23" t="e">
        <f>CUBEMEMBER("cabcrmsqlrs1 CABReportingCubes Local Advice Event",{"[AIC Outcome].[AIC Part1].&amp;[Immigration &amp; asylum]","[AIC Outcome].[AIC Part2].&amp;[Immigration &amp; asylum]&amp;[02 Marriage, cohabitation, civil partnership]"})</f>
        <v>#N/A</v>
      </c>
      <c r="AE252" s="141" t="e">
        <f t="shared" si="36"/>
        <v>#N/A</v>
      </c>
      <c r="AF252" s="23">
        <f>COUNTIF($AA$47:$AA252,$AA252)-1</f>
        <v>163</v>
      </c>
      <c r="AP252"/>
      <c r="AQ252"/>
      <c r="AR252"/>
      <c r="BG252" s="130" t="e">
        <f t="shared" si="34"/>
        <v>#N/A</v>
      </c>
      <c r="BH252" s="130" t="e">
        <f>IF(ISNA(IF(VLOOKUP($BG252,$BG$24:$BG251,1,FALSE)=BG252,BG252+BI252,0)),BG252,(IF(VLOOKUP($BG252,$BG$24:$BG251,1,FALSE)=BG252,BG252+BI252,0)))</f>
        <v>#N/A</v>
      </c>
      <c r="BI252" s="23">
        <f>COUNTIF($BG$24:$BG252,BG252)-1</f>
        <v>177</v>
      </c>
      <c r="BJ252"/>
      <c r="BK252"/>
      <c r="BL252"/>
    </row>
    <row r="253" spans="26:64" hidden="1">
      <c r="Z253" s="23" t="str">
        <f t="shared" si="37"/>
        <v>Immigration &amp; asylum03 Refugees</v>
      </c>
      <c r="AA253" s="130" t="e">
        <f t="shared" si="38"/>
        <v>#VALUE!</v>
      </c>
      <c r="AB253" s="130" t="e">
        <f>IF(ISNA(IF(VLOOKUP($AA253,$AA$47:$AA252,1,FALSE)=AA253,AA253+AF253,0)),AA253,(IF(VLOOKUP($AA253,$AA$46:$AA253,1,FALSE)=AA253,AA253+AF253,0)))</f>
        <v>#VALUE!</v>
      </c>
      <c r="AC253" s="23" t="str" vm="17">
        <f t="shared" si="39"/>
        <v>Immigration &amp; asylum</v>
      </c>
      <c r="AD253" s="23" t="str" vm="446">
        <f>CUBEMEMBER("cabcrmsqlrs1 CABReportingCubes Local Advice Event",{"[AIC Outcome].[AIC Part1].&amp;[Immigration &amp; asylum]","[AIC Outcome].[AIC Part2].&amp;[Immigration &amp; asylum]&amp;[03 Refugees]"})</f>
        <v>03 Refugees</v>
      </c>
      <c r="AE253" s="141" t="str" vm="997">
        <f t="shared" si="36"/>
        <v/>
      </c>
      <c r="AF253" s="23">
        <f>COUNTIF($AA$47:$AA253,$AA253)-1</f>
        <v>42</v>
      </c>
      <c r="AP253"/>
      <c r="AQ253"/>
      <c r="AR253"/>
      <c r="BG253" s="130" t="e">
        <f t="shared" si="34"/>
        <v>#N/A</v>
      </c>
      <c r="BH253" s="130" t="e">
        <f>IF(ISNA(IF(VLOOKUP($BG253,$BG$24:$BG252,1,FALSE)=BG253,BG253+BI253,0)),BG253,(IF(VLOOKUP($BG253,$BG$24:$BG252,1,FALSE)=BG253,BG253+BI253,0)))</f>
        <v>#N/A</v>
      </c>
      <c r="BI253" s="23">
        <f>COUNTIF($BG$24:$BG253,BG253)-1</f>
        <v>178</v>
      </c>
      <c r="BJ253"/>
      <c r="BK253"/>
      <c r="BL253"/>
    </row>
    <row r="254" spans="26:64" hidden="1">
      <c r="Z254" s="23" t="e">
        <f t="shared" si="37"/>
        <v>#N/A</v>
      </c>
      <c r="AA254" s="130" t="e">
        <f t="shared" si="38"/>
        <v>#N/A</v>
      </c>
      <c r="AB254" s="130" t="e">
        <f>IF(ISNA(IF(VLOOKUP($AA254,$AA$47:$AA253,1,FALSE)=AA254,AA254+AF254,0)),AA254,(IF(VLOOKUP($AA254,$AA$46:$AA254,1,FALSE)=AA254,AA254+AF254,0)))</f>
        <v>#N/A</v>
      </c>
      <c r="AC254" s="23" t="str" vm="17">
        <f t="shared" si="39"/>
        <v>Immigration &amp; asylum</v>
      </c>
      <c r="AD254" s="23" t="e">
        <f>CUBEMEMBER("cabcrmsqlrs1 CABReportingCubes Local Advice Event",{"[AIC Outcome].[AIC Part1].&amp;[Immigration &amp; asylum]","[AIC Outcome].[AIC Part2].&amp;[Immigration &amp; asylum]&amp;[03 Threatened homelessness]"})</f>
        <v>#N/A</v>
      </c>
      <c r="AE254" s="141" t="e">
        <f t="shared" si="36"/>
        <v>#N/A</v>
      </c>
      <c r="AF254" s="23">
        <f>COUNTIF($AA$47:$AA254,$AA254)-1</f>
        <v>164</v>
      </c>
      <c r="AP254"/>
      <c r="AQ254"/>
      <c r="AR254"/>
      <c r="BG254" s="130" t="e">
        <f t="shared" si="34"/>
        <v>#N/A</v>
      </c>
      <c r="BH254" s="130" t="e">
        <f>IF(ISNA(IF(VLOOKUP($BG254,$BG$24:$BG253,1,FALSE)=BG254,BG254+BI254,0)),BG254,(IF(VLOOKUP($BG254,$BG$24:$BG253,1,FALSE)=BG254,BG254+BI254,0)))</f>
        <v>#N/A</v>
      </c>
      <c r="BI254" s="23">
        <f>COUNTIF($BG$24:$BG254,BG254)-1</f>
        <v>179</v>
      </c>
      <c r="BJ254"/>
      <c r="BK254"/>
      <c r="BL254"/>
    </row>
    <row r="255" spans="26:64" hidden="1">
      <c r="Z255" s="23" t="str">
        <f t="shared" si="37"/>
        <v>Immigration &amp; asylum04 Family, dependents &amp; partners</v>
      </c>
      <c r="AA255" s="130" t="e">
        <f t="shared" si="38"/>
        <v>#N/A</v>
      </c>
      <c r="AB255" s="130" t="e">
        <f>IF(ISNA(IF(VLOOKUP($AA255,$AA$47:$AA254,1,FALSE)=AA255,AA255+AF255,0)),AA255,(IF(VLOOKUP($AA255,$AA$46:$AA255,1,FALSE)=AA255,AA255+AF255,0)))</f>
        <v>#N/A</v>
      </c>
      <c r="AC255" s="23" t="str" vm="17">
        <f t="shared" si="39"/>
        <v>Immigration &amp; asylum</v>
      </c>
      <c r="AD255" s="23" t="str" vm="366">
        <f>CUBEMEMBER("cabcrmsqlrs1 CABReportingCubes Local Advice Event",{"[AIC Outcome].[AIC Part1].&amp;[Immigration &amp; asylum]","[AIC Outcome].[AIC Part2].&amp;[Immigration &amp; asylum]&amp;[04 Family, dependents &amp; partners]"})</f>
        <v>04 Family, dependents &amp; partners</v>
      </c>
      <c r="AE255" s="141" vm="1091">
        <f t="shared" si="36"/>
        <v>81</v>
      </c>
      <c r="AF255" s="23">
        <f>COUNTIF($AA$47:$AA255,$AA255)-1</f>
        <v>165</v>
      </c>
      <c r="AP255"/>
      <c r="AQ255"/>
      <c r="AR255"/>
      <c r="BG255" s="130" t="e">
        <f t="shared" si="34"/>
        <v>#N/A</v>
      </c>
      <c r="BH255" s="130" t="e">
        <f>IF(ISNA(IF(VLOOKUP($BG255,$BG$24:$BG254,1,FALSE)=BG255,BG255+BI255,0)),BG255,(IF(VLOOKUP($BG255,$BG$24:$BG254,1,FALSE)=BG255,BG255+BI255,0)))</f>
        <v>#N/A</v>
      </c>
      <c r="BI255" s="23">
        <f>COUNTIF($BG$24:$BG255,BG255)-1</f>
        <v>180</v>
      </c>
      <c r="BJ255"/>
      <c r="BK255"/>
      <c r="BL255"/>
    </row>
    <row r="256" spans="26:64" hidden="1">
      <c r="Z256" s="23" t="str">
        <f t="shared" si="37"/>
        <v>Immigration &amp; asylum05 Visitors</v>
      </c>
      <c r="AA256" s="130" t="e">
        <f t="shared" si="38"/>
        <v>#N/A</v>
      </c>
      <c r="AB256" s="130" t="e">
        <f>IF(ISNA(IF(VLOOKUP($AA256,$AA$47:$AA255,1,FALSE)=AA256,AA256+AF256,0)),AA256,(IF(VLOOKUP($AA256,$AA$46:$AA256,1,FALSE)=AA256,AA256+AF256,0)))</f>
        <v>#N/A</v>
      </c>
      <c r="AC256" s="23" t="str" vm="17">
        <f t="shared" si="39"/>
        <v>Immigration &amp; asylum</v>
      </c>
      <c r="AD256" s="23" t="str" vm="352">
        <f>CUBEMEMBER("cabcrmsqlrs1 CABReportingCubes Local Advice Event",{"[AIC Outcome].[AIC Part1].&amp;[Immigration &amp; asylum]","[AIC Outcome].[AIC Part2].&amp;[Immigration &amp; asylum]&amp;[05 Visitors]"})</f>
        <v>05 Visitors</v>
      </c>
      <c r="AE256" s="141" vm="1113">
        <f t="shared" si="36"/>
        <v>8</v>
      </c>
      <c r="AF256" s="23">
        <f>COUNTIF($AA$47:$AA256,$AA256)-1</f>
        <v>166</v>
      </c>
      <c r="AP256"/>
      <c r="AQ256"/>
      <c r="AR256"/>
      <c r="BG256" s="130" t="e">
        <f t="shared" si="34"/>
        <v>#N/A</v>
      </c>
      <c r="BH256" s="130" t="e">
        <f>IF(ISNA(IF(VLOOKUP($BG256,$BG$24:$BG255,1,FALSE)=BG256,BG256+BI256,0)),BG256,(IF(VLOOKUP($BG256,$BG$24:$BG255,1,FALSE)=BG256,BG256+BI256,0)))</f>
        <v>#N/A</v>
      </c>
      <c r="BI256" s="23">
        <f>COUNTIF($BG$24:$BG256,BG256)-1</f>
        <v>181</v>
      </c>
      <c r="BJ256"/>
      <c r="BK256"/>
      <c r="BL256"/>
    </row>
    <row r="257" spans="26:64" hidden="1">
      <c r="Z257" s="23" t="str">
        <f t="shared" si="37"/>
        <v>Immigration &amp; asylum06 Workers</v>
      </c>
      <c r="AA257" s="130" t="e">
        <f t="shared" si="38"/>
        <v>#N/A</v>
      </c>
      <c r="AB257" s="130" t="e">
        <f>IF(ISNA(IF(VLOOKUP($AA257,$AA$47:$AA256,1,FALSE)=AA257,AA257+AF257,0)),AA257,(IF(VLOOKUP($AA257,$AA$46:$AA257,1,FALSE)=AA257,AA257+AF257,0)))</f>
        <v>#N/A</v>
      </c>
      <c r="AC257" s="23" t="str" vm="17">
        <f t="shared" si="39"/>
        <v>Immigration &amp; asylum</v>
      </c>
      <c r="AD257" s="23" t="str" vm="445">
        <f>CUBEMEMBER("cabcrmsqlrs1 CABReportingCubes Local Advice Event",{"[AIC Outcome].[AIC Part1].&amp;[Immigration &amp; asylum]","[AIC Outcome].[AIC Part2].&amp;[Immigration &amp; asylum]&amp;[06 Workers]"})</f>
        <v>06 Workers</v>
      </c>
      <c r="AE257" s="141" vm="1090">
        <f t="shared" si="36"/>
        <v>20</v>
      </c>
      <c r="AF257" s="23">
        <f>COUNTIF($AA$47:$AA257,$AA257)-1</f>
        <v>167</v>
      </c>
      <c r="AP257"/>
      <c r="AQ257"/>
      <c r="AR257"/>
      <c r="BG257" s="130" t="e">
        <f t="shared" si="34"/>
        <v>#N/A</v>
      </c>
      <c r="BH257" s="130" t="e">
        <f>IF(ISNA(IF(VLOOKUP($BG257,$BG$24:$BG256,1,FALSE)=BG257,BG257+BI257,0)),BG257,(IF(VLOOKUP($BG257,$BG$24:$BG256,1,FALSE)=BG257,BG257+BI257,0)))</f>
        <v>#N/A</v>
      </c>
      <c r="BI257" s="23">
        <f>COUNTIF($BG$24:$BG257,BG257)-1</f>
        <v>182</v>
      </c>
      <c r="BJ257"/>
      <c r="BK257"/>
      <c r="BL257"/>
    </row>
    <row r="258" spans="26:64" hidden="1">
      <c r="Z258" s="23" t="str">
        <f t="shared" si="37"/>
        <v>Immigration &amp; asylum07 Students</v>
      </c>
      <c r="AA258" s="130" t="e">
        <f t="shared" si="38"/>
        <v>#N/A</v>
      </c>
      <c r="AB258" s="130" t="e">
        <f>IF(ISNA(IF(VLOOKUP($AA258,$AA$47:$AA257,1,FALSE)=AA258,AA258+AF258,0)),AA258,(IF(VLOOKUP($AA258,$AA$46:$AA258,1,FALSE)=AA258,AA258+AF258,0)))</f>
        <v>#N/A</v>
      </c>
      <c r="AC258" s="23" t="str" vm="17">
        <f t="shared" si="39"/>
        <v>Immigration &amp; asylum</v>
      </c>
      <c r="AD258" s="23" t="str" vm="433">
        <f>CUBEMEMBER("cabcrmsqlrs1 CABReportingCubes Local Advice Event",{"[AIC Outcome].[AIC Part1].&amp;[Immigration &amp; asylum]","[AIC Outcome].[AIC Part2].&amp;[Immigration &amp; asylum]&amp;[07 Students]"})</f>
        <v>07 Students</v>
      </c>
      <c r="AE258" s="141" vm="1181">
        <f t="shared" si="36"/>
        <v>6</v>
      </c>
      <c r="AF258" s="23">
        <f>COUNTIF($AA$47:$AA258,$AA258)-1</f>
        <v>168</v>
      </c>
      <c r="AP258"/>
      <c r="AQ258"/>
      <c r="AR258"/>
      <c r="BG258" s="130" t="e">
        <f t="shared" si="34"/>
        <v>#N/A</v>
      </c>
      <c r="BH258" s="130" t="e">
        <f>IF(ISNA(IF(VLOOKUP($BG258,$BG$24:$BG257,1,FALSE)=BG258,BG258+BI258,0)),BG258,(IF(VLOOKUP($BG258,$BG$24:$BG257,1,FALSE)=BG258,BG258+BI258,0)))</f>
        <v>#N/A</v>
      </c>
      <c r="BI258" s="23">
        <f>COUNTIF($BG$24:$BG258,BG258)-1</f>
        <v>183</v>
      </c>
      <c r="BJ258"/>
      <c r="BK258"/>
      <c r="BL258"/>
    </row>
    <row r="259" spans="26:64" hidden="1">
      <c r="Z259" s="23" t="str">
        <f t="shared" si="37"/>
        <v>Immigration &amp; asylum08 Nationality/citizenship</v>
      </c>
      <c r="AA259" s="130" t="e">
        <f t="shared" si="38"/>
        <v>#N/A</v>
      </c>
      <c r="AB259" s="130" t="e">
        <f>IF(ISNA(IF(VLOOKUP($AA259,$AA$47:$AA258,1,FALSE)=AA259,AA259+AF259,0)),AA259,(IF(VLOOKUP($AA259,$AA$46:$AA259,1,FALSE)=AA259,AA259+AF259,0)))</f>
        <v>#N/A</v>
      </c>
      <c r="AC259" s="23" t="str" vm="17">
        <f t="shared" si="39"/>
        <v>Immigration &amp; asylum</v>
      </c>
      <c r="AD259" s="23" t="str" vm="365">
        <f>CUBEMEMBER("cabcrmsqlrs1 CABReportingCubes Local Advice Event",{"[AIC Outcome].[AIC Part1].&amp;[Immigration &amp; asylum]","[AIC Outcome].[AIC Part2].&amp;[Immigration &amp; asylum]&amp;[08 Nationality/citizenship]"})</f>
        <v>08 Nationality/citizenship</v>
      </c>
      <c r="AE259" s="141" vm="1112">
        <f t="shared" si="36"/>
        <v>102</v>
      </c>
      <c r="AF259" s="23">
        <f>COUNTIF($AA$47:$AA259,$AA259)-1</f>
        <v>169</v>
      </c>
      <c r="AP259"/>
      <c r="AQ259"/>
      <c r="AR259"/>
      <c r="BG259" s="130" t="e">
        <f t="shared" si="34"/>
        <v>#N/A</v>
      </c>
      <c r="BH259" s="130" t="e">
        <f>IF(ISNA(IF(VLOOKUP($BG259,$BG$24:$BG258,1,FALSE)=BG259,BG259+BI259,0)),BG259,(IF(VLOOKUP($BG259,$BG$24:$BG258,1,FALSE)=BG259,BG259+BI259,0)))</f>
        <v>#N/A</v>
      </c>
      <c r="BI259" s="23">
        <f>COUNTIF($BG$24:$BG259,BG259)-1</f>
        <v>184</v>
      </c>
      <c r="BJ259"/>
      <c r="BK259"/>
      <c r="BL259"/>
    </row>
    <row r="260" spans="26:64" hidden="1">
      <c r="Z260" s="23" t="e">
        <f t="shared" si="37"/>
        <v>#N/A</v>
      </c>
      <c r="AA260" s="130" t="e">
        <f t="shared" si="38"/>
        <v>#N/A</v>
      </c>
      <c r="AB260" s="130" t="e">
        <f>IF(ISNA(IF(VLOOKUP($AA260,$AA$47:$AA259,1,FALSE)=AA260,AA260+AF260,0)),AA260,(IF(VLOOKUP($AA260,$AA$46:$AA260,1,FALSE)=AA260,AA260+AF260,0)))</f>
        <v>#N/A</v>
      </c>
      <c r="AC260" s="23" t="str" vm="17">
        <f t="shared" si="39"/>
        <v>Immigration &amp; asylum</v>
      </c>
      <c r="AD260" s="23" t="e">
        <f>CUBEMEMBER("cabcrmsqlrs1 CABReportingCubes Local Advice Event",{"[AIC Outcome].[AIC Part1].&amp;[Immigration &amp; asylum]","[AIC Outcome].[AIC Part2].&amp;[Immigration &amp; asylum]&amp;[08 Passports]"})</f>
        <v>#N/A</v>
      </c>
      <c r="AE260" s="141" t="e">
        <f t="shared" si="36"/>
        <v>#N/A</v>
      </c>
      <c r="AF260" s="23">
        <f>COUNTIF($AA$47:$AA260,$AA260)-1</f>
        <v>170</v>
      </c>
      <c r="AP260"/>
      <c r="AQ260"/>
      <c r="AR260"/>
      <c r="BG260" s="130" t="e">
        <f t="shared" si="34"/>
        <v>#N/A</v>
      </c>
      <c r="BH260" s="130" t="e">
        <f>IF(ISNA(IF(VLOOKUP($BG260,$BG$24:$BG259,1,FALSE)=BG260,BG260+BI260,0)),BG260,(IF(VLOOKUP($BG260,$BG$24:$BG259,1,FALSE)=BG260,BG260+BI260,0)))</f>
        <v>#N/A</v>
      </c>
      <c r="BI260" s="23">
        <f>COUNTIF($BG$24:$BG260,BG260)-1</f>
        <v>185</v>
      </c>
      <c r="BJ260"/>
      <c r="BK260"/>
      <c r="BL260"/>
    </row>
    <row r="261" spans="26:64" hidden="1">
      <c r="Z261" s="23" t="str">
        <f t="shared" si="37"/>
        <v>Immigration &amp; asylum09 Failed asylum seekers</v>
      </c>
      <c r="AA261" s="130" t="e">
        <f t="shared" si="38"/>
        <v>#N/A</v>
      </c>
      <c r="AB261" s="130" t="e">
        <f>IF(ISNA(IF(VLOOKUP($AA261,$AA$47:$AA260,1,FALSE)=AA261,AA261+AF261,0)),AA261,(IF(VLOOKUP($AA261,$AA$46:$AA261,1,FALSE)=AA261,AA261+AF261,0)))</f>
        <v>#N/A</v>
      </c>
      <c r="AC261" s="23" t="str" vm="17">
        <f t="shared" si="39"/>
        <v>Immigration &amp; asylum</v>
      </c>
      <c r="AD261" s="23" t="str" vm="444">
        <f>CUBEMEMBER("cabcrmsqlrs1 CABReportingCubes Local Advice Event",{"[AIC Outcome].[AIC Part1].&amp;[Immigration &amp; asylum]","[AIC Outcome].[AIC Part2].&amp;[Immigration &amp; asylum]&amp;[09 Failed asylum seekers]"})</f>
        <v>09 Failed asylum seekers</v>
      </c>
      <c r="AE261" s="141" vm="1256">
        <f t="shared" si="36"/>
        <v>3</v>
      </c>
      <c r="AF261" s="23">
        <f>COUNTIF($AA$47:$AA261,$AA261)-1</f>
        <v>171</v>
      </c>
      <c r="AP261"/>
      <c r="AQ261"/>
      <c r="AR261"/>
      <c r="BG261" s="130" t="e">
        <f t="shared" si="34"/>
        <v>#N/A</v>
      </c>
      <c r="BH261" s="130" t="e">
        <f>IF(ISNA(IF(VLOOKUP($BG261,$BG$24:$BG260,1,FALSE)=BG261,BG261+BI261,0)),BG261,(IF(VLOOKUP($BG261,$BG$24:$BG260,1,FALSE)=BG261,BG261+BI261,0)))</f>
        <v>#N/A</v>
      </c>
      <c r="BI261" s="23">
        <f>COUNTIF($BG$24:$BG261,BG261)-1</f>
        <v>186</v>
      </c>
      <c r="BJ261"/>
      <c r="BK261"/>
      <c r="BL261"/>
    </row>
    <row r="262" spans="26:64" hidden="1">
      <c r="Z262" s="23" t="e">
        <f t="shared" si="37"/>
        <v>#N/A</v>
      </c>
      <c r="AA262" s="130" t="e">
        <f t="shared" si="38"/>
        <v>#N/A</v>
      </c>
      <c r="AB262" s="130" t="e">
        <f>IF(ISNA(IF(VLOOKUP($AA262,$AA$47:$AA261,1,FALSE)=AA262,AA262+AF262,0)),AA262,(IF(VLOOKUP($AA262,$AA$46:$AA262,1,FALSE)=AA262,AA262+AF262,0)))</f>
        <v>#N/A</v>
      </c>
      <c r="AC262" s="23" t="str" vm="17">
        <f t="shared" si="39"/>
        <v>Immigration &amp; asylum</v>
      </c>
      <c r="AD262" s="23" t="e">
        <f>CUBEMEMBER("cabcrmsqlrs1 CABReportingCubes Local Advice Event",{"[AIC Outcome].[AIC Part1].&amp;[Immigration &amp; asylum]","[AIC Outcome].[AIC Part2].&amp;[Immigration &amp; asylum]&amp;[99 Other]"})</f>
        <v>#N/A</v>
      </c>
      <c r="AE262" s="141" t="e">
        <f t="shared" si="36"/>
        <v>#N/A</v>
      </c>
      <c r="AF262" s="23">
        <f>COUNTIF($AA$47:$AA262,$AA262)-1</f>
        <v>172</v>
      </c>
      <c r="AP262"/>
      <c r="AQ262"/>
      <c r="AR262"/>
      <c r="BG262" s="130" t="e">
        <f t="shared" si="34"/>
        <v>#N/A</v>
      </c>
      <c r="BH262" s="130" t="e">
        <f>IF(ISNA(IF(VLOOKUP($BG262,$BG$24:$BG261,1,FALSE)=BG262,BG262+BI262,0)),BG262,(IF(VLOOKUP($BG262,$BG$24:$BG261,1,FALSE)=BG262,BG262+BI262,0)))</f>
        <v>#N/A</v>
      </c>
      <c r="BI262" s="23">
        <f>COUNTIF($BG$24:$BG262,BG262)-1</f>
        <v>187</v>
      </c>
      <c r="BJ262"/>
      <c r="BK262"/>
      <c r="BL262"/>
    </row>
    <row r="263" spans="26:64" hidden="1">
      <c r="Z263" s="23" t="str">
        <f t="shared" si="37"/>
        <v>Immigration &amp; asylum99 Other issues</v>
      </c>
      <c r="AA263" s="130" t="e">
        <f t="shared" si="38"/>
        <v>#N/A</v>
      </c>
      <c r="AB263" s="130" t="e">
        <f>IF(ISNA(IF(VLOOKUP($AA263,$AA$47:$AA262,1,FALSE)=AA263,AA263+AF263,0)),AA263,(IF(VLOOKUP($AA263,$AA$46:$AA263,1,FALSE)=AA263,AA263+AF263,0)))</f>
        <v>#N/A</v>
      </c>
      <c r="AC263" s="23" t="str" vm="17">
        <f t="shared" si="39"/>
        <v>Immigration &amp; asylum</v>
      </c>
      <c r="AD263" s="23" t="str" vm="364">
        <f>CUBEMEMBER("cabcrmsqlrs1 CABReportingCubes Local Advice Event",{"[AIC Outcome].[AIC Part1].&amp;[Immigration &amp; asylum]","[AIC Outcome].[AIC Part2].&amp;[Immigration &amp; asylum]&amp;[99 Other issues]"})</f>
        <v>99 Other issues</v>
      </c>
      <c r="AE263" s="141" vm="1271">
        <f t="shared" si="36"/>
        <v>15</v>
      </c>
      <c r="AF263" s="23">
        <f>COUNTIF($AA$47:$AA263,$AA263)-1</f>
        <v>173</v>
      </c>
      <c r="AP263"/>
      <c r="AQ263"/>
      <c r="AR263"/>
      <c r="BG263" s="130" t="e">
        <f t="shared" si="34"/>
        <v>#N/A</v>
      </c>
      <c r="BH263" s="130" t="e">
        <f>IF(ISNA(IF(VLOOKUP($BG263,$BG$24:$BG262,1,FALSE)=BG263,BG263+BI263,0)),BG263,(IF(VLOOKUP($BG263,$BG$24:$BG262,1,FALSE)=BG263,BG263+BI263,0)))</f>
        <v>#N/A</v>
      </c>
      <c r="BI263" s="23">
        <f>COUNTIF($BG$24:$BG263,BG263)-1</f>
        <v>188</v>
      </c>
      <c r="BJ263"/>
      <c r="BK263"/>
      <c r="BL263"/>
    </row>
    <row r="264" spans="26:64" hidden="1">
      <c r="Z264" s="23" t="str">
        <f t="shared" si="37"/>
        <v>Immigration &amp; asylumNot recorded/not applicable</v>
      </c>
      <c r="AA264" s="130" t="e">
        <f t="shared" si="38"/>
        <v>#N/A</v>
      </c>
      <c r="AB264" s="130" t="e">
        <f>IF(ISNA(IF(VLOOKUP($AA264,$AA$47:$AA263,1,FALSE)=AA264,AA264+AF264,0)),AA264,(IF(VLOOKUP($AA264,$AA$46:$AA264,1,FALSE)=AA264,AA264+AF264,0)))</f>
        <v>#N/A</v>
      </c>
      <c r="AC264" s="23" t="str" vm="17">
        <f t="shared" si="39"/>
        <v>Immigration &amp; asylum</v>
      </c>
      <c r="AD264" s="23" t="str" vm="351">
        <f>CUBEMEMBER("cabcrmsqlrs1 CABReportingCubes Local Advice Event",{"[AIC Outcome].[AIC Part1].&amp;[Immigration &amp; asylum]","[AIC Outcome].[AIC Part2].&amp;[Immigration &amp; asylum]&amp;[Not recorded/not applicable]"})</f>
        <v>Not recorded/not applicable</v>
      </c>
      <c r="AE264" s="141" vm="1225">
        <f t="shared" si="36"/>
        <v>55</v>
      </c>
      <c r="AF264" s="23">
        <f>COUNTIF($AA$47:$AA264,$AA264)-1</f>
        <v>174</v>
      </c>
      <c r="AP264"/>
      <c r="AQ264"/>
      <c r="AR264"/>
      <c r="BG264" s="130" t="e">
        <f t="shared" si="34"/>
        <v>#N/A</v>
      </c>
      <c r="BH264" s="130" t="e">
        <f>IF(ISNA(IF(VLOOKUP($BG264,$BG$24:$BG263,1,FALSE)=BG264,BG264+BI264,0)),BG264,(IF(VLOOKUP($BG264,$BG$24:$BG263,1,FALSE)=BG264,BG264+BI264,0)))</f>
        <v>#N/A</v>
      </c>
      <c r="BI264" s="23">
        <f>COUNTIF($BG$24:$BG264,BG264)-1</f>
        <v>189</v>
      </c>
      <c r="BJ264"/>
      <c r="BK264"/>
      <c r="BL264"/>
    </row>
    <row r="265" spans="26:64" hidden="1">
      <c r="Z265" s="23" t="str">
        <f t="shared" si="37"/>
        <v>Legal01 Discrimination</v>
      </c>
      <c r="AA265" s="130" t="e">
        <f t="shared" si="38"/>
        <v>#VALUE!</v>
      </c>
      <c r="AB265" s="130" t="e">
        <f>IF(ISNA(IF(VLOOKUP($AA265,$AA$47:$AA264,1,FALSE)=AA265,AA265+AF265,0)),AA265,(IF(VLOOKUP($AA265,$AA$46:$AA265,1,FALSE)=AA265,AA265+AF265,0)))</f>
        <v>#VALUE!</v>
      </c>
      <c r="AC265" s="23" t="str" vm="16">
        <f t="shared" ref="AC265:AC281" si="40">CUBEMEMBER("cabcrmsqlrs1 CABReportingCubes Local Advice Event","[AIC Outcome].[AIC Part1].&amp;[Legal]")</f>
        <v>Legal</v>
      </c>
      <c r="AD265" s="23" t="str" vm="443">
        <f>CUBEMEMBER("cabcrmsqlrs1 CABReportingCubes Local Advice Event",{"[AIC Outcome].[AIC Part1].&amp;[Legal]","[AIC Outcome].[AIC Part2].&amp;[Legal]&amp;[01 Discrimination]"})</f>
        <v>01 Discrimination</v>
      </c>
      <c r="AE265" s="141" t="str" vm="1272">
        <f t="shared" si="36"/>
        <v/>
      </c>
      <c r="AF265" s="23">
        <f>COUNTIF($AA$47:$AA265,$AA265)-1</f>
        <v>43</v>
      </c>
      <c r="AP265"/>
      <c r="AQ265"/>
      <c r="AR265"/>
      <c r="BG265" s="130" t="e">
        <f t="shared" si="34"/>
        <v>#N/A</v>
      </c>
      <c r="BH265" s="130" t="e">
        <f>IF(ISNA(IF(VLOOKUP($BG265,$BG$24:$BG264,1,FALSE)=BG265,BG265+BI265,0)),BG265,(IF(VLOOKUP($BG265,$BG$24:$BG264,1,FALSE)=BG265,BG265+BI265,0)))</f>
        <v>#N/A</v>
      </c>
      <c r="BI265" s="23">
        <f>COUNTIF($BG$24:$BG265,BG265)-1</f>
        <v>190</v>
      </c>
      <c r="BJ265"/>
      <c r="BK265"/>
      <c r="BL265"/>
    </row>
    <row r="266" spans="26:64" hidden="1">
      <c r="Z266" s="23" t="str">
        <f t="shared" si="37"/>
        <v>Legal02 Magistrates Court proceedings</v>
      </c>
      <c r="AA266" s="130" t="e">
        <f t="shared" si="38"/>
        <v>#N/A</v>
      </c>
      <c r="AB266" s="130" t="e">
        <f>IF(ISNA(IF(VLOOKUP($AA266,$AA$47:$AA265,1,FALSE)=AA266,AA266+AF266,0)),AA266,(IF(VLOOKUP($AA266,$AA$46:$AA266,1,FALSE)=AA266,AA266+AF266,0)))</f>
        <v>#N/A</v>
      </c>
      <c r="AC266" s="23" t="str" vm="16">
        <f t="shared" si="40"/>
        <v>Legal</v>
      </c>
      <c r="AD266" s="23" t="str" vm="432">
        <f>CUBEMEMBER("cabcrmsqlrs1 CABReportingCubes Local Advice Event",{"[AIC Outcome].[AIC Part1].&amp;[Legal]","[AIC Outcome].[AIC Part2].&amp;[Legal]&amp;[02 Magistrates Court proceedings]"})</f>
        <v>02 Magistrates Court proceedings</v>
      </c>
      <c r="AE266" s="141" vm="1139">
        <f t="shared" si="36"/>
        <v>23</v>
      </c>
      <c r="AF266" s="23">
        <f>COUNTIF($AA$47:$AA266,$AA266)-1</f>
        <v>175</v>
      </c>
      <c r="AP266"/>
      <c r="AQ266"/>
      <c r="AR266"/>
      <c r="BG266" s="130" t="e">
        <f t="shared" si="34"/>
        <v>#N/A</v>
      </c>
      <c r="BH266" s="130" t="e">
        <f>IF(ISNA(IF(VLOOKUP($BG266,$BG$24:$BG265,1,FALSE)=BG266,BG266+BI266,0)),BG266,(IF(VLOOKUP($BG266,$BG$24:$BG265,1,FALSE)=BG266,BG266+BI266,0)))</f>
        <v>#N/A</v>
      </c>
      <c r="BI266" s="23">
        <f>COUNTIF($BG$24:$BG266,BG266)-1</f>
        <v>191</v>
      </c>
      <c r="BJ266"/>
      <c r="BK266"/>
      <c r="BL266"/>
    </row>
    <row r="267" spans="26:64" hidden="1">
      <c r="Z267" s="23" t="str">
        <f t="shared" si="37"/>
        <v>Legal03 County &amp; High Court proceedings</v>
      </c>
      <c r="AA267" s="130" t="e">
        <f t="shared" si="38"/>
        <v>#N/A</v>
      </c>
      <c r="AB267" s="130" t="e">
        <f>IF(ISNA(IF(VLOOKUP($AA267,$AA$47:$AA266,1,FALSE)=AA267,AA267+AF267,0)),AA267,(IF(VLOOKUP($AA267,$AA$46:$AA267,1,FALSE)=AA267,AA267+AF267,0)))</f>
        <v>#N/A</v>
      </c>
      <c r="AC267" s="23" t="str" vm="16">
        <f t="shared" si="40"/>
        <v>Legal</v>
      </c>
      <c r="AD267" s="23" t="str" vm="363">
        <f>CUBEMEMBER("cabcrmsqlrs1 CABReportingCubes Local Advice Event",{"[AIC Outcome].[AIC Part1].&amp;[Legal]","[AIC Outcome].[AIC Part2].&amp;[Legal]&amp;[03 County &amp; High Court proceedings]"})</f>
        <v>03 County &amp; High Court proceedings</v>
      </c>
      <c r="AE267" s="141" vm="1049">
        <f t="shared" si="36"/>
        <v>77</v>
      </c>
      <c r="AF267" s="23">
        <f>COUNTIF($AA$47:$AA267,$AA267)-1</f>
        <v>176</v>
      </c>
      <c r="AP267"/>
      <c r="AQ267"/>
      <c r="AR267"/>
      <c r="BG267" s="130" t="e">
        <f t="shared" si="34"/>
        <v>#N/A</v>
      </c>
      <c r="BH267" s="130" t="e">
        <f>IF(ISNA(IF(VLOOKUP($BG267,$BG$24:$BG266,1,FALSE)=BG267,BG267+BI267,0)),BG267,(IF(VLOOKUP($BG267,$BG$24:$BG266,1,FALSE)=BG267,BG267+BI267,0)))</f>
        <v>#N/A</v>
      </c>
      <c r="BI267" s="23">
        <f>COUNTIF($BG$24:$BG267,BG267)-1</f>
        <v>192</v>
      </c>
      <c r="BJ267"/>
      <c r="BK267"/>
      <c r="BL267"/>
    </row>
    <row r="268" spans="26:64" hidden="1">
      <c r="Z268" s="23" t="e">
        <f t="shared" si="37"/>
        <v>#N/A</v>
      </c>
      <c r="AA268" s="130" t="e">
        <f t="shared" si="38"/>
        <v>#N/A</v>
      </c>
      <c r="AB268" s="130" t="e">
        <f>IF(ISNA(IF(VLOOKUP($AA268,$AA$47:$AA267,1,FALSE)=AA268,AA268+AF268,0)),AA268,(IF(VLOOKUP($AA268,$AA$46:$AA268,1,FALSE)=AA268,AA268+AF268,0)))</f>
        <v>#N/A</v>
      </c>
      <c r="AC268" s="23" t="str" vm="16">
        <f t="shared" si="40"/>
        <v>Legal</v>
      </c>
      <c r="AD268" s="23" t="e">
        <f>CUBEMEMBER("cabcrmsqlrs1 CABReportingCubes Local Advice Event",{"[AIC Outcome].[AIC Part1].&amp;[Legal]","[AIC Outcome].[AIC Part2].&amp;[Legal]&amp;[03 Domestic violence]"})</f>
        <v>#N/A</v>
      </c>
      <c r="AE268" s="141" t="e">
        <f t="shared" si="36"/>
        <v>#N/A</v>
      </c>
      <c r="AF268" s="23">
        <f>COUNTIF($AA$47:$AA268,$AA268)-1</f>
        <v>177</v>
      </c>
      <c r="AP268"/>
      <c r="AQ268"/>
      <c r="AR268"/>
      <c r="BG268" s="130" t="e">
        <f t="shared" si="34"/>
        <v>#N/A</v>
      </c>
      <c r="BH268" s="130" t="e">
        <f>IF(ISNA(IF(VLOOKUP($BG268,$BG$24:$BG267,1,FALSE)=BG268,BG268+BI268,0)),BG268,(IF(VLOOKUP($BG268,$BG$24:$BG267,1,FALSE)=BG268,BG268+BI268,0)))</f>
        <v>#N/A</v>
      </c>
      <c r="BI268" s="23">
        <f>COUNTIF($BG$24:$BG268,BG268)-1</f>
        <v>193</v>
      </c>
      <c r="BJ268"/>
      <c r="BK268"/>
      <c r="BL268"/>
    </row>
    <row r="269" spans="26:64" hidden="1">
      <c r="Z269" s="23" t="str">
        <f t="shared" si="37"/>
        <v>Legal03 Driving</v>
      </c>
      <c r="AA269" s="130" t="e">
        <f t="shared" si="38"/>
        <v>#VALUE!</v>
      </c>
      <c r="AB269" s="130" t="e">
        <f>IF(ISNA(IF(VLOOKUP($AA269,$AA$47:$AA268,1,FALSE)=AA269,AA269+AF269,0)),AA269,(IF(VLOOKUP($AA269,$AA$46:$AA269,1,FALSE)=AA269,AA269+AF269,0)))</f>
        <v>#VALUE!</v>
      </c>
      <c r="AC269" s="23" t="str" vm="16">
        <f t="shared" si="40"/>
        <v>Legal</v>
      </c>
      <c r="AD269" s="23" t="str" vm="442">
        <f>CUBEMEMBER("cabcrmsqlrs1 CABReportingCubes Local Advice Event",{"[AIC Outcome].[AIC Part1].&amp;[Legal]","[AIC Outcome].[AIC Part2].&amp;[Legal]&amp;[03 Driving]"})</f>
        <v>03 Driving</v>
      </c>
      <c r="AE269" s="141" t="str" vm="1320">
        <f t="shared" si="36"/>
        <v/>
      </c>
      <c r="AF269" s="23">
        <f>COUNTIF($AA$47:$AA269,$AA269)-1</f>
        <v>44</v>
      </c>
      <c r="AP269"/>
      <c r="AQ269"/>
      <c r="AR269"/>
      <c r="BG269" s="130" t="e">
        <f t="shared" si="34"/>
        <v>#N/A</v>
      </c>
      <c r="BH269" s="130" t="e">
        <f>IF(ISNA(IF(VLOOKUP($BG269,$BG$24:$BG268,1,FALSE)=BG269,BG269+BI269,0)),BG269,(IF(VLOOKUP($BG269,$BG$24:$BG268,1,FALSE)=BG269,BG269+BI269,0)))</f>
        <v>#N/A</v>
      </c>
      <c r="BI269" s="23">
        <f>COUNTIF($BG$24:$BG269,BG269)-1</f>
        <v>194</v>
      </c>
      <c r="BJ269"/>
      <c r="BK269"/>
      <c r="BL269"/>
    </row>
    <row r="270" spans="26:64" hidden="1">
      <c r="Z270" s="23" t="e">
        <f t="shared" si="37"/>
        <v>#N/A</v>
      </c>
      <c r="AA270" s="130" t="e">
        <f t="shared" si="38"/>
        <v>#N/A</v>
      </c>
      <c r="AB270" s="130" t="e">
        <f>IF(ISNA(IF(VLOOKUP($AA270,$AA$47:$AA269,1,FALSE)=AA270,AA270+AF270,0)),AA270,(IF(VLOOKUP($AA270,$AA$46:$AA270,1,FALSE)=AA270,AA270+AF270,0)))</f>
        <v>#N/A</v>
      </c>
      <c r="AC270" s="23" t="str" vm="16">
        <f t="shared" si="40"/>
        <v>Legal</v>
      </c>
      <c r="AD270" s="23" t="e">
        <f>CUBEMEMBER("cabcrmsqlrs1 CABReportingCubes Local Advice Event",{"[AIC Outcome].[AIC Part1].&amp;[Legal]","[AIC Outcome].[AIC Part2].&amp;[Legal]&amp;[03 Self Employment/Business]"})</f>
        <v>#N/A</v>
      </c>
      <c r="AE270" s="141" t="e">
        <f t="shared" si="36"/>
        <v>#N/A</v>
      </c>
      <c r="AF270" s="23">
        <f>COUNTIF($AA$47:$AA270,$AA270)-1</f>
        <v>178</v>
      </c>
      <c r="AP270"/>
      <c r="AQ270"/>
      <c r="AR270"/>
      <c r="BG270" s="130" t="e">
        <f t="shared" si="34"/>
        <v>#N/A</v>
      </c>
      <c r="BH270" s="130" t="e">
        <f>IF(ISNA(IF(VLOOKUP($BG270,$BG$24:$BG269,1,FALSE)=BG270,BG270+BI270,0)),BG270,(IF(VLOOKUP($BG270,$BG$24:$BG269,1,FALSE)=BG270,BG270+BI270,0)))</f>
        <v>#N/A</v>
      </c>
      <c r="BI270" s="23">
        <f>COUNTIF($BG$24:$BG270,BG270)-1</f>
        <v>195</v>
      </c>
      <c r="BJ270"/>
      <c r="BK270"/>
      <c r="BL270"/>
    </row>
    <row r="271" spans="26:64" hidden="1">
      <c r="Z271" s="23" t="str">
        <f t="shared" si="37"/>
        <v>Legal04 Crown Court proceedings</v>
      </c>
      <c r="AA271" s="130" t="e">
        <f t="shared" si="38"/>
        <v>#VALUE!</v>
      </c>
      <c r="AB271" s="130" t="e">
        <f>IF(ISNA(IF(VLOOKUP($AA271,$AA$47:$AA270,1,FALSE)=AA271,AA271+AF271,0)),AA271,(IF(VLOOKUP($AA271,$AA$46:$AA271,1,FALSE)=AA271,AA271+AF271,0)))</f>
        <v>#VALUE!</v>
      </c>
      <c r="AC271" s="23" t="str" vm="16">
        <f t="shared" si="40"/>
        <v>Legal</v>
      </c>
      <c r="AD271" s="23" t="str" vm="362">
        <f>CUBEMEMBER("cabcrmsqlrs1 CABReportingCubes Local Advice Event",{"[AIC Outcome].[AIC Part1].&amp;[Legal]","[AIC Outcome].[AIC Part2].&amp;[Legal]&amp;[04 Crown Court proceedings]"})</f>
        <v>04 Crown Court proceedings</v>
      </c>
      <c r="AE271" s="141" t="str" vm="1192">
        <f t="shared" si="36"/>
        <v/>
      </c>
      <c r="AF271" s="23">
        <f>COUNTIF($AA$47:$AA271,$AA271)-1</f>
        <v>45</v>
      </c>
      <c r="AP271"/>
      <c r="AQ271"/>
      <c r="AR271"/>
      <c r="BG271" s="130" t="e">
        <f t="shared" si="34"/>
        <v>#N/A</v>
      </c>
      <c r="BH271" s="130" t="e">
        <f>IF(ISNA(IF(VLOOKUP($BG271,$BG$24:$BG270,1,FALSE)=BG271,BG271+BI271,0)),BG271,(IF(VLOOKUP($BG271,$BG$24:$BG270,1,FALSE)=BG271,BG271+BI271,0)))</f>
        <v>#N/A</v>
      </c>
      <c r="BI271" s="23">
        <f>COUNTIF($BG$24:$BG271,BG271)-1</f>
        <v>196</v>
      </c>
      <c r="BJ271"/>
      <c r="BK271"/>
      <c r="BL271"/>
    </row>
    <row r="272" spans="26:64" hidden="1">
      <c r="Z272" s="23" t="str">
        <f t="shared" si="37"/>
        <v>Legal04 Family, dependents &amp; partners</v>
      </c>
      <c r="AA272" s="130" t="e">
        <f t="shared" si="38"/>
        <v>#VALUE!</v>
      </c>
      <c r="AB272" s="130" t="e">
        <f>IF(ISNA(IF(VLOOKUP($AA272,$AA$47:$AA271,1,FALSE)=AA272,AA272+AF272,0)),AA272,(IF(VLOOKUP($AA272,$AA$46:$AA272,1,FALSE)=AA272,AA272+AF272,0)))</f>
        <v>#VALUE!</v>
      </c>
      <c r="AC272" s="23" t="str" vm="16">
        <f t="shared" si="40"/>
        <v>Legal</v>
      </c>
      <c r="AD272" s="23" t="str" vm="350">
        <f>CUBEMEMBER("cabcrmsqlrs1 CABReportingCubes Local Advice Event",{"[AIC Outcome].[AIC Part1].&amp;[Legal]","[AIC Outcome].[AIC Part2].&amp;[Legal]&amp;[04 Family, dependents &amp; partners]"})</f>
        <v>04 Family, dependents &amp; partners</v>
      </c>
      <c r="AE272" s="141" t="str" vm="1233">
        <f t="shared" si="36"/>
        <v/>
      </c>
      <c r="AF272" s="23">
        <f>COUNTIF($AA$47:$AA272,$AA272)-1</f>
        <v>46</v>
      </c>
      <c r="AP272"/>
      <c r="AQ272"/>
      <c r="AR272"/>
      <c r="BG272" s="130" t="e">
        <f t="shared" si="34"/>
        <v>#N/A</v>
      </c>
      <c r="BH272" s="130" t="e">
        <f>IF(ISNA(IF(VLOOKUP($BG272,$BG$24:$BG271,1,FALSE)=BG272,BG272+BI272,0)),BG272,(IF(VLOOKUP($BG272,$BG$24:$BG271,1,FALSE)=BG272,BG272+BI272,0)))</f>
        <v>#N/A</v>
      </c>
      <c r="BI272" s="23">
        <f>COUNTIF($BG$24:$BG272,BG272)-1</f>
        <v>197</v>
      </c>
      <c r="BJ272"/>
      <c r="BK272"/>
      <c r="BL272"/>
    </row>
    <row r="273" spans="26:64" hidden="1">
      <c r="Z273" s="23" t="str">
        <f t="shared" si="37"/>
        <v>Legal05 Legal aid</v>
      </c>
      <c r="AA273" s="130" t="e">
        <f t="shared" si="38"/>
        <v>#N/A</v>
      </c>
      <c r="AB273" s="130" t="e">
        <f>IF(ISNA(IF(VLOOKUP($AA273,$AA$47:$AA272,1,FALSE)=AA273,AA273+AF273,0)),AA273,(IF(VLOOKUP($AA273,$AA$46:$AA273,1,FALSE)=AA273,AA273+AF273,0)))</f>
        <v>#N/A</v>
      </c>
      <c r="AC273" s="23" t="str" vm="16">
        <f t="shared" si="40"/>
        <v>Legal</v>
      </c>
      <c r="AD273" s="23" t="str" vm="349">
        <f>CUBEMEMBER("cabcrmsqlrs1 CABReportingCubes Local Advice Event",{"[AIC Outcome].[AIC Part1].&amp;[Legal]","[AIC Outcome].[AIC Part2].&amp;[Legal]&amp;[05 Legal aid]"})</f>
        <v>05 Legal aid</v>
      </c>
      <c r="AE273" s="141" vm="1036">
        <f t="shared" si="36"/>
        <v>18</v>
      </c>
      <c r="AF273" s="23">
        <f>COUNTIF($AA$47:$AA273,$AA273)-1</f>
        <v>179</v>
      </c>
      <c r="AP273"/>
      <c r="AQ273"/>
      <c r="AR273"/>
      <c r="BG273" s="130" t="e">
        <f t="shared" si="34"/>
        <v>#N/A</v>
      </c>
      <c r="BH273" s="130" t="e">
        <f>IF(ISNA(IF(VLOOKUP($BG273,$BG$24:$BG272,1,FALSE)=BG273,BG273+BI273,0)),BG273,(IF(VLOOKUP($BG273,$BG$24:$BG272,1,FALSE)=BG273,BG273+BI273,0)))</f>
        <v>#N/A</v>
      </c>
      <c r="BI273" s="23">
        <f>COUNTIF($BG$24:$BG273,BG273)-1</f>
        <v>198</v>
      </c>
      <c r="BJ273"/>
      <c r="BK273"/>
      <c r="BL273"/>
    </row>
    <row r="274" spans="26:64" hidden="1">
      <c r="Z274" s="23" t="str">
        <f t="shared" si="37"/>
        <v>Legal06 Solicitors/barristers</v>
      </c>
      <c r="AA274" s="130" t="e">
        <f t="shared" si="38"/>
        <v>#N/A</v>
      </c>
      <c r="AB274" s="130" t="e">
        <f>IF(ISNA(IF(VLOOKUP($AA274,$AA$47:$AA273,1,FALSE)=AA274,AA274+AF274,0)),AA274,(IF(VLOOKUP($AA274,$AA$46:$AA274,1,FALSE)=AA274,AA274+AF274,0)))</f>
        <v>#N/A</v>
      </c>
      <c r="AC274" s="23" t="str" vm="16">
        <f t="shared" si="40"/>
        <v>Legal</v>
      </c>
      <c r="AD274" s="23" t="str" vm="319">
        <f>CUBEMEMBER("cabcrmsqlrs1 CABReportingCubes Local Advice Event",{"[AIC Outcome].[AIC Part1].&amp;[Legal]","[AIC Outcome].[AIC Part2].&amp;[Legal]&amp;[06 Solicitors/barristers]"})</f>
        <v>06 Solicitors/barristers</v>
      </c>
      <c r="AE274" s="141" vm="1134">
        <f t="shared" si="36"/>
        <v>46</v>
      </c>
      <c r="AF274" s="23">
        <f>COUNTIF($AA$47:$AA274,$AA274)-1</f>
        <v>180</v>
      </c>
      <c r="AP274"/>
      <c r="AQ274"/>
      <c r="AR274"/>
      <c r="BG274" s="130" t="e">
        <f t="shared" si="34"/>
        <v>#N/A</v>
      </c>
      <c r="BH274" s="130" t="e">
        <f>IF(ISNA(IF(VLOOKUP($BG274,$BG$24:$BG273,1,FALSE)=BG274,BG274+BI274,0)),BG274,(IF(VLOOKUP($BG274,$BG$24:$BG273,1,FALSE)=BG274,BG274+BI274,0)))</f>
        <v>#N/A</v>
      </c>
      <c r="BI274" s="23">
        <f>COUNTIF($BG$24:$BG274,BG274)-1</f>
        <v>199</v>
      </c>
      <c r="BJ274"/>
      <c r="BK274"/>
      <c r="BL274"/>
    </row>
    <row r="275" spans="26:64" hidden="1">
      <c r="Z275" s="23" t="str">
        <f t="shared" si="37"/>
        <v>Legal07 Police</v>
      </c>
      <c r="AA275" s="130" t="e">
        <f t="shared" si="38"/>
        <v>#N/A</v>
      </c>
      <c r="AB275" s="130" t="e">
        <f>IF(ISNA(IF(VLOOKUP($AA275,$AA$47:$AA274,1,FALSE)=AA275,AA275+AF275,0)),AA275,(IF(VLOOKUP($AA275,$AA$46:$AA275,1,FALSE)=AA275,AA275+AF275,0)))</f>
        <v>#N/A</v>
      </c>
      <c r="AC275" s="23" t="str" vm="16">
        <f t="shared" si="40"/>
        <v>Legal</v>
      </c>
      <c r="AD275" s="23" t="str" vm="348">
        <f>CUBEMEMBER("cabcrmsqlrs1 CABReportingCubes Local Advice Event",{"[AIC Outcome].[AIC Part1].&amp;[Legal]","[AIC Outcome].[AIC Part2].&amp;[Legal]&amp;[07 Police]"})</f>
        <v>07 Police</v>
      </c>
      <c r="AE275" s="141" vm="1241">
        <f t="shared" si="36"/>
        <v>8</v>
      </c>
      <c r="AF275" s="23">
        <f>COUNTIF($AA$47:$AA275,$AA275)-1</f>
        <v>181</v>
      </c>
      <c r="AP275"/>
      <c r="AQ275"/>
      <c r="AR275"/>
      <c r="BG275" s="130" t="e">
        <f t="shared" si="34"/>
        <v>#N/A</v>
      </c>
      <c r="BH275" s="130" t="e">
        <f>IF(ISNA(IF(VLOOKUP($BG275,$BG$24:$BG274,1,FALSE)=BG275,BG275+BI275,0)),BG275,(IF(VLOOKUP($BG275,$BG$24:$BG274,1,FALSE)=BG275,BG275+BI275,0)))</f>
        <v>#N/A</v>
      </c>
      <c r="BI275" s="23">
        <f>COUNTIF($BG$24:$BG275,BG275)-1</f>
        <v>200</v>
      </c>
      <c r="BJ275"/>
      <c r="BK275"/>
      <c r="BL275"/>
    </row>
    <row r="276" spans="26:64" hidden="1">
      <c r="Z276" s="23" t="str">
        <f t="shared" si="37"/>
        <v>Legal08 Victims of crime</v>
      </c>
      <c r="AA276" s="130" t="e">
        <f t="shared" si="38"/>
        <v>#VALUE!</v>
      </c>
      <c r="AB276" s="130" t="e">
        <f>IF(ISNA(IF(VLOOKUP($AA276,$AA$47:$AA275,1,FALSE)=AA276,AA276+AF276,0)),AA276,(IF(VLOOKUP($AA276,$AA$46:$AA276,1,FALSE)=AA276,AA276+AF276,0)))</f>
        <v>#VALUE!</v>
      </c>
      <c r="AC276" s="23" t="str" vm="16">
        <f t="shared" si="40"/>
        <v>Legal</v>
      </c>
      <c r="AD276" s="23" t="str" vm="318">
        <f>CUBEMEMBER("cabcrmsqlrs1 CABReportingCubes Local Advice Event",{"[AIC Outcome].[AIC Part1].&amp;[Legal]","[AIC Outcome].[AIC Part2].&amp;[Legal]&amp;[08 Victims of crime]"})</f>
        <v>08 Victims of crime</v>
      </c>
      <c r="AE276" s="141" t="str" vm="1189">
        <f t="shared" si="36"/>
        <v/>
      </c>
      <c r="AF276" s="23">
        <f>COUNTIF($AA$47:$AA276,$AA276)-1</f>
        <v>47</v>
      </c>
      <c r="AP276"/>
      <c r="AQ276"/>
      <c r="AR276"/>
      <c r="BG276" s="130" t="e">
        <f t="shared" si="34"/>
        <v>#N/A</v>
      </c>
      <c r="BH276" s="130" t="e">
        <f>IF(ISNA(IF(VLOOKUP($BG276,$BG$24:$BG275,1,FALSE)=BG276,BG276+BI276,0)),BG276,(IF(VLOOKUP($BG276,$BG$24:$BG275,1,FALSE)=BG276,BG276+BI276,0)))</f>
        <v>#N/A</v>
      </c>
      <c r="BI276" s="23">
        <f>COUNTIF($BG$24:$BG276,BG276)-1</f>
        <v>201</v>
      </c>
      <c r="BJ276"/>
      <c r="BK276"/>
      <c r="BL276"/>
    </row>
    <row r="277" spans="26:64" hidden="1">
      <c r="Z277" s="23" t="str">
        <f t="shared" si="37"/>
        <v>Legal09 Compensation Redress</v>
      </c>
      <c r="AA277" s="130" t="e">
        <f t="shared" si="38"/>
        <v>#VALUE!</v>
      </c>
      <c r="AB277" s="130" t="e">
        <f>IF(ISNA(IF(VLOOKUP($AA277,$AA$47:$AA276,1,FALSE)=AA277,AA277+AF277,0)),AA277,(IF(VLOOKUP($AA277,$AA$46:$AA277,1,FALSE)=AA277,AA277+AF277,0)))</f>
        <v>#VALUE!</v>
      </c>
      <c r="AC277" s="23" t="str" vm="16">
        <f t="shared" si="40"/>
        <v>Legal</v>
      </c>
      <c r="AD277" s="23" t="str" vm="347">
        <f>CUBEMEMBER("cabcrmsqlrs1 CABReportingCubes Local Advice Event",{"[AIC Outcome].[AIC Part1].&amp;[Legal]","[AIC Outcome].[AIC Part2].&amp;[Legal]&amp;[09 Compensation Redress]"})</f>
        <v>09 Compensation Redress</v>
      </c>
      <c r="AE277" s="141" t="str" vm="1042">
        <f t="shared" si="36"/>
        <v/>
      </c>
      <c r="AF277" s="23">
        <f>COUNTIF($AA$47:$AA277,$AA277)-1</f>
        <v>48</v>
      </c>
      <c r="AP277"/>
      <c r="AQ277"/>
      <c r="AR277"/>
      <c r="BG277" s="130" t="e">
        <f t="shared" si="34"/>
        <v>#N/A</v>
      </c>
      <c r="BH277" s="130" t="e">
        <f>IF(ISNA(IF(VLOOKUP($BG277,$BG$24:$BG276,1,FALSE)=BG277,BG277+BI277,0)),BG277,(IF(VLOOKUP($BG277,$BG$24:$BG276,1,FALSE)=BG277,BG277+BI277,0)))</f>
        <v>#N/A</v>
      </c>
      <c r="BI277" s="23">
        <f>COUNTIF($BG$24:$BG277,BG277)-1</f>
        <v>202</v>
      </c>
      <c r="BJ277"/>
      <c r="BK277"/>
      <c r="BL277"/>
    </row>
    <row r="278" spans="26:64" hidden="1">
      <c r="Z278" s="23" t="e">
        <f t="shared" si="37"/>
        <v>#N/A</v>
      </c>
      <c r="AA278" s="130" t="e">
        <f t="shared" si="38"/>
        <v>#N/A</v>
      </c>
      <c r="AB278" s="130" t="e">
        <f>IF(ISNA(IF(VLOOKUP($AA278,$AA$47:$AA277,1,FALSE)=AA278,AA278+AF278,0)),AA278,(IF(VLOOKUP($AA278,$AA$46:$AA278,1,FALSE)=AA278,AA278+AF278,0)))</f>
        <v>#N/A</v>
      </c>
      <c r="AC278" s="23" t="str" vm="16">
        <f t="shared" si="40"/>
        <v>Legal</v>
      </c>
      <c r="AD278" s="23" t="e">
        <f>CUBEMEMBER("cabcrmsqlrs1 CABReportingCubes Local Advice Event",{"[AIC Outcome].[AIC Part1].&amp;[Legal]","[AIC Outcome].[AIC Part2].&amp;[Legal]&amp;[10 Incapacity]"})</f>
        <v>#N/A</v>
      </c>
      <c r="AE278" s="141" t="e">
        <f t="shared" si="36"/>
        <v>#N/A</v>
      </c>
      <c r="AF278" s="23">
        <f>COUNTIF($AA$47:$AA278,$AA278)-1</f>
        <v>182</v>
      </c>
      <c r="AP278"/>
      <c r="AQ278"/>
      <c r="AR278"/>
      <c r="BG278" s="130" t="e">
        <f t="shared" si="34"/>
        <v>#N/A</v>
      </c>
      <c r="BH278" s="130" t="e">
        <f>IF(ISNA(IF(VLOOKUP($BG278,$BG$24:$BG277,1,FALSE)=BG278,BG278+BI278,0)),BG278,(IF(VLOOKUP($BG278,$BG$24:$BG277,1,FALSE)=BG278,BG278+BI278,0)))</f>
        <v>#N/A</v>
      </c>
      <c r="BI278" s="23">
        <f>COUNTIF($BG$24:$BG278,BG278)-1</f>
        <v>203</v>
      </c>
      <c r="BJ278"/>
      <c r="BK278"/>
      <c r="BL278"/>
    </row>
    <row r="279" spans="26:64" hidden="1">
      <c r="Z279" s="23" t="str">
        <f t="shared" si="37"/>
        <v>Legal11 Personal-related court proceedings</v>
      </c>
      <c r="AA279" s="130" t="e">
        <f t="shared" si="38"/>
        <v>#N/A</v>
      </c>
      <c r="AB279" s="130" t="e">
        <f>IF(ISNA(IF(VLOOKUP($AA279,$AA$47:$AA278,1,FALSE)=AA279,AA279+AF279,0)),AA279,(IF(VLOOKUP($AA279,$AA$46:$AA279,1,FALSE)=AA279,AA279+AF279,0)))</f>
        <v>#N/A</v>
      </c>
      <c r="AC279" s="23" t="str" vm="16">
        <f t="shared" si="40"/>
        <v>Legal</v>
      </c>
      <c r="AD279" s="23" t="str" vm="346">
        <f>CUBEMEMBER("cabcrmsqlrs1 CABReportingCubes Local Advice Event",{"[AIC Outcome].[AIC Part1].&amp;[Legal]","[AIC Outcome].[AIC Part2].&amp;[Legal]&amp;[11 Personal-related court proceedings]"})</f>
        <v>11 Personal-related court proceedings</v>
      </c>
      <c r="AE279" s="141" vm="1068">
        <f t="shared" si="36"/>
        <v>19</v>
      </c>
      <c r="AF279" s="23">
        <f>COUNTIF($AA$47:$AA279,$AA279)-1</f>
        <v>183</v>
      </c>
      <c r="AP279"/>
      <c r="AQ279"/>
      <c r="AR279"/>
      <c r="BG279" s="130" t="e">
        <f t="shared" si="34"/>
        <v>#N/A</v>
      </c>
      <c r="BH279" s="130" t="e">
        <f>IF(ISNA(IF(VLOOKUP($BG279,$BG$24:$BG278,1,FALSE)=BG279,BG279+BI279,0)),BG279,(IF(VLOOKUP($BG279,$BG$24:$BG278,1,FALSE)=BG279,BG279+BI279,0)))</f>
        <v>#N/A</v>
      </c>
      <c r="BI279" s="23">
        <f>COUNTIF($BG$24:$BG279,BG279)-1</f>
        <v>204</v>
      </c>
      <c r="BJ279"/>
      <c r="BK279"/>
      <c r="BL279"/>
    </row>
    <row r="280" spans="26:64" hidden="1">
      <c r="Z280" s="23" t="str">
        <f t="shared" si="37"/>
        <v>Legal99 Other</v>
      </c>
      <c r="AA280" s="130" t="e">
        <f t="shared" si="38"/>
        <v>#N/A</v>
      </c>
      <c r="AB280" s="130" t="e">
        <f>IF(ISNA(IF(VLOOKUP($AA280,$AA$47:$AA279,1,FALSE)=AA280,AA280+AF280,0)),AA280,(IF(VLOOKUP($AA280,$AA$46:$AA280,1,FALSE)=AA280,AA280+AF280,0)))</f>
        <v>#N/A</v>
      </c>
      <c r="AC280" s="23" t="str" vm="16">
        <f t="shared" si="40"/>
        <v>Legal</v>
      </c>
      <c r="AD280" s="23" t="str" vm="317">
        <f>CUBEMEMBER("cabcrmsqlrs1 CABReportingCubes Local Advice Event",{"[AIC Outcome].[AIC Part1].&amp;[Legal]","[AIC Outcome].[AIC Part2].&amp;[Legal]&amp;[99 Other]"})</f>
        <v>99 Other</v>
      </c>
      <c r="AE280" s="141" vm="1102">
        <f t="shared" si="36"/>
        <v>82</v>
      </c>
      <c r="AF280" s="23">
        <f>COUNTIF($AA$47:$AA280,$AA280)-1</f>
        <v>184</v>
      </c>
      <c r="AP280"/>
      <c r="AQ280"/>
      <c r="AR280"/>
      <c r="BG280" s="130" t="e">
        <f t="shared" si="34"/>
        <v>#N/A</v>
      </c>
      <c r="BH280" s="130" t="e">
        <f>IF(ISNA(IF(VLOOKUP($BG280,$BG$24:$BG279,1,FALSE)=BG280,BG280+BI280,0)),BG280,(IF(VLOOKUP($BG280,$BG$24:$BG279,1,FALSE)=BG280,BG280+BI280,0)))</f>
        <v>#N/A</v>
      </c>
      <c r="BI280" s="23">
        <f>COUNTIF($BG$24:$BG280,BG280)-1</f>
        <v>205</v>
      </c>
      <c r="BJ280"/>
      <c r="BK280"/>
      <c r="BL280"/>
    </row>
    <row r="281" spans="26:64" hidden="1">
      <c r="Z281" s="23" t="str">
        <f t="shared" si="37"/>
        <v>LegalNot recorded/not applicable</v>
      </c>
      <c r="AA281" s="130" t="e">
        <f t="shared" si="38"/>
        <v>#N/A</v>
      </c>
      <c r="AB281" s="130" t="e">
        <f>IF(ISNA(IF(VLOOKUP($AA281,$AA$47:$AA280,1,FALSE)=AA281,AA281+AF281,0)),AA281,(IF(VLOOKUP($AA281,$AA$46:$AA281,1,FALSE)=AA281,AA281+AF281,0)))</f>
        <v>#N/A</v>
      </c>
      <c r="AC281" s="23" t="str" vm="16">
        <f t="shared" si="40"/>
        <v>Legal</v>
      </c>
      <c r="AD281" s="23" t="str" vm="345">
        <f>CUBEMEMBER("cabcrmsqlrs1 CABReportingCubes Local Advice Event",{"[AIC Outcome].[AIC Part1].&amp;[Legal]","[AIC Outcome].[AIC Part2].&amp;[Legal]&amp;[Not recorded/not applicable]"})</f>
        <v>Not recorded/not applicable</v>
      </c>
      <c r="AE281" s="141" vm="1193">
        <f t="shared" si="36"/>
        <v>243</v>
      </c>
      <c r="AF281" s="23">
        <f>COUNTIF($AA$47:$AA281,$AA281)-1</f>
        <v>185</v>
      </c>
      <c r="AP281"/>
      <c r="AQ281"/>
      <c r="AR281"/>
      <c r="BG281" s="130" t="e">
        <f t="shared" ref="BG281:BG344" si="41">RANK($BL281,$BL$24:$BL$432,0)</f>
        <v>#N/A</v>
      </c>
      <c r="BH281" s="130" t="e">
        <f>IF(ISNA(IF(VLOOKUP($BG281,$BG$24:$BG280,1,FALSE)=BG281,BG281+BI281,0)),BG281,(IF(VLOOKUP($BG281,$BG$24:$BG280,1,FALSE)=BG281,BG281+BI281,0)))</f>
        <v>#N/A</v>
      </c>
      <c r="BI281" s="23">
        <f>COUNTIF($BG$24:$BG281,BG281)-1</f>
        <v>206</v>
      </c>
      <c r="BJ281"/>
      <c r="BK281"/>
      <c r="BL281"/>
    </row>
    <row r="282" spans="26:64" hidden="1">
      <c r="Z282" s="23" t="str">
        <f t="shared" si="37"/>
        <v>Other01 Discrimination</v>
      </c>
      <c r="AA282" s="130" t="e">
        <f t="shared" si="38"/>
        <v>#VALUE!</v>
      </c>
      <c r="AB282" s="130" t="e">
        <f>IF(ISNA(IF(VLOOKUP($AA282,$AA$47:$AA281,1,FALSE)=AA282,AA282+AF282,0)),AA282,(IF(VLOOKUP($AA282,$AA$46:$AA282,1,FALSE)=AA282,AA282+AF282,0)))</f>
        <v>#VALUE!</v>
      </c>
      <c r="AC282" s="23" t="str" vm="9">
        <f t="shared" ref="AC282:AC290" si="42">CUBEMEMBER("cabcrmsqlrs1 CABReportingCubes Local Advice Event","[AIC Outcome].[AIC Part1].&amp;[Other]")</f>
        <v>Other</v>
      </c>
      <c r="AD282" s="23" t="str" vm="316">
        <f>CUBEMEMBER("cabcrmsqlrs1 CABReportingCubes Local Advice Event",{"[AIC Outcome].[AIC Part1].&amp;[Other]","[AIC Outcome].[AIC Part2].&amp;[Other]&amp;[01 Discrimination]"})</f>
        <v>01 Discrimination</v>
      </c>
      <c r="AE282" s="141" t="str" vm="1190">
        <f t="shared" si="36"/>
        <v/>
      </c>
      <c r="AF282" s="23">
        <f>COUNTIF($AA$47:$AA282,$AA282)-1</f>
        <v>49</v>
      </c>
      <c r="AP282"/>
      <c r="AQ282"/>
      <c r="AR282"/>
      <c r="BG282" s="130" t="e">
        <f t="shared" si="41"/>
        <v>#N/A</v>
      </c>
      <c r="BH282" s="130" t="e">
        <f>IF(ISNA(IF(VLOOKUP($BG282,$BG$24:$BG281,1,FALSE)=BG282,BG282+BI282,0)),BG282,(IF(VLOOKUP($BG282,$BG$24:$BG281,1,FALSE)=BG282,BG282+BI282,0)))</f>
        <v>#N/A</v>
      </c>
      <c r="BI282" s="23">
        <f>COUNTIF($BG$24:$BG282,BG282)-1</f>
        <v>207</v>
      </c>
      <c r="BJ282"/>
      <c r="BK282"/>
      <c r="BL282"/>
    </row>
    <row r="283" spans="26:64" hidden="1">
      <c r="Z283" s="23" t="str">
        <f t="shared" si="37"/>
        <v>Other02 Census</v>
      </c>
      <c r="AA283" s="130" t="e">
        <f t="shared" si="38"/>
        <v>#VALUE!</v>
      </c>
      <c r="AB283" s="130" t="e">
        <f>IF(ISNA(IF(VLOOKUP($AA283,$AA$47:$AA282,1,FALSE)=AA283,AA283+AF283,0)),AA283,(IF(VLOOKUP($AA283,$AA$46:$AA283,1,FALSE)=AA283,AA283+AF283,0)))</f>
        <v>#VALUE!</v>
      </c>
      <c r="AC283" s="23" t="str" vm="9">
        <f t="shared" si="42"/>
        <v>Other</v>
      </c>
      <c r="AD283" s="23" t="str" vm="344">
        <f>CUBEMEMBER("cabcrmsqlrs1 CABReportingCubes Local Advice Event",{"[AIC Outcome].[AIC Part1].&amp;[Other]","[AIC Outcome].[AIC Part2].&amp;[Other]&amp;[02 Census]"})</f>
        <v>02 Census</v>
      </c>
      <c r="AE283" s="141" t="str" vm="1020">
        <f t="shared" si="36"/>
        <v/>
      </c>
      <c r="AF283" s="23">
        <f>COUNTIF($AA$47:$AA283,$AA283)-1</f>
        <v>50</v>
      </c>
      <c r="AP283"/>
      <c r="AQ283"/>
      <c r="AR283"/>
      <c r="BG283" s="130" t="e">
        <f t="shared" si="41"/>
        <v>#N/A</v>
      </c>
      <c r="BH283" s="130" t="e">
        <f>IF(ISNA(IF(VLOOKUP($BG283,$BG$24:$BG282,1,FALSE)=BG283,BG283+BI283,0)),BG283,(IF(VLOOKUP($BG283,$BG$24:$BG282,1,FALSE)=BG283,BG283+BI283,0)))</f>
        <v>#N/A</v>
      </c>
      <c r="BI283" s="23">
        <f>COUNTIF($BG$24:$BG283,BG283)-1</f>
        <v>208</v>
      </c>
      <c r="BJ283"/>
      <c r="BK283"/>
      <c r="BL283"/>
    </row>
    <row r="284" spans="26:64" hidden="1">
      <c r="Z284" s="23" t="str">
        <f t="shared" si="37"/>
        <v>Other03 Elections &amp; Electoral Roll</v>
      </c>
      <c r="AA284" s="130" t="e">
        <f t="shared" si="38"/>
        <v>#VALUE!</v>
      </c>
      <c r="AB284" s="130" t="e">
        <f>IF(ISNA(IF(VLOOKUP($AA284,$AA$47:$AA283,1,FALSE)=AA284,AA284+AF284,0)),AA284,(IF(VLOOKUP($AA284,$AA$46:$AA284,1,FALSE)=AA284,AA284+AF284,0)))</f>
        <v>#VALUE!</v>
      </c>
      <c r="AC284" s="23" t="str" vm="9">
        <f t="shared" si="42"/>
        <v>Other</v>
      </c>
      <c r="AD284" s="23" t="str" vm="315">
        <f>CUBEMEMBER("cabcrmsqlrs1 CABReportingCubes Local Advice Event",{"[AIC Outcome].[AIC Part1].&amp;[Other]","[AIC Outcome].[AIC Part2].&amp;[Other]&amp;[03 Elections &amp; Electoral Roll]"})</f>
        <v>03 Elections &amp; Electoral Roll</v>
      </c>
      <c r="AE284" s="141" t="str" vm="1265">
        <f t="shared" si="36"/>
        <v/>
      </c>
      <c r="AF284" s="23">
        <f>COUNTIF($AA$47:$AA284,$AA284)-1</f>
        <v>51</v>
      </c>
      <c r="AP284"/>
      <c r="AQ284"/>
      <c r="AR284"/>
      <c r="BG284" s="130" t="e">
        <f t="shared" si="41"/>
        <v>#N/A</v>
      </c>
      <c r="BH284" s="130" t="e">
        <f>IF(ISNA(IF(VLOOKUP($BG284,$BG$24:$BG283,1,FALSE)=BG284,BG284+BI284,0)),BG284,(IF(VLOOKUP($BG284,$BG$24:$BG283,1,FALSE)=BG284,BG284+BI284,0)))</f>
        <v>#N/A</v>
      </c>
      <c r="BI284" s="23">
        <f>COUNTIF($BG$24:$BG284,BG284)-1</f>
        <v>209</v>
      </c>
      <c r="BJ284"/>
      <c r="BK284"/>
      <c r="BL284"/>
    </row>
    <row r="285" spans="26:64" hidden="1">
      <c r="Z285" s="23" t="str">
        <f t="shared" si="37"/>
        <v>Other04 Elected Representatives</v>
      </c>
      <c r="AA285" s="130" t="e">
        <f t="shared" si="38"/>
        <v>#VALUE!</v>
      </c>
      <c r="AB285" s="130" t="e">
        <f>IF(ISNA(IF(VLOOKUP($AA285,$AA$47:$AA284,1,FALSE)=AA285,AA285+AF285,0)),AA285,(IF(VLOOKUP($AA285,$AA$46:$AA285,1,FALSE)=AA285,AA285+AF285,0)))</f>
        <v>#VALUE!</v>
      </c>
      <c r="AC285" s="23" t="str" vm="9">
        <f t="shared" si="42"/>
        <v>Other</v>
      </c>
      <c r="AD285" s="23" t="str" vm="343">
        <f>CUBEMEMBER("cabcrmsqlrs1 CABReportingCubes Local Advice Event",{"[AIC Outcome].[AIC Part1].&amp;[Other]","[AIC Outcome].[AIC Part2].&amp;[Other]&amp;[04 Elected Representatives]"})</f>
        <v>04 Elected Representatives</v>
      </c>
      <c r="AE285" s="141" t="str" vm="1260">
        <f t="shared" si="36"/>
        <v/>
      </c>
      <c r="AF285" s="23">
        <f>COUNTIF($AA$47:$AA285,$AA285)-1</f>
        <v>52</v>
      </c>
      <c r="AP285"/>
      <c r="AQ285"/>
      <c r="AR285"/>
      <c r="BG285" s="130" t="e">
        <f t="shared" si="41"/>
        <v>#N/A</v>
      </c>
      <c r="BH285" s="130" t="e">
        <f>IF(ISNA(IF(VLOOKUP($BG285,$BG$24:$BG284,1,FALSE)=BG285,BG285+BI285,0)),BG285,(IF(VLOOKUP($BG285,$BG$24:$BG284,1,FALSE)=BG285,BG285+BI285,0)))</f>
        <v>#N/A</v>
      </c>
      <c r="BI285" s="23">
        <f>COUNTIF($BG$24:$BG285,BG285)-1</f>
        <v>210</v>
      </c>
      <c r="BJ285"/>
      <c r="BK285"/>
      <c r="BL285"/>
    </row>
    <row r="286" spans="26:64" hidden="1">
      <c r="Z286" s="23" t="str">
        <f t="shared" si="37"/>
        <v>Other05 Animals</v>
      </c>
      <c r="AA286" s="130" t="e">
        <f t="shared" si="38"/>
        <v>#VALUE!</v>
      </c>
      <c r="AB286" s="130" t="e">
        <f>IF(ISNA(IF(VLOOKUP($AA286,$AA$47:$AA285,1,FALSE)=AA286,AA286+AF286,0)),AA286,(IF(VLOOKUP($AA286,$AA$46:$AA286,1,FALSE)=AA286,AA286+AF286,0)))</f>
        <v>#VALUE!</v>
      </c>
      <c r="AC286" s="23" t="str" vm="9">
        <f t="shared" si="42"/>
        <v>Other</v>
      </c>
      <c r="AD286" s="23" t="str" vm="314">
        <f>CUBEMEMBER("cabcrmsqlrs1 CABReportingCubes Local Advice Event",{"[AIC Outcome].[AIC Part1].&amp;[Other]","[AIC Outcome].[AIC Part2].&amp;[Other]&amp;[05 Animals]"})</f>
        <v>05 Animals</v>
      </c>
      <c r="AE286" s="141" t="str" vm="1161">
        <f t="shared" si="36"/>
        <v/>
      </c>
      <c r="AF286" s="23">
        <f>COUNTIF($AA$47:$AA286,$AA286)-1</f>
        <v>53</v>
      </c>
      <c r="AP286"/>
      <c r="AQ286"/>
      <c r="AR286"/>
      <c r="BG286" s="130" t="e">
        <f t="shared" si="41"/>
        <v>#N/A</v>
      </c>
      <c r="BH286" s="130" t="e">
        <f>IF(ISNA(IF(VLOOKUP($BG286,$BG$24:$BG285,1,FALSE)=BG286,BG286+BI286,0)),BG286,(IF(VLOOKUP($BG286,$BG$24:$BG285,1,FALSE)=BG286,BG286+BI286,0)))</f>
        <v>#N/A</v>
      </c>
      <c r="BI286" s="23">
        <f>COUNTIF($BG$24:$BG286,BG286)-1</f>
        <v>211</v>
      </c>
      <c r="BJ286"/>
      <c r="BK286"/>
      <c r="BL286"/>
    </row>
    <row r="287" spans="26:64" hidden="1">
      <c r="Z287" s="23" t="str">
        <f t="shared" si="37"/>
        <v>Other07 Charitable support</v>
      </c>
      <c r="AA287" s="130" t="e">
        <f t="shared" si="38"/>
        <v>#N/A</v>
      </c>
      <c r="AB287" s="130" t="e">
        <f>IF(ISNA(IF(VLOOKUP($AA287,$AA$47:$AA286,1,FALSE)=AA287,AA287+AF287,0)),AA287,(IF(VLOOKUP($AA287,$AA$46:$AA287,1,FALSE)=AA287,AA287+AF287,0)))</f>
        <v>#N/A</v>
      </c>
      <c r="AC287" s="23" t="str" vm="9">
        <f t="shared" si="42"/>
        <v>Other</v>
      </c>
      <c r="AD287" s="23" t="str" vm="342">
        <f>CUBEMEMBER("cabcrmsqlrs1 CABReportingCubes Local Advice Event",{"[AIC Outcome].[AIC Part1].&amp;[Other]","[AIC Outcome].[AIC Part2].&amp;[Other]&amp;[07 Charitable support]"})</f>
        <v>07 Charitable support</v>
      </c>
      <c r="AE287" s="141" vm="1035">
        <f t="shared" si="36"/>
        <v>502</v>
      </c>
      <c r="AF287" s="23">
        <f>COUNTIF($AA$47:$AA287,$AA287)-1</f>
        <v>186</v>
      </c>
      <c r="AP287"/>
      <c r="AQ287"/>
      <c r="AR287"/>
      <c r="BG287" s="130" t="e">
        <f t="shared" si="41"/>
        <v>#N/A</v>
      </c>
      <c r="BH287" s="130" t="e">
        <f>IF(ISNA(IF(VLOOKUP($BG287,$BG$24:$BG286,1,FALSE)=BG287,BG287+BI287,0)),BG287,(IF(VLOOKUP($BG287,$BG$24:$BG286,1,FALSE)=BG287,BG287+BI287,0)))</f>
        <v>#N/A</v>
      </c>
      <c r="BI287" s="23">
        <f>COUNTIF($BG$24:$BG287,BG287)-1</f>
        <v>212</v>
      </c>
      <c r="BJ287"/>
      <c r="BK287"/>
      <c r="BL287"/>
    </row>
    <row r="288" spans="26:64" hidden="1">
      <c r="Z288" s="23" t="e">
        <f t="shared" si="37"/>
        <v>#N/A</v>
      </c>
      <c r="AA288" s="130" t="e">
        <f t="shared" si="38"/>
        <v>#N/A</v>
      </c>
      <c r="AB288" s="130" t="e">
        <f>IF(ISNA(IF(VLOOKUP($AA288,$AA$47:$AA287,1,FALSE)=AA288,AA288+AF288,0)),AA288,(IF(VLOOKUP($AA288,$AA$46:$AA288,1,FALSE)=AA288,AA288+AF288,0)))</f>
        <v>#N/A</v>
      </c>
      <c r="AC288" s="23" t="str" vm="9">
        <f t="shared" si="42"/>
        <v>Other</v>
      </c>
      <c r="AD288" s="23" t="e">
        <f>CUBEMEMBER("cabcrmsqlrs1 CABReportingCubes Local Advice Event",{"[AIC Outcome].[AIC Part1].&amp;[Other]","[AIC Outcome].[AIC Part2].&amp;[Other]&amp;[51 Other legal remedies]"})</f>
        <v>#N/A</v>
      </c>
      <c r="AE288" s="141" t="e">
        <f t="shared" si="36"/>
        <v>#N/A</v>
      </c>
      <c r="AF288" s="23">
        <f>COUNTIF($AA$47:$AA288,$AA288)-1</f>
        <v>187</v>
      </c>
      <c r="AP288"/>
      <c r="AQ288"/>
      <c r="AR288"/>
      <c r="BG288" s="130" t="e">
        <f t="shared" si="41"/>
        <v>#N/A</v>
      </c>
      <c r="BH288" s="130" t="e">
        <f>IF(ISNA(IF(VLOOKUP($BG288,$BG$24:$BG287,1,FALSE)=BG288,BG288+BI288,0)),BG288,(IF(VLOOKUP($BG288,$BG$24:$BG287,1,FALSE)=BG288,BG288+BI288,0)))</f>
        <v>#N/A</v>
      </c>
      <c r="BI288" s="23">
        <f>COUNTIF($BG$24:$BG288,BG288)-1</f>
        <v>213</v>
      </c>
      <c r="BJ288"/>
      <c r="BK288"/>
      <c r="BL288"/>
    </row>
    <row r="289" spans="26:64" hidden="1">
      <c r="Z289" s="23" t="str">
        <f t="shared" si="37"/>
        <v>Other99 Other</v>
      </c>
      <c r="AA289" s="130" t="e">
        <f t="shared" si="38"/>
        <v>#N/A</v>
      </c>
      <c r="AB289" s="130" t="e">
        <f>IF(ISNA(IF(VLOOKUP($AA289,$AA$47:$AA288,1,FALSE)=AA289,AA289+AF289,0)),AA289,(IF(VLOOKUP($AA289,$AA$46:$AA289,1,FALSE)=AA289,AA289+AF289,0)))</f>
        <v>#N/A</v>
      </c>
      <c r="AC289" s="23" t="str" vm="9">
        <f t="shared" si="42"/>
        <v>Other</v>
      </c>
      <c r="AD289" s="23" t="str" vm="341">
        <f>CUBEMEMBER("cabcrmsqlrs1 CABReportingCubes Local Advice Event",{"[AIC Outcome].[AIC Part1].&amp;[Other]","[AIC Outcome].[AIC Part2].&amp;[Other]&amp;[99 Other]"})</f>
        <v>99 Other</v>
      </c>
      <c r="AE289" s="141" vm="1080">
        <f t="shared" si="36"/>
        <v>34</v>
      </c>
      <c r="AF289" s="23">
        <f>COUNTIF($AA$47:$AA289,$AA289)-1</f>
        <v>188</v>
      </c>
      <c r="AP289"/>
      <c r="AQ289"/>
      <c r="AR289"/>
      <c r="BG289" s="130" t="e">
        <f t="shared" si="41"/>
        <v>#N/A</v>
      </c>
      <c r="BH289" s="130" t="e">
        <f>IF(ISNA(IF(VLOOKUP($BG289,$BG$24:$BG288,1,FALSE)=BG289,BG289+BI289,0)),BG289,(IF(VLOOKUP($BG289,$BG$24:$BG288,1,FALSE)=BG289,BG289+BI289,0)))</f>
        <v>#N/A</v>
      </c>
      <c r="BI289" s="23">
        <f>COUNTIF($BG$24:$BG289,BG289)-1</f>
        <v>214</v>
      </c>
      <c r="BJ289"/>
      <c r="BK289"/>
      <c r="BL289"/>
    </row>
    <row r="290" spans="26:64" hidden="1">
      <c r="Z290" s="23" t="str">
        <f t="shared" si="37"/>
        <v>OtherNot recorded/not applicable</v>
      </c>
      <c r="AA290" s="130" t="e">
        <f t="shared" si="38"/>
        <v>#N/A</v>
      </c>
      <c r="AB290" s="130" t="e">
        <f>IF(ISNA(IF(VLOOKUP($AA290,$AA$47:$AA289,1,FALSE)=AA290,AA290+AF290,0)),AA290,(IF(VLOOKUP($AA290,$AA$46:$AA290,1,FALSE)=AA290,AA290+AF290,0)))</f>
        <v>#N/A</v>
      </c>
      <c r="AC290" s="23" t="str" vm="9">
        <f t="shared" si="42"/>
        <v>Other</v>
      </c>
      <c r="AD290" s="23" t="str" vm="313">
        <f>CUBEMEMBER("cabcrmsqlrs1 CABReportingCubes Local Advice Event",{"[AIC Outcome].[AIC Part1].&amp;[Other]","[AIC Outcome].[AIC Part2].&amp;[Other]&amp;[Not recorded/not applicable]"})</f>
        <v>Not recorded/not applicable</v>
      </c>
      <c r="AE290" s="141" vm="1079">
        <f t="shared" si="36"/>
        <v>75</v>
      </c>
      <c r="AF290" s="23">
        <f>COUNTIF($AA$47:$AA290,$AA290)-1</f>
        <v>189</v>
      </c>
      <c r="AP290"/>
      <c r="AQ290"/>
      <c r="AR290"/>
      <c r="BG290" s="130" t="e">
        <f t="shared" si="41"/>
        <v>#N/A</v>
      </c>
      <c r="BH290" s="130" t="e">
        <f>IF(ISNA(IF(VLOOKUP($BG290,$BG$24:$BG289,1,FALSE)=BG290,BG290+BI290,0)),BG290,(IF(VLOOKUP($BG290,$BG$24:$BG289,1,FALSE)=BG290,BG290+BI290,0)))</f>
        <v>#N/A</v>
      </c>
      <c r="BI290" s="23">
        <f>COUNTIF($BG$24:$BG290,BG290)-1</f>
        <v>215</v>
      </c>
      <c r="BJ290"/>
      <c r="BK290"/>
      <c r="BL290"/>
    </row>
    <row r="291" spans="26:64" hidden="1">
      <c r="Z291" s="23" t="str">
        <f t="shared" si="37"/>
        <v>Relationships &amp; family01 Discrimination</v>
      </c>
      <c r="AA291" s="130" t="e">
        <f t="shared" si="38"/>
        <v>#VALUE!</v>
      </c>
      <c r="AB291" s="130" t="e">
        <f>IF(ISNA(IF(VLOOKUP($AA291,$AA$47:$AA290,1,FALSE)=AA291,AA291+AF291,0)),AA291,(IF(VLOOKUP($AA291,$AA$46:$AA291,1,FALSE)=AA291,AA291+AF291,0)))</f>
        <v>#VALUE!</v>
      </c>
      <c r="AC291" s="23" t="str" vm="4">
        <f t="shared" ref="AC291:AC310" si="43">CUBEMEMBER("cabcrmsqlrs1 CABReportingCubes Local Advice Event","[AIC Outcome].[AIC Part1].&amp;[Relationships &amp; family]")</f>
        <v>Relationships &amp; family</v>
      </c>
      <c r="AD291" s="23" t="str" vm="340">
        <f>CUBEMEMBER("cabcrmsqlrs1 CABReportingCubes Local Advice Event",{"[AIC Outcome].[AIC Part1].&amp;[Relationships &amp; family]","[AIC Outcome].[AIC Part2].&amp;[Relationships &amp; family]&amp;[01 Discrimination]"})</f>
        <v>01 Discrimination</v>
      </c>
      <c r="AE291" s="141" t="str" vm="1031">
        <f t="shared" si="36"/>
        <v/>
      </c>
      <c r="AF291" s="23">
        <f>COUNTIF($AA$47:$AA291,$AA291)-1</f>
        <v>54</v>
      </c>
      <c r="AP291"/>
      <c r="AQ291"/>
      <c r="AR291"/>
      <c r="BG291" s="130" t="e">
        <f t="shared" si="41"/>
        <v>#N/A</v>
      </c>
      <c r="BH291" s="130" t="e">
        <f>IF(ISNA(IF(VLOOKUP($BG291,$BG$24:$BG290,1,FALSE)=BG291,BG291+BI291,0)),BG291,(IF(VLOOKUP($BG291,$BG$24:$BG290,1,FALSE)=BG291,BG291+BI291,0)))</f>
        <v>#N/A</v>
      </c>
      <c r="BI291" s="23">
        <f>COUNTIF($BG$24:$BG291,BG291)-1</f>
        <v>216</v>
      </c>
      <c r="BJ291"/>
      <c r="BK291"/>
      <c r="BL291"/>
    </row>
    <row r="292" spans="26:64" hidden="1">
      <c r="Z292" s="23" t="e">
        <f t="shared" si="37"/>
        <v>#N/A</v>
      </c>
      <c r="AA292" s="130" t="e">
        <f t="shared" si="38"/>
        <v>#N/A</v>
      </c>
      <c r="AB292" s="130" t="e">
        <f>IF(ISNA(IF(VLOOKUP($AA292,$AA$47:$AA291,1,FALSE)=AA292,AA292+AF292,0)),AA292,(IF(VLOOKUP($AA292,$AA$46:$AA292,1,FALSE)=AA292,AA292+AF292,0)))</f>
        <v>#N/A</v>
      </c>
      <c r="AC292" s="23" t="str" vm="4">
        <f t="shared" si="43"/>
        <v>Relationships &amp; family</v>
      </c>
      <c r="AD292" s="23" t="e">
        <f>CUBEMEMBER("cabcrmsqlrs1 CABReportingCubes Local Advice Event",{"[AIC Outcome].[AIC Part1].&amp;[Relationships &amp; family]","[AIC Outcome].[AIC Part2].&amp;[Relationships &amp; family]&amp;[02 Actual homelessness]"})</f>
        <v>#N/A</v>
      </c>
      <c r="AE292" s="141" t="e">
        <f t="shared" si="36"/>
        <v>#N/A</v>
      </c>
      <c r="AF292" s="23">
        <f>COUNTIF($AA$47:$AA292,$AA292)-1</f>
        <v>190</v>
      </c>
      <c r="AP292"/>
      <c r="AQ292"/>
      <c r="AR292"/>
      <c r="BG292" s="130" t="e">
        <f t="shared" si="41"/>
        <v>#N/A</v>
      </c>
      <c r="BH292" s="130" t="e">
        <f>IF(ISNA(IF(VLOOKUP($BG292,$BG$24:$BG291,1,FALSE)=BG292,BG292+BI292,0)),BG292,(IF(VLOOKUP($BG292,$BG$24:$BG291,1,FALSE)=BG292,BG292+BI292,0)))</f>
        <v>#N/A</v>
      </c>
      <c r="BI292" s="23">
        <f>COUNTIF($BG$24:$BG292,BG292)-1</f>
        <v>217</v>
      </c>
      <c r="BJ292"/>
      <c r="BK292"/>
      <c r="BL292"/>
    </row>
    <row r="293" spans="26:64" hidden="1">
      <c r="Z293" s="23" t="e">
        <f t="shared" si="37"/>
        <v>#N/A</v>
      </c>
      <c r="AA293" s="130" t="e">
        <f t="shared" si="38"/>
        <v>#N/A</v>
      </c>
      <c r="AB293" s="130" t="e">
        <f>IF(ISNA(IF(VLOOKUP($AA293,$AA$47:$AA292,1,FALSE)=AA293,AA293+AF293,0)),AA293,(IF(VLOOKUP($AA293,$AA$46:$AA293,1,FALSE)=AA293,AA293+AF293,0)))</f>
        <v>#N/A</v>
      </c>
      <c r="AC293" s="23" t="str" vm="4">
        <f t="shared" si="43"/>
        <v>Relationships &amp; family</v>
      </c>
      <c r="AD293" s="23" t="e">
        <f>CUBEMEMBER("cabcrmsqlrs1 CABReportingCubes Local Advice Event",{"[AIC Outcome].[AIC Part1].&amp;[Relationships &amp; family]","[AIC Outcome].[AIC Part2].&amp;[Relationships &amp; family]&amp;[02 Income Support]"})</f>
        <v>#N/A</v>
      </c>
      <c r="AE293" s="141" t="e">
        <f t="shared" si="36"/>
        <v>#N/A</v>
      </c>
      <c r="AF293" s="23">
        <f>COUNTIF($AA$47:$AA293,$AA293)-1</f>
        <v>191</v>
      </c>
      <c r="AP293"/>
      <c r="AQ293"/>
      <c r="AR293"/>
      <c r="BG293" s="130" t="e">
        <f t="shared" si="41"/>
        <v>#N/A</v>
      </c>
      <c r="BH293" s="130" t="e">
        <f>IF(ISNA(IF(VLOOKUP($BG293,$BG$24:$BG292,1,FALSE)=BG293,BG293+BI293,0)),BG293,(IF(VLOOKUP($BG293,$BG$24:$BG292,1,FALSE)=BG293,BG293+BI293,0)))</f>
        <v>#N/A</v>
      </c>
      <c r="BI293" s="23">
        <f>COUNTIF($BG$24:$BG293,BG293)-1</f>
        <v>218</v>
      </c>
      <c r="BJ293"/>
      <c r="BK293"/>
      <c r="BL293"/>
    </row>
    <row r="294" spans="26:64" hidden="1">
      <c r="Z294" s="23" t="e">
        <f t="shared" si="37"/>
        <v>#N/A</v>
      </c>
      <c r="AA294" s="130" t="e">
        <f t="shared" si="38"/>
        <v>#N/A</v>
      </c>
      <c r="AB294" s="130" t="e">
        <f>IF(ISNA(IF(VLOOKUP($AA294,$AA$47:$AA293,1,FALSE)=AA294,AA294+AF294,0)),AA294,(IF(VLOOKUP($AA294,$AA$46:$AA294,1,FALSE)=AA294,AA294+AF294,0)))</f>
        <v>#N/A</v>
      </c>
      <c r="AC294" s="23" t="str" vm="4">
        <f t="shared" si="43"/>
        <v>Relationships &amp; family</v>
      </c>
      <c r="AD294" s="23" t="e">
        <f>CUBEMEMBER("cabcrmsqlrs1 CABReportingCubes Local Advice Event",{"[AIC Outcome].[AIC Part1].&amp;[Relationships &amp; family]","[AIC Outcome].[AIC Part2].&amp;[Relationships &amp; family]&amp;[02 Magistrates Court proceedings]"})</f>
        <v>#N/A</v>
      </c>
      <c r="AE294" s="141" t="e">
        <f t="shared" si="36"/>
        <v>#N/A</v>
      </c>
      <c r="AF294" s="23">
        <f>COUNTIF($AA$47:$AA294,$AA294)-1</f>
        <v>192</v>
      </c>
      <c r="AP294"/>
      <c r="AQ294"/>
      <c r="AR294"/>
      <c r="BG294" s="130" t="e">
        <f t="shared" si="41"/>
        <v>#N/A</v>
      </c>
      <c r="BH294" s="130" t="e">
        <f>IF(ISNA(IF(VLOOKUP($BG294,$BG$24:$BG293,1,FALSE)=BG294,BG294+BI294,0)),BG294,(IF(VLOOKUP($BG294,$BG$24:$BG293,1,FALSE)=BG294,BG294+BI294,0)))</f>
        <v>#N/A</v>
      </c>
      <c r="BI294" s="23">
        <f>COUNTIF($BG$24:$BG294,BG294)-1</f>
        <v>219</v>
      </c>
      <c r="BJ294"/>
      <c r="BK294"/>
      <c r="BL294"/>
    </row>
    <row r="295" spans="26:64" hidden="1">
      <c r="Z295" s="23" t="str">
        <f t="shared" si="37"/>
        <v>Relationships &amp; family02 Marriage, cohabitation, civil partnership</v>
      </c>
      <c r="AA295" s="130" t="e">
        <f t="shared" si="38"/>
        <v>#N/A</v>
      </c>
      <c r="AB295" s="130" t="e">
        <f>IF(ISNA(IF(VLOOKUP($AA295,$AA$47:$AA294,1,FALSE)=AA295,AA295+AF295,0)),AA295,(IF(VLOOKUP($AA295,$AA$46:$AA295,1,FALSE)=AA295,AA295+AF295,0)))</f>
        <v>#N/A</v>
      </c>
      <c r="AC295" s="23" t="str" vm="4">
        <f t="shared" si="43"/>
        <v>Relationships &amp; family</v>
      </c>
      <c r="AD295" s="23" t="str" vm="339">
        <f>CUBEMEMBER("cabcrmsqlrs1 CABReportingCubes Local Advice Event",{"[AIC Outcome].[AIC Part1].&amp;[Relationships &amp; family]","[AIC Outcome].[AIC Part2].&amp;[Relationships &amp; family]&amp;[02 Marriage, cohabitation, civil partnership]"})</f>
        <v>02 Marriage, cohabitation, civil partnership</v>
      </c>
      <c r="AE295" s="141" vm="1269">
        <f t="shared" si="36"/>
        <v>28</v>
      </c>
      <c r="AF295" s="23">
        <f>COUNTIF($AA$47:$AA295,$AA295)-1</f>
        <v>193</v>
      </c>
      <c r="AP295"/>
      <c r="AQ295"/>
      <c r="AR295"/>
      <c r="BG295" s="130" t="e">
        <f t="shared" si="41"/>
        <v>#N/A</v>
      </c>
      <c r="BH295" s="130" t="e">
        <f>IF(ISNA(IF(VLOOKUP($BG295,$BG$24:$BG294,1,FALSE)=BG295,BG295+BI295,0)),BG295,(IF(VLOOKUP($BG295,$BG$24:$BG294,1,FALSE)=BG295,BG295+BI295,0)))</f>
        <v>#N/A</v>
      </c>
      <c r="BI295" s="23">
        <f>COUNTIF($BG$24:$BG295,BG295)-1</f>
        <v>220</v>
      </c>
      <c r="BJ295"/>
      <c r="BK295"/>
      <c r="BL295"/>
    </row>
    <row r="296" spans="26:64" hidden="1">
      <c r="Z296" s="23" t="e">
        <f t="shared" si="37"/>
        <v>#N/A</v>
      </c>
      <c r="AA296" s="130" t="e">
        <f t="shared" si="38"/>
        <v>#N/A</v>
      </c>
      <c r="AB296" s="130" t="e">
        <f>IF(ISNA(IF(VLOOKUP($AA296,$AA$47:$AA295,1,FALSE)=AA296,AA296+AF296,0)),AA296,(IF(VLOOKUP($AA296,$AA$46:$AA296,1,FALSE)=AA296,AA296+AF296,0)))</f>
        <v>#N/A</v>
      </c>
      <c r="AC296" s="23" t="str" vm="4">
        <f t="shared" si="43"/>
        <v>Relationships &amp; family</v>
      </c>
      <c r="AD296" s="23" t="e">
        <f>CUBEMEMBER("cabcrmsqlrs1 CABReportingCubes Local Advice Event",{"[AIC Outcome].[AIC Part1].&amp;[Relationships &amp; family]","[AIC Outcome].[AIC Part2].&amp;[Relationships &amp; family]&amp;[03 County &amp; High Court proceedings]"})</f>
        <v>#N/A</v>
      </c>
      <c r="AE296" s="141" t="e">
        <f t="shared" si="36"/>
        <v>#N/A</v>
      </c>
      <c r="AF296" s="23">
        <f>COUNTIF($AA$47:$AA296,$AA296)-1</f>
        <v>194</v>
      </c>
      <c r="AP296"/>
      <c r="AQ296"/>
      <c r="AR296"/>
      <c r="BG296" s="130" t="e">
        <f t="shared" si="41"/>
        <v>#N/A</v>
      </c>
      <c r="BH296" s="130" t="e">
        <f>IF(ISNA(IF(VLOOKUP($BG296,$BG$24:$BG295,1,FALSE)=BG296,BG296+BI296,0)),BG296,(IF(VLOOKUP($BG296,$BG$24:$BG295,1,FALSE)=BG296,BG296+BI296,0)))</f>
        <v>#N/A</v>
      </c>
      <c r="BI296" s="23">
        <f>COUNTIF($BG$24:$BG296,BG296)-1</f>
        <v>221</v>
      </c>
      <c r="BJ296"/>
      <c r="BK296"/>
      <c r="BL296"/>
    </row>
    <row r="297" spans="26:64" hidden="1">
      <c r="Z297" s="23" t="str">
        <f t="shared" si="37"/>
        <v>Relationships &amp; family03 Domestic violence</v>
      </c>
      <c r="AA297" s="130" t="e">
        <f t="shared" si="38"/>
        <v>#VALUE!</v>
      </c>
      <c r="AB297" s="130" t="e">
        <f>IF(ISNA(IF(VLOOKUP($AA297,$AA$47:$AA296,1,FALSE)=AA297,AA297+AF297,0)),AA297,(IF(VLOOKUP($AA297,$AA$46:$AA297,1,FALSE)=AA297,AA297+AF297,0)))</f>
        <v>#VALUE!</v>
      </c>
      <c r="AC297" s="23" t="str" vm="4">
        <f t="shared" si="43"/>
        <v>Relationships &amp; family</v>
      </c>
      <c r="AD297" s="23" t="str" vm="338">
        <f>CUBEMEMBER("cabcrmsqlrs1 CABReportingCubes Local Advice Event",{"[AIC Outcome].[AIC Part1].&amp;[Relationships &amp; family]","[AIC Outcome].[AIC Part2].&amp;[Relationships &amp; family]&amp;[03 Domestic violence]"})</f>
        <v>03 Domestic violence</v>
      </c>
      <c r="AE297" s="141" t="str" vm="1103">
        <f t="shared" si="36"/>
        <v/>
      </c>
      <c r="AF297" s="23">
        <f>COUNTIF($AA$47:$AA297,$AA297)-1</f>
        <v>55</v>
      </c>
      <c r="AP297"/>
      <c r="AQ297"/>
      <c r="AR297"/>
      <c r="BG297" s="130" t="e">
        <f t="shared" si="41"/>
        <v>#N/A</v>
      </c>
      <c r="BH297" s="130" t="e">
        <f>IF(ISNA(IF(VLOOKUP($BG297,$BG$24:$BG296,1,FALSE)=BG297,BG297+BI297,0)),BG297,(IF(VLOOKUP($BG297,$BG$24:$BG296,1,FALSE)=BG297,BG297+BI297,0)))</f>
        <v>#N/A</v>
      </c>
      <c r="BI297" s="23">
        <f>COUNTIF($BG$24:$BG297,BG297)-1</f>
        <v>222</v>
      </c>
      <c r="BJ297"/>
      <c r="BK297"/>
      <c r="BL297"/>
    </row>
    <row r="298" spans="26:64" hidden="1">
      <c r="Z298" s="23" t="e">
        <f t="shared" si="37"/>
        <v>#N/A</v>
      </c>
      <c r="AA298" s="130" t="e">
        <f t="shared" si="38"/>
        <v>#N/A</v>
      </c>
      <c r="AB298" s="130" t="e">
        <f>IF(ISNA(IF(VLOOKUP($AA298,$AA$47:$AA297,1,FALSE)=AA298,AA298+AF298,0)),AA298,(IF(VLOOKUP($AA298,$AA$46:$AA298,1,FALSE)=AA298,AA298+AF298,0)))</f>
        <v>#N/A</v>
      </c>
      <c r="AC298" s="23" t="str" vm="4">
        <f t="shared" si="43"/>
        <v>Relationships &amp; family</v>
      </c>
      <c r="AD298" s="23" t="e">
        <f>CUBEMEMBER("cabcrmsqlrs1 CABReportingCubes Local Advice Event",{"[AIC Outcome].[AIC Part1].&amp;[Relationships &amp; family]","[AIC Outcome].[AIC Part2].&amp;[Relationships &amp; family]&amp;[03 Schools, non-advanced education]"})</f>
        <v>#N/A</v>
      </c>
      <c r="AE298" s="141" t="e">
        <f t="shared" si="36"/>
        <v>#N/A</v>
      </c>
      <c r="AF298" s="23">
        <f>COUNTIF($AA$47:$AA298,$AA298)-1</f>
        <v>195</v>
      </c>
      <c r="AP298"/>
      <c r="AQ298"/>
      <c r="AR298"/>
      <c r="BG298" s="130" t="e">
        <f t="shared" si="41"/>
        <v>#N/A</v>
      </c>
      <c r="BH298" s="130" t="e">
        <f>IF(ISNA(IF(VLOOKUP($BG298,$BG$24:$BG297,1,FALSE)=BG298,BG298+BI298,0)),BG298,(IF(VLOOKUP($BG298,$BG$24:$BG297,1,FALSE)=BG298,BG298+BI298,0)))</f>
        <v>#N/A</v>
      </c>
      <c r="BI298" s="23">
        <f>COUNTIF($BG$24:$BG298,BG298)-1</f>
        <v>223</v>
      </c>
      <c r="BJ298"/>
      <c r="BK298"/>
      <c r="BL298"/>
    </row>
    <row r="299" spans="26:64" hidden="1">
      <c r="Z299" s="23" t="str">
        <f t="shared" si="37"/>
        <v>Relationships &amp; family04 Family, dependents &amp; partners</v>
      </c>
      <c r="AA299" s="130" t="e">
        <f t="shared" si="38"/>
        <v>#VALUE!</v>
      </c>
      <c r="AB299" s="130" t="e">
        <f>IF(ISNA(IF(VLOOKUP($AA299,$AA$47:$AA298,1,FALSE)=AA299,AA299+AF299,0)),AA299,(IF(VLOOKUP($AA299,$AA$46:$AA299,1,FALSE)=AA299,AA299+AF299,0)))</f>
        <v>#VALUE!</v>
      </c>
      <c r="AC299" s="23" t="str" vm="4">
        <f t="shared" si="43"/>
        <v>Relationships &amp; family</v>
      </c>
      <c r="AD299" s="23" t="str" vm="337">
        <f>CUBEMEMBER("cabcrmsqlrs1 CABReportingCubes Local Advice Event",{"[AIC Outcome].[AIC Part1].&amp;[Relationships &amp; family]","[AIC Outcome].[AIC Part2].&amp;[Relationships &amp; family]&amp;[04 Family, dependents &amp; partners]"})</f>
        <v>04 Family, dependents &amp; partners</v>
      </c>
      <c r="AE299" s="141" t="str" vm="1257">
        <f t="shared" si="36"/>
        <v/>
      </c>
      <c r="AF299" s="23">
        <f>COUNTIF($AA$47:$AA299,$AA299)-1</f>
        <v>56</v>
      </c>
      <c r="AP299"/>
      <c r="AQ299"/>
      <c r="AR299"/>
      <c r="BG299" s="130" t="e">
        <f t="shared" si="41"/>
        <v>#N/A</v>
      </c>
      <c r="BH299" s="130" t="e">
        <f>IF(ISNA(IF(VLOOKUP($BG299,$BG$24:$BG298,1,FALSE)=BG299,BG299+BI299,0)),BG299,(IF(VLOOKUP($BG299,$BG$24:$BG298,1,FALSE)=BG299,BG299+BI299,0)))</f>
        <v>#N/A</v>
      </c>
      <c r="BI299" s="23">
        <f>COUNTIF($BG$24:$BG299,BG299)-1</f>
        <v>224</v>
      </c>
      <c r="BJ299"/>
      <c r="BK299"/>
      <c r="BL299"/>
    </row>
    <row r="300" spans="26:64" hidden="1">
      <c r="Z300" s="23" t="e">
        <f t="shared" si="37"/>
        <v>#N/A</v>
      </c>
      <c r="AA300" s="130" t="e">
        <f t="shared" si="38"/>
        <v>#N/A</v>
      </c>
      <c r="AB300" s="130" t="e">
        <f>IF(ISNA(IF(VLOOKUP($AA300,$AA$47:$AA299,1,FALSE)=AA300,AA300+AF300,0)),AA300,(IF(VLOOKUP($AA300,$AA$46:$AA300,1,FALSE)=AA300,AA300+AF300,0)))</f>
        <v>#N/A</v>
      </c>
      <c r="AC300" s="23" t="str" vm="4">
        <f t="shared" si="43"/>
        <v>Relationships &amp; family</v>
      </c>
      <c r="AD300" s="23" t="e">
        <f>CUBEMEMBER("cabcrmsqlrs1 CABReportingCubes Local Advice Event",{"[AIC Outcome].[AIC Part1].&amp;[Relationships &amp; family]","[AIC Outcome].[AIC Part2].&amp;[Relationships &amp; family]&amp;[04 Hospital services - Mental Health]"})</f>
        <v>#N/A</v>
      </c>
      <c r="AE300" s="141" t="e">
        <f t="shared" si="36"/>
        <v>#N/A</v>
      </c>
      <c r="AF300" s="23">
        <f>COUNTIF($AA$47:$AA300,$AA300)-1</f>
        <v>196</v>
      </c>
      <c r="AP300"/>
      <c r="AQ300"/>
      <c r="AR300"/>
      <c r="BG300" s="130" t="e">
        <f t="shared" si="41"/>
        <v>#N/A</v>
      </c>
      <c r="BH300" s="130" t="e">
        <f>IF(ISNA(IF(VLOOKUP($BG300,$BG$24:$BG299,1,FALSE)=BG300,BG300+BI300,0)),BG300,(IF(VLOOKUP($BG300,$BG$24:$BG299,1,FALSE)=BG300,BG300+BI300,0)))</f>
        <v>#N/A</v>
      </c>
      <c r="BI300" s="23">
        <f>COUNTIF($BG$24:$BG300,BG300)-1</f>
        <v>225</v>
      </c>
      <c r="BJ300"/>
      <c r="BK300"/>
      <c r="BL300"/>
    </row>
    <row r="301" spans="26:64" hidden="1">
      <c r="Z301" s="23" t="str">
        <f t="shared" si="37"/>
        <v>Relationships &amp; family05 Social Services &amp; support</v>
      </c>
      <c r="AA301" s="130" t="e">
        <f t="shared" si="38"/>
        <v>#N/A</v>
      </c>
      <c r="AB301" s="130" t="e">
        <f>IF(ISNA(IF(VLOOKUP($AA301,$AA$47:$AA300,1,FALSE)=AA301,AA301+AF301,0)),AA301,(IF(VLOOKUP($AA301,$AA$46:$AA301,1,FALSE)=AA301,AA301+AF301,0)))</f>
        <v>#N/A</v>
      </c>
      <c r="AC301" s="23" t="str" vm="4">
        <f t="shared" si="43"/>
        <v>Relationships &amp; family</v>
      </c>
      <c r="AD301" s="23" t="str" vm="336">
        <f>CUBEMEMBER("cabcrmsqlrs1 CABReportingCubes Local Advice Event",{"[AIC Outcome].[AIC Part1].&amp;[Relationships &amp; family]","[AIC Outcome].[AIC Part2].&amp;[Relationships &amp; family]&amp;[05 Social Services &amp; support]"})</f>
        <v>05 Social Services &amp; support</v>
      </c>
      <c r="AE301" s="141" vm="1244">
        <f t="shared" si="36"/>
        <v>11</v>
      </c>
      <c r="AF301" s="23">
        <f>COUNTIF($AA$47:$AA301,$AA301)-1</f>
        <v>197</v>
      </c>
      <c r="AP301"/>
      <c r="AQ301"/>
      <c r="AR301"/>
      <c r="BG301" s="130" t="e">
        <f t="shared" si="41"/>
        <v>#N/A</v>
      </c>
      <c r="BH301" s="130" t="e">
        <f>IF(ISNA(IF(VLOOKUP($BG301,$BG$24:$BG300,1,FALSE)=BG301,BG301+BI301,0)),BG301,(IF(VLOOKUP($BG301,$BG$24:$BG300,1,FALSE)=BG301,BG301+BI301,0)))</f>
        <v>#N/A</v>
      </c>
      <c r="BI301" s="23">
        <f>COUNTIF($BG$24:$BG301,BG301)-1</f>
        <v>226</v>
      </c>
      <c r="BJ301"/>
      <c r="BK301"/>
      <c r="BL301"/>
    </row>
    <row r="302" spans="26:64" hidden="1">
      <c r="Z302" s="23" t="str">
        <f t="shared" si="37"/>
        <v>Relationships &amp; family06 Divorce, separation, dissolution</v>
      </c>
      <c r="AA302" s="130" t="e">
        <f t="shared" si="38"/>
        <v>#N/A</v>
      </c>
      <c r="AB302" s="130" t="e">
        <f>IF(ISNA(IF(VLOOKUP($AA302,$AA$47:$AA301,1,FALSE)=AA302,AA302+AF302,0)),AA302,(IF(VLOOKUP($AA302,$AA$46:$AA302,1,FALSE)=AA302,AA302+AF302,0)))</f>
        <v>#N/A</v>
      </c>
      <c r="AC302" s="23" t="str" vm="4">
        <f t="shared" si="43"/>
        <v>Relationships &amp; family</v>
      </c>
      <c r="AD302" s="23" t="str" vm="312">
        <f>CUBEMEMBER("cabcrmsqlrs1 CABReportingCubes Local Advice Event",{"[AIC Outcome].[AIC Part1].&amp;[Relationships &amp; family]","[AIC Outcome].[AIC Part2].&amp;[Relationships &amp; family]&amp;[06 Divorce, separation, dissolution]"})</f>
        <v>06 Divorce, separation, dissolution</v>
      </c>
      <c r="AE302" s="141" vm="1045">
        <f t="shared" si="36"/>
        <v>225</v>
      </c>
      <c r="AF302" s="23">
        <f>COUNTIF($AA$47:$AA302,$AA302)-1</f>
        <v>198</v>
      </c>
      <c r="AP302"/>
      <c r="AQ302"/>
      <c r="AR302"/>
      <c r="BG302" s="130" t="e">
        <f t="shared" si="41"/>
        <v>#N/A</v>
      </c>
      <c r="BH302" s="130" t="e">
        <f>IF(ISNA(IF(VLOOKUP($BG302,$BG$24:$BG301,1,FALSE)=BG302,BG302+BI302,0)),BG302,(IF(VLOOKUP($BG302,$BG$24:$BG301,1,FALSE)=BG302,BG302+BI302,0)))</f>
        <v>#N/A</v>
      </c>
      <c r="BI302" s="23">
        <f>COUNTIF($BG$24:$BG302,BG302)-1</f>
        <v>227</v>
      </c>
      <c r="BJ302"/>
      <c r="BK302"/>
      <c r="BL302"/>
    </row>
    <row r="303" spans="26:64" hidden="1">
      <c r="Z303" s="23" t="str">
        <f t="shared" si="37"/>
        <v>Relationships &amp; family07 Children</v>
      </c>
      <c r="AA303" s="130" t="e">
        <f t="shared" si="38"/>
        <v>#N/A</v>
      </c>
      <c r="AB303" s="130" t="e">
        <f>IF(ISNA(IF(VLOOKUP($AA303,$AA$47:$AA302,1,FALSE)=AA303,AA303+AF303,0)),AA303,(IF(VLOOKUP($AA303,$AA$46:$AA303,1,FALSE)=AA303,AA303+AF303,0)))</f>
        <v>#N/A</v>
      </c>
      <c r="AC303" s="23" t="str" vm="4">
        <f t="shared" si="43"/>
        <v>Relationships &amp; family</v>
      </c>
      <c r="AD303" s="23" t="str" vm="335">
        <f>CUBEMEMBER("cabcrmsqlrs1 CABReportingCubes Local Advice Event",{"[AIC Outcome].[AIC Part1].&amp;[Relationships &amp; family]","[AIC Outcome].[AIC Part2].&amp;[Relationships &amp; family]&amp;[07 Children]"})</f>
        <v>07 Children</v>
      </c>
      <c r="AE303" s="141" vm="1037">
        <f t="shared" ref="AE303:AE338" si="44">CUBEVALUE("cabcrmsqlrs1 CABReportingCubes Local Advice Event",$AD$41,$AD$42,$AD$43,$AD$44,$AD303,AE$46)</f>
        <v>136</v>
      </c>
      <c r="AF303" s="23">
        <f>COUNTIF($AA$47:$AA303,$AA303)-1</f>
        <v>199</v>
      </c>
      <c r="AP303"/>
      <c r="AQ303"/>
      <c r="AR303"/>
      <c r="BG303" s="130" t="e">
        <f t="shared" si="41"/>
        <v>#N/A</v>
      </c>
      <c r="BH303" s="130" t="e">
        <f>IF(ISNA(IF(VLOOKUP($BG303,$BG$24:$BG302,1,FALSE)=BG303,BG303+BI303,0)),BG303,(IF(VLOOKUP($BG303,$BG$24:$BG302,1,FALSE)=BG303,BG303+BI303,0)))</f>
        <v>#N/A</v>
      </c>
      <c r="BI303" s="23">
        <f>COUNTIF($BG$24:$BG303,BG303)-1</f>
        <v>228</v>
      </c>
      <c r="BJ303"/>
      <c r="BK303"/>
      <c r="BL303"/>
    </row>
    <row r="304" spans="26:64" hidden="1">
      <c r="Z304" s="23" t="e">
        <f t="shared" ref="Z304:Z338" si="45">AC304&amp;AD304</f>
        <v>#N/A</v>
      </c>
      <c r="AA304" s="130" t="e">
        <f t="shared" ref="AA304:AA338" si="46">RANK($AE304,$AE$32:$AE$338,0)</f>
        <v>#N/A</v>
      </c>
      <c r="AB304" s="130" t="e">
        <f>IF(ISNA(IF(VLOOKUP($AA304,$AA$47:$AA303,1,FALSE)=AA304,AA304+AF304,0)),AA304,(IF(VLOOKUP($AA304,$AA$46:$AA304,1,FALSE)=AA304,AA304+AF304,0)))</f>
        <v>#N/A</v>
      </c>
      <c r="AC304" s="23" t="str" vm="4">
        <f t="shared" si="43"/>
        <v>Relationships &amp; family</v>
      </c>
      <c r="AD304" s="23" t="e">
        <f>CUBEMEMBER("cabcrmsqlrs1 CABReportingCubes Local Advice Event",{"[AIC Outcome].[AIC Part1].&amp;[Relationships &amp; family]","[AIC Outcome].[AIC Part2].&amp;[Relationships &amp; family]&amp;[08 Child Support: resident parent &amp; family]"})</f>
        <v>#N/A</v>
      </c>
      <c r="AE304" s="141" t="e">
        <f t="shared" si="44"/>
        <v>#N/A</v>
      </c>
      <c r="AF304" s="23">
        <f>COUNTIF($AA$47:$AA304,$AA304)-1</f>
        <v>200</v>
      </c>
      <c r="AP304"/>
      <c r="AQ304"/>
      <c r="AR304"/>
      <c r="BG304" s="130" t="e">
        <f t="shared" si="41"/>
        <v>#N/A</v>
      </c>
      <c r="BH304" s="130" t="e">
        <f>IF(ISNA(IF(VLOOKUP($BG304,$BG$24:$BG303,1,FALSE)=BG304,BG304+BI304,0)),BG304,(IF(VLOOKUP($BG304,$BG$24:$BG303,1,FALSE)=BG304,BG304+BI304,0)))</f>
        <v>#N/A</v>
      </c>
      <c r="BI304" s="23">
        <f>COUNTIF($BG$24:$BG304,BG304)-1</f>
        <v>229</v>
      </c>
      <c r="BJ304"/>
      <c r="BK304"/>
      <c r="BL304"/>
    </row>
    <row r="305" spans="26:64" hidden="1">
      <c r="Z305" s="23" t="e">
        <f t="shared" si="45"/>
        <v>#N/A</v>
      </c>
      <c r="AA305" s="130" t="e">
        <f t="shared" si="46"/>
        <v>#N/A</v>
      </c>
      <c r="AB305" s="130" t="e">
        <f>IF(ISNA(IF(VLOOKUP($AA305,$AA$47:$AA304,1,FALSE)=AA305,AA305+AF305,0)),AA305,(IF(VLOOKUP($AA305,$AA$46:$AA305,1,FALSE)=AA305,AA305+AF305,0)))</f>
        <v>#N/A</v>
      </c>
      <c r="AC305" s="23" t="str" vm="4">
        <f t="shared" si="43"/>
        <v>Relationships &amp; family</v>
      </c>
      <c r="AD305" s="23" t="e">
        <f>CUBEMEMBER("cabcrmsqlrs1 CABReportingCubes Local Advice Event",{"[AIC Outcome].[AIC Part1].&amp;[Relationships &amp; family]","[AIC Outcome].[AIC Part2].&amp;[Relationships &amp; family]&amp;[09 Child support: non-res. parent &amp; family]"})</f>
        <v>#N/A</v>
      </c>
      <c r="AE305" s="141" t="e">
        <f t="shared" si="44"/>
        <v>#N/A</v>
      </c>
      <c r="AF305" s="23">
        <f>COUNTIF($AA$47:$AA305,$AA305)-1</f>
        <v>201</v>
      </c>
      <c r="AP305"/>
      <c r="AQ305"/>
      <c r="AR305"/>
      <c r="BG305" s="130" t="e">
        <f t="shared" si="41"/>
        <v>#N/A</v>
      </c>
      <c r="BH305" s="130" t="e">
        <f>IF(ISNA(IF(VLOOKUP($BG305,$BG$24:$BG304,1,FALSE)=BG305,BG305+BI305,0)),BG305,(IF(VLOOKUP($BG305,$BG$24:$BG304,1,FALSE)=BG305,BG305+BI305,0)))</f>
        <v>#N/A</v>
      </c>
      <c r="BI305" s="23">
        <f>COUNTIF($BG$24:$BG305,BG305)-1</f>
        <v>230</v>
      </c>
      <c r="BJ305"/>
      <c r="BK305"/>
      <c r="BL305"/>
    </row>
    <row r="306" spans="26:64" hidden="1">
      <c r="Z306" s="23" t="str">
        <f t="shared" si="45"/>
        <v>Relationships &amp; family10 Death &amp; Bereavement</v>
      </c>
      <c r="AA306" s="130" t="e">
        <f t="shared" si="46"/>
        <v>#N/A</v>
      </c>
      <c r="AB306" s="130" t="e">
        <f>IF(ISNA(IF(VLOOKUP($AA306,$AA$47:$AA305,1,FALSE)=AA306,AA306+AF306,0)),AA306,(IF(VLOOKUP($AA306,$AA$46:$AA306,1,FALSE)=AA306,AA306+AF306,0)))</f>
        <v>#N/A</v>
      </c>
      <c r="AC306" s="23" t="str" vm="4">
        <f t="shared" si="43"/>
        <v>Relationships &amp; family</v>
      </c>
      <c r="AD306" s="23" t="str" vm="311">
        <f>CUBEMEMBER("cabcrmsqlrs1 CABReportingCubes Local Advice Event",{"[AIC Outcome].[AIC Part1].&amp;[Relationships &amp; family]","[AIC Outcome].[AIC Part2].&amp;[Relationships &amp; family]&amp;[10 Death &amp; Bereavement]"})</f>
        <v>10 Death &amp; Bereavement</v>
      </c>
      <c r="AE306" s="141" vm="1032">
        <f t="shared" si="44"/>
        <v>32</v>
      </c>
      <c r="AF306" s="23">
        <f>COUNTIF($AA$47:$AA306,$AA306)-1</f>
        <v>202</v>
      </c>
      <c r="AP306"/>
      <c r="AQ306"/>
      <c r="AR306"/>
      <c r="BG306" s="130" t="e">
        <f t="shared" si="41"/>
        <v>#N/A</v>
      </c>
      <c r="BH306" s="130" t="e">
        <f>IF(ISNA(IF(VLOOKUP($BG306,$BG$24:$BG305,1,FALSE)=BG306,BG306+BI306,0)),BG306,(IF(VLOOKUP($BG306,$BG$24:$BG305,1,FALSE)=BG306,BG306+BI306,0)))</f>
        <v>#N/A</v>
      </c>
      <c r="BI306" s="23">
        <f>COUNTIF($BG$24:$BG306,BG306)-1</f>
        <v>231</v>
      </c>
      <c r="BJ306"/>
      <c r="BK306"/>
      <c r="BL306"/>
    </row>
    <row r="307" spans="26:64" hidden="1">
      <c r="Z307" s="23" t="str">
        <f t="shared" si="45"/>
        <v>Relationships &amp; family11 Certificates &amp; proofs of identity</v>
      </c>
      <c r="AA307" s="130" t="e">
        <f t="shared" si="46"/>
        <v>#N/A</v>
      </c>
      <c r="AB307" s="130" t="e">
        <f>IF(ISNA(IF(VLOOKUP($AA307,$AA$47:$AA306,1,FALSE)=AA307,AA307+AF307,0)),AA307,(IF(VLOOKUP($AA307,$AA$46:$AA307,1,FALSE)=AA307,AA307+AF307,0)))</f>
        <v>#N/A</v>
      </c>
      <c r="AC307" s="23" t="str" vm="4">
        <f t="shared" si="43"/>
        <v>Relationships &amp; family</v>
      </c>
      <c r="AD307" s="23" t="str" vm="334">
        <f>CUBEMEMBER("cabcrmsqlrs1 CABReportingCubes Local Advice Event",{"[AIC Outcome].[AIC Part1].&amp;[Relationships &amp; family]","[AIC Outcome].[AIC Part2].&amp;[Relationships &amp; family]&amp;[11 Certificates &amp; proofs of identity]"})</f>
        <v>11 Certificates &amp; proofs of identity</v>
      </c>
      <c r="AE307" s="141" vm="1133">
        <f t="shared" si="44"/>
        <v>5</v>
      </c>
      <c r="AF307" s="23">
        <f>COUNTIF($AA$47:$AA307,$AA307)-1</f>
        <v>203</v>
      </c>
      <c r="AP307"/>
      <c r="AQ307"/>
      <c r="AR307"/>
      <c r="BG307" s="130" t="e">
        <f t="shared" si="41"/>
        <v>#N/A</v>
      </c>
      <c r="BH307" s="130" t="e">
        <f>IF(ISNA(IF(VLOOKUP($BG307,$BG$24:$BG306,1,FALSE)=BG307,BG307+BI307,0)),BG307,(IF(VLOOKUP($BG307,$BG$24:$BG306,1,FALSE)=BG307,BG307+BI307,0)))</f>
        <v>#N/A</v>
      </c>
      <c r="BI307" s="23">
        <f>COUNTIF($BG$24:$BG307,BG307)-1</f>
        <v>232</v>
      </c>
      <c r="BJ307"/>
      <c r="BK307"/>
      <c r="BL307"/>
    </row>
    <row r="308" spans="26:64" hidden="1">
      <c r="Z308" s="23" t="str">
        <f t="shared" si="45"/>
        <v>Relationships &amp; family99 Other</v>
      </c>
      <c r="AA308" s="130" t="e">
        <f t="shared" si="46"/>
        <v>#N/A</v>
      </c>
      <c r="AB308" s="130" t="e">
        <f>IF(ISNA(IF(VLOOKUP($AA308,$AA$47:$AA307,1,FALSE)=AA308,AA308+AF308,0)),AA308,(IF(VLOOKUP($AA308,$AA$46:$AA308,1,FALSE)=AA308,AA308+AF308,0)))</f>
        <v>#N/A</v>
      </c>
      <c r="AC308" s="23" t="str" vm="4">
        <f t="shared" si="43"/>
        <v>Relationships &amp; family</v>
      </c>
      <c r="AD308" s="23" t="str" vm="310">
        <f>CUBEMEMBER("cabcrmsqlrs1 CABReportingCubes Local Advice Event",{"[AIC Outcome].[AIC Part1].&amp;[Relationships &amp; family]","[AIC Outcome].[AIC Part2].&amp;[Relationships &amp; family]&amp;[99 Other]"})</f>
        <v>99 Other</v>
      </c>
      <c r="AE308" s="141" vm="1043">
        <f t="shared" si="44"/>
        <v>23</v>
      </c>
      <c r="AF308" s="23">
        <f>COUNTIF($AA$47:$AA308,$AA308)-1</f>
        <v>204</v>
      </c>
      <c r="AP308"/>
      <c r="AQ308"/>
      <c r="AR308"/>
      <c r="BG308" s="130" t="e">
        <f t="shared" si="41"/>
        <v>#N/A</v>
      </c>
      <c r="BH308" s="130" t="e">
        <f>IF(ISNA(IF(VLOOKUP($BG308,$BG$24:$BG307,1,FALSE)=BG308,BG308+BI308,0)),BG308,(IF(VLOOKUP($BG308,$BG$24:$BG307,1,FALSE)=BG308,BG308+BI308,0)))</f>
        <v>#N/A</v>
      </c>
      <c r="BI308" s="23">
        <f>COUNTIF($BG$24:$BG308,BG308)-1</f>
        <v>233</v>
      </c>
      <c r="BJ308"/>
      <c r="BK308"/>
      <c r="BL308"/>
    </row>
    <row r="309" spans="26:64" hidden="1">
      <c r="Z309" s="23" t="e">
        <f t="shared" si="45"/>
        <v>#N/A</v>
      </c>
      <c r="AA309" s="130" t="e">
        <f t="shared" si="46"/>
        <v>#N/A</v>
      </c>
      <c r="AB309" s="130" t="e">
        <f>IF(ISNA(IF(VLOOKUP($AA309,$AA$47:$AA308,1,FALSE)=AA309,AA309+AF309,0)),AA309,(IF(VLOOKUP($AA309,$AA$46:$AA309,1,FALSE)=AA309,AA309+AF309,0)))</f>
        <v>#N/A</v>
      </c>
      <c r="AC309" s="23" t="str" vm="4">
        <f t="shared" si="43"/>
        <v>Relationships &amp; family</v>
      </c>
      <c r="AD309" s="23" t="e">
        <f>CUBEMEMBER("cabcrmsqlrs1 CABReportingCubes Local Advice Event",{"[AIC Outcome].[AIC Part1].&amp;[Relationships &amp; family]","[AIC Outcome].[AIC Part2].&amp;[Relationships &amp; family]&amp;[99 Other issues]"})</f>
        <v>#N/A</v>
      </c>
      <c r="AE309" s="141" t="e">
        <f t="shared" si="44"/>
        <v>#N/A</v>
      </c>
      <c r="AF309" s="23">
        <f>COUNTIF($AA$47:$AA309,$AA309)-1</f>
        <v>205</v>
      </c>
      <c r="AP309"/>
      <c r="AQ309"/>
      <c r="AR309"/>
      <c r="BG309" s="130" t="e">
        <f t="shared" si="41"/>
        <v>#N/A</v>
      </c>
      <c r="BH309" s="130" t="e">
        <f>IF(ISNA(IF(VLOOKUP($BG309,$BG$24:$BG308,1,FALSE)=BG309,BG309+BI309,0)),BG309,(IF(VLOOKUP($BG309,$BG$24:$BG308,1,FALSE)=BG309,BG309+BI309,0)))</f>
        <v>#N/A</v>
      </c>
      <c r="BI309" s="23">
        <f>COUNTIF($BG$24:$BG309,BG309)-1</f>
        <v>234</v>
      </c>
      <c r="BJ309"/>
      <c r="BK309"/>
      <c r="BL309"/>
    </row>
    <row r="310" spans="26:64" hidden="1">
      <c r="Z310" s="23" t="str">
        <f t="shared" si="45"/>
        <v>Relationships &amp; familyNot recorded/not applicable</v>
      </c>
      <c r="AA310" s="130" t="e">
        <f t="shared" si="46"/>
        <v>#N/A</v>
      </c>
      <c r="AB310" s="130" t="e">
        <f>IF(ISNA(IF(VLOOKUP($AA310,$AA$47:$AA309,1,FALSE)=AA310,AA310+AF310,0)),AA310,(IF(VLOOKUP($AA310,$AA$46:$AA310,1,FALSE)=AA310,AA310+AF310,0)))</f>
        <v>#N/A</v>
      </c>
      <c r="AC310" s="23" t="str" vm="4">
        <f t="shared" si="43"/>
        <v>Relationships &amp; family</v>
      </c>
      <c r="AD310" s="23" t="str" vm="309">
        <f>CUBEMEMBER("cabcrmsqlrs1 CABReportingCubes Local Advice Event",{"[AIC Outcome].[AIC Part1].&amp;[Relationships &amp; family]","[AIC Outcome].[AIC Part2].&amp;[Relationships &amp; family]&amp;[Not recorded/not applicable]"})</f>
        <v>Not recorded/not applicable</v>
      </c>
      <c r="AE310" s="141" vm="1274">
        <f t="shared" si="44"/>
        <v>83</v>
      </c>
      <c r="AF310" s="23">
        <f>COUNTIF($AA$47:$AA310,$AA310)-1</f>
        <v>206</v>
      </c>
      <c r="AP310"/>
      <c r="AQ310"/>
      <c r="AR310"/>
      <c r="BG310" s="130" t="e">
        <f t="shared" si="41"/>
        <v>#N/A</v>
      </c>
      <c r="BH310" s="130" t="e">
        <f>IF(ISNA(IF(VLOOKUP($BG310,$BG$24:$BG309,1,FALSE)=BG310,BG310+BI310,0)),BG310,(IF(VLOOKUP($BG310,$BG$24:$BG309,1,FALSE)=BG310,BG310+BI310,0)))</f>
        <v>#N/A</v>
      </c>
      <c r="BI310" s="23">
        <f>COUNTIF($BG$24:$BG310,BG310)-1</f>
        <v>235</v>
      </c>
      <c r="BJ310"/>
      <c r="BK310"/>
      <c r="BL310"/>
    </row>
    <row r="311" spans="26:64" hidden="1">
      <c r="Z311" s="23" t="str">
        <f t="shared" si="45"/>
        <v>Tax01 Discrimination</v>
      </c>
      <c r="AA311" s="130" t="e">
        <f t="shared" si="46"/>
        <v>#VALUE!</v>
      </c>
      <c r="AB311" s="130" t="e">
        <f>IF(ISNA(IF(VLOOKUP($AA311,$AA$47:$AA310,1,FALSE)=AA311,AA311+AF311,0)),AA311,(IF(VLOOKUP($AA311,$AA$46:$AA311,1,FALSE)=AA311,AA311+AF311,0)))</f>
        <v>#VALUE!</v>
      </c>
      <c r="AC311" s="23" t="str" vm="19">
        <f t="shared" ref="AC311:AC316" si="47">CUBEMEMBER("cabcrmsqlrs1 CABReportingCubes Local Advice Event","[AIC Outcome].[AIC Part1].&amp;[Tax]")</f>
        <v>Tax</v>
      </c>
      <c r="AD311" s="23" t="str" vm="333">
        <f>CUBEMEMBER("cabcrmsqlrs1 CABReportingCubes Local Advice Event",{"[AIC Outcome].[AIC Part1].&amp;[Tax]","[AIC Outcome].[AIC Part2].&amp;[Tax]&amp;[01 Discrimination]"})</f>
        <v>01 Discrimination</v>
      </c>
      <c r="AE311" s="141" t="str" vm="1163">
        <f t="shared" si="44"/>
        <v/>
      </c>
      <c r="AF311" s="23">
        <f>COUNTIF($AA$47:$AA311,$AA311)-1</f>
        <v>57</v>
      </c>
      <c r="AP311"/>
      <c r="AQ311"/>
      <c r="AR311"/>
      <c r="BG311" s="130" t="e">
        <f t="shared" si="41"/>
        <v>#N/A</v>
      </c>
      <c r="BH311" s="130" t="e">
        <f>IF(ISNA(IF(VLOOKUP($BG311,$BG$24:$BG310,1,FALSE)=BG311,BG311+BI311,0)),BG311,(IF(VLOOKUP($BG311,$BG$24:$BG310,1,FALSE)=BG311,BG311+BI311,0)))</f>
        <v>#N/A</v>
      </c>
      <c r="BI311" s="23">
        <f>COUNTIF($BG$24:$BG311,BG311)-1</f>
        <v>236</v>
      </c>
      <c r="BJ311"/>
      <c r="BK311"/>
      <c r="BL311"/>
    </row>
    <row r="312" spans="26:64" hidden="1">
      <c r="Z312" s="23" t="str">
        <f t="shared" si="45"/>
        <v>Tax02 Income Tax</v>
      </c>
      <c r="AA312" s="130" t="e">
        <f t="shared" si="46"/>
        <v>#N/A</v>
      </c>
      <c r="AB312" s="130" t="e">
        <f>IF(ISNA(IF(VLOOKUP($AA312,$AA$47:$AA311,1,FALSE)=AA312,AA312+AF312,0)),AA312,(IF(VLOOKUP($AA312,$AA$46:$AA312,1,FALSE)=AA312,AA312+AF312,0)))</f>
        <v>#N/A</v>
      </c>
      <c r="AC312" s="23" t="str" vm="19">
        <f t="shared" si="47"/>
        <v>Tax</v>
      </c>
      <c r="AD312" s="23" t="str" vm="308">
        <f>CUBEMEMBER("cabcrmsqlrs1 CABReportingCubes Local Advice Event",{"[AIC Outcome].[AIC Part1].&amp;[Tax]","[AIC Outcome].[AIC Part2].&amp;[Tax]&amp;[02 Income Tax]"})</f>
        <v>02 Income Tax</v>
      </c>
      <c r="AE312" s="141" vm="1147">
        <f t="shared" si="44"/>
        <v>83</v>
      </c>
      <c r="AF312" s="23">
        <f>COUNTIF($AA$47:$AA312,$AA312)-1</f>
        <v>207</v>
      </c>
      <c r="AP312"/>
      <c r="AQ312"/>
      <c r="AR312"/>
      <c r="BG312" s="130" t="e">
        <f t="shared" si="41"/>
        <v>#N/A</v>
      </c>
      <c r="BH312" s="130" t="e">
        <f>IF(ISNA(IF(VLOOKUP($BG312,$BG$24:$BG311,1,FALSE)=BG312,BG312+BI312,0)),BG312,(IF(VLOOKUP($BG312,$BG$24:$BG311,1,FALSE)=BG312,BG312+BI312,0)))</f>
        <v>#N/A</v>
      </c>
      <c r="BI312" s="23">
        <f>COUNTIF($BG$24:$BG312,BG312)-1</f>
        <v>237</v>
      </c>
      <c r="BJ312"/>
      <c r="BK312"/>
      <c r="BL312"/>
    </row>
    <row r="313" spans="26:64" hidden="1">
      <c r="Z313" s="23" t="str">
        <f t="shared" si="45"/>
        <v>Tax03 Council Tax</v>
      </c>
      <c r="AA313" s="130" t="e">
        <f t="shared" si="46"/>
        <v>#N/A</v>
      </c>
      <c r="AB313" s="130" t="e">
        <f>IF(ISNA(IF(VLOOKUP($AA313,$AA$47:$AA312,1,FALSE)=AA313,AA313+AF313,0)),AA313,(IF(VLOOKUP($AA313,$AA$46:$AA313,1,FALSE)=AA313,AA313+AF313,0)))</f>
        <v>#N/A</v>
      </c>
      <c r="AC313" s="23" t="str" vm="19">
        <f t="shared" si="47"/>
        <v>Tax</v>
      </c>
      <c r="AD313" s="23" t="str" vm="332">
        <f>CUBEMEMBER("cabcrmsqlrs1 CABReportingCubes Local Advice Event",{"[AIC Outcome].[AIC Part1].&amp;[Tax]","[AIC Outcome].[AIC Part2].&amp;[Tax]&amp;[03 Council Tax]"})</f>
        <v>03 Council Tax</v>
      </c>
      <c r="AE313" s="141" vm="1086">
        <f t="shared" si="44"/>
        <v>33</v>
      </c>
      <c r="AF313" s="23">
        <f>COUNTIF($AA$47:$AA313,$AA313)-1</f>
        <v>208</v>
      </c>
      <c r="AP313"/>
      <c r="AQ313"/>
      <c r="AR313"/>
      <c r="BG313" s="130" t="e">
        <f t="shared" si="41"/>
        <v>#N/A</v>
      </c>
      <c r="BH313" s="130" t="e">
        <f>IF(ISNA(IF(VLOOKUP($BG313,$BG$24:$BG312,1,FALSE)=BG313,BG313+BI313,0)),BG313,(IF(VLOOKUP($BG313,$BG$24:$BG312,1,FALSE)=BG313,BG313+BI313,0)))</f>
        <v>#N/A</v>
      </c>
      <c r="BI313" s="23">
        <f>COUNTIF($BG$24:$BG313,BG313)-1</f>
        <v>238</v>
      </c>
      <c r="BJ313"/>
      <c r="BK313"/>
      <c r="BL313"/>
    </row>
    <row r="314" spans="26:64" hidden="1">
      <c r="Z314" s="23" t="e">
        <f t="shared" si="45"/>
        <v>#N/A</v>
      </c>
      <c r="AA314" s="130" t="e">
        <f t="shared" si="46"/>
        <v>#N/A</v>
      </c>
      <c r="AB314" s="130" t="e">
        <f>IF(ISNA(IF(VLOOKUP($AA314,$AA$47:$AA313,1,FALSE)=AA314,AA314+AF314,0)),AA314,(IF(VLOOKUP($AA314,$AA$46:$AA314,1,FALSE)=AA314,AA314+AF314,0)))</f>
        <v>#N/A</v>
      </c>
      <c r="AC314" s="23" t="str" vm="19">
        <f t="shared" si="47"/>
        <v>Tax</v>
      </c>
      <c r="AD314" s="23" t="e">
        <f>CUBEMEMBER("cabcrmsqlrs1 CABReportingCubes Local Advice Event",{"[AIC Outcome].[AIC Part1].&amp;[Tax]","[AIC Outcome].[AIC Part2].&amp;[Tax]&amp;[03 Self Employment/Business]"})</f>
        <v>#N/A</v>
      </c>
      <c r="AE314" s="141" t="e">
        <f t="shared" si="44"/>
        <v>#N/A</v>
      </c>
      <c r="AF314" s="23">
        <f>COUNTIF($AA$47:$AA314,$AA314)-1</f>
        <v>209</v>
      </c>
      <c r="AP314"/>
      <c r="AQ314"/>
      <c r="AR314"/>
      <c r="BG314" s="130" t="e">
        <f t="shared" si="41"/>
        <v>#N/A</v>
      </c>
      <c r="BH314" s="130" t="e">
        <f>IF(ISNA(IF(VLOOKUP($BG314,$BG$24:$BG313,1,FALSE)=BG314,BG314+BI314,0)),BG314,(IF(VLOOKUP($BG314,$BG$24:$BG313,1,FALSE)=BG314,BG314+BI314,0)))</f>
        <v>#N/A</v>
      </c>
      <c r="BI314" s="23">
        <f>COUNTIF($BG$24:$BG314,BG314)-1</f>
        <v>239</v>
      </c>
      <c r="BJ314"/>
      <c r="BK314"/>
      <c r="BL314"/>
    </row>
    <row r="315" spans="26:64" hidden="1">
      <c r="Z315" s="23" t="str">
        <f t="shared" si="45"/>
        <v>Tax99 Other Tax Issues</v>
      </c>
      <c r="AA315" s="130" t="e">
        <f t="shared" si="46"/>
        <v>#N/A</v>
      </c>
      <c r="AB315" s="130" t="e">
        <f>IF(ISNA(IF(VLOOKUP($AA315,$AA$47:$AA314,1,FALSE)=AA315,AA315+AF315,0)),AA315,(IF(VLOOKUP($AA315,$AA$46:$AA315,1,FALSE)=AA315,AA315+AF315,0)))</f>
        <v>#N/A</v>
      </c>
      <c r="AC315" s="23" t="str" vm="19">
        <f t="shared" si="47"/>
        <v>Tax</v>
      </c>
      <c r="AD315" s="23" t="str" vm="331">
        <f>CUBEMEMBER("cabcrmsqlrs1 CABReportingCubes Local Advice Event",{"[AIC Outcome].[AIC Part1].&amp;[Tax]","[AIC Outcome].[AIC Part2].&amp;[Tax]&amp;[99 Other Tax Issues]"})</f>
        <v>99 Other Tax Issues</v>
      </c>
      <c r="AE315" s="141" vm="1237">
        <f t="shared" si="44"/>
        <v>11</v>
      </c>
      <c r="AF315" s="23">
        <f>COUNTIF($AA$47:$AA315,$AA315)-1</f>
        <v>210</v>
      </c>
      <c r="AP315"/>
      <c r="AQ315"/>
      <c r="AR315"/>
      <c r="BG315" s="130" t="e">
        <f t="shared" si="41"/>
        <v>#N/A</v>
      </c>
      <c r="BH315" s="130" t="e">
        <f>IF(ISNA(IF(VLOOKUP($BG315,$BG$24:$BG314,1,FALSE)=BG315,BG315+BI315,0)),BG315,(IF(VLOOKUP($BG315,$BG$24:$BG314,1,FALSE)=BG315,BG315+BI315,0)))</f>
        <v>#N/A</v>
      </c>
      <c r="BI315" s="23">
        <f>COUNTIF($BG$24:$BG315,BG315)-1</f>
        <v>240</v>
      </c>
      <c r="BJ315"/>
      <c r="BK315"/>
      <c r="BL315"/>
    </row>
    <row r="316" spans="26:64" hidden="1">
      <c r="Z316" s="23" t="str">
        <f t="shared" si="45"/>
        <v>TaxNot recorded/not applicable</v>
      </c>
      <c r="AA316" s="130" t="e">
        <f t="shared" si="46"/>
        <v>#N/A</v>
      </c>
      <c r="AB316" s="130" t="e">
        <f>IF(ISNA(IF(VLOOKUP($AA316,$AA$47:$AA315,1,FALSE)=AA316,AA316+AF316,0)),AA316,(IF(VLOOKUP($AA316,$AA$46:$AA316,1,FALSE)=AA316,AA316+AF316,0)))</f>
        <v>#N/A</v>
      </c>
      <c r="AC316" s="23" t="str" vm="19">
        <f t="shared" si="47"/>
        <v>Tax</v>
      </c>
      <c r="AD316" s="23" t="str" vm="307">
        <f>CUBEMEMBER("cabcrmsqlrs1 CABReportingCubes Local Advice Event",{"[AIC Outcome].[AIC Part1].&amp;[Tax]","[AIC Outcome].[AIC Part2].&amp;[Tax]&amp;[Not recorded/not applicable]"})</f>
        <v>Not recorded/not applicable</v>
      </c>
      <c r="AE316" s="141" vm="1047">
        <f t="shared" si="44"/>
        <v>19</v>
      </c>
      <c r="AF316" s="23">
        <f>COUNTIF($AA$47:$AA316,$AA316)-1</f>
        <v>211</v>
      </c>
      <c r="AP316"/>
      <c r="AQ316"/>
      <c r="AR316"/>
      <c r="BG316" s="130" t="e">
        <f t="shared" si="41"/>
        <v>#N/A</v>
      </c>
      <c r="BH316" s="130" t="e">
        <f>IF(ISNA(IF(VLOOKUP($BG316,$BG$24:$BG315,1,FALSE)=BG316,BG316+BI316,0)),BG316,(IF(VLOOKUP($BG316,$BG$24:$BG315,1,FALSE)=BG316,BG316+BI316,0)))</f>
        <v>#N/A</v>
      </c>
      <c r="BI316" s="23">
        <f>COUNTIF($BG$24:$BG316,BG316)-1</f>
        <v>241</v>
      </c>
      <c r="BJ316"/>
      <c r="BK316"/>
      <c r="BL316"/>
    </row>
    <row r="317" spans="26:64" hidden="1">
      <c r="Z317" s="23" t="str">
        <f t="shared" si="45"/>
        <v>Travel &amp; transport01 Discrimination</v>
      </c>
      <c r="AA317" s="130" t="e">
        <f t="shared" si="46"/>
        <v>#VALUE!</v>
      </c>
      <c r="AB317" s="130" t="e">
        <f>IF(ISNA(IF(VLOOKUP($AA317,$AA$47:$AA316,1,FALSE)=AA317,AA317+AF317,0)),AA317,(IF(VLOOKUP($AA317,$AA$46:$AA317,1,FALSE)=AA317,AA317+AF317,0)))</f>
        <v>#VALUE!</v>
      </c>
      <c r="AC317" s="23" t="str" vm="11">
        <f t="shared" ref="AC317:AC327" si="48">CUBEMEMBER("cabcrmsqlrs1 CABReportingCubes Local Advice Event","[AIC Outcome].[AIC Part1].&amp;[Travel &amp; transport]")</f>
        <v>Travel &amp; transport</v>
      </c>
      <c r="AD317" s="23" t="str" vm="330">
        <f>CUBEMEMBER("cabcrmsqlrs1 CABReportingCubes Local Advice Event",{"[AIC Outcome].[AIC Part1].&amp;[Travel &amp; transport]","[AIC Outcome].[AIC Part2].&amp;[Travel &amp; transport]&amp;[01 Discrimination]"})</f>
        <v>01 Discrimination</v>
      </c>
      <c r="AE317" s="141" t="str" vm="1026">
        <f t="shared" si="44"/>
        <v/>
      </c>
      <c r="AF317" s="23">
        <f>COUNTIF($AA$47:$AA317,$AA317)-1</f>
        <v>58</v>
      </c>
      <c r="AP317"/>
      <c r="AQ317"/>
      <c r="AR317"/>
      <c r="BG317" s="130" t="e">
        <f t="shared" si="41"/>
        <v>#N/A</v>
      </c>
      <c r="BH317" s="130" t="e">
        <f>IF(ISNA(IF(VLOOKUP($BG317,$BG$24:$BG316,1,FALSE)=BG317,BG317+BI317,0)),BG317,(IF(VLOOKUP($BG317,$BG$24:$BG316,1,FALSE)=BG317,BG317+BI317,0)))</f>
        <v>#N/A</v>
      </c>
      <c r="BI317" s="23">
        <f>COUNTIF($BG$24:$BG317,BG317)-1</f>
        <v>242</v>
      </c>
      <c r="BJ317"/>
      <c r="BK317"/>
      <c r="BL317"/>
    </row>
    <row r="318" spans="26:64" hidden="1">
      <c r="Z318" s="23" t="str">
        <f t="shared" si="45"/>
        <v>Travel &amp; transport02 Public transport</v>
      </c>
      <c r="AA318" s="130" t="e">
        <f t="shared" si="46"/>
        <v>#N/A</v>
      </c>
      <c r="AB318" s="130" t="e">
        <f>IF(ISNA(IF(VLOOKUP($AA318,$AA$47:$AA317,1,FALSE)=AA318,AA318+AF318,0)),AA318,(IF(VLOOKUP($AA318,$AA$46:$AA318,1,FALSE)=AA318,AA318+AF318,0)))</f>
        <v>#N/A</v>
      </c>
      <c r="AC318" s="23" t="str" vm="11">
        <f t="shared" si="48"/>
        <v>Travel &amp; transport</v>
      </c>
      <c r="AD318" s="23" t="str" vm="306">
        <f>CUBEMEMBER("cabcrmsqlrs1 CABReportingCubes Local Advice Event",{"[AIC Outcome].[AIC Part1].&amp;[Travel &amp; transport]","[AIC Outcome].[AIC Part2].&amp;[Travel &amp; transport]&amp;[02 Public transport]"})</f>
        <v>02 Public transport</v>
      </c>
      <c r="AE318" s="141" vm="1076">
        <f t="shared" si="44"/>
        <v>5</v>
      </c>
      <c r="AF318" s="23">
        <f>COUNTIF($AA$47:$AA318,$AA318)-1</f>
        <v>212</v>
      </c>
      <c r="AP318"/>
      <c r="AQ318"/>
      <c r="AR318"/>
      <c r="BG318" s="130" t="e">
        <f t="shared" si="41"/>
        <v>#N/A</v>
      </c>
      <c r="BH318" s="130" t="e">
        <f>IF(ISNA(IF(VLOOKUP($BG318,$BG$24:$BG317,1,FALSE)=BG318,BG318+BI318,0)),BG318,(IF(VLOOKUP($BG318,$BG$24:$BG317,1,FALSE)=BG318,BG318+BI318,0)))</f>
        <v>#N/A</v>
      </c>
      <c r="BI318" s="23">
        <f>COUNTIF($BG$24:$BG318,BG318)-1</f>
        <v>243</v>
      </c>
      <c r="BJ318"/>
      <c r="BK318"/>
      <c r="BL318"/>
    </row>
    <row r="319" spans="26:64" hidden="1">
      <c r="Z319" s="23" t="str">
        <f t="shared" si="45"/>
        <v>Travel &amp; transport03 Driving</v>
      </c>
      <c r="AA319" s="130" t="e">
        <f t="shared" si="46"/>
        <v>#N/A</v>
      </c>
      <c r="AB319" s="130" t="e">
        <f>IF(ISNA(IF(VLOOKUP($AA319,$AA$47:$AA318,1,FALSE)=AA319,AA319+AF319,0)),AA319,(IF(VLOOKUP($AA319,$AA$46:$AA319,1,FALSE)=AA319,AA319+AF319,0)))</f>
        <v>#N/A</v>
      </c>
      <c r="AC319" s="23" t="str" vm="11">
        <f t="shared" si="48"/>
        <v>Travel &amp; transport</v>
      </c>
      <c r="AD319" s="23" t="str" vm="329">
        <f>CUBEMEMBER("cabcrmsqlrs1 CABReportingCubes Local Advice Event",{"[AIC Outcome].[AIC Part1].&amp;[Travel &amp; transport]","[AIC Outcome].[AIC Part2].&amp;[Travel &amp; transport]&amp;[03 Driving]"})</f>
        <v>03 Driving</v>
      </c>
      <c r="AE319" s="141" vm="1129">
        <f t="shared" si="44"/>
        <v>7</v>
      </c>
      <c r="AF319" s="23">
        <f>COUNTIF($AA$47:$AA319,$AA319)-1</f>
        <v>213</v>
      </c>
      <c r="AP319"/>
      <c r="AQ319"/>
      <c r="AR319"/>
      <c r="BG319" s="130" t="e">
        <f t="shared" si="41"/>
        <v>#N/A</v>
      </c>
      <c r="BH319" s="130" t="e">
        <f>IF(ISNA(IF(VLOOKUP($BG319,$BG$24:$BG318,1,FALSE)=BG319,BG319+BI319,0)),BG319,(IF(VLOOKUP($BG319,$BG$24:$BG318,1,FALSE)=BG319,BG319+BI319,0)))</f>
        <v>#N/A</v>
      </c>
      <c r="BI319" s="23">
        <f>COUNTIF($BG$24:$BG319,BG319)-1</f>
        <v>244</v>
      </c>
      <c r="BJ319"/>
      <c r="BK319"/>
      <c r="BL319"/>
    </row>
    <row r="320" spans="26:64" hidden="1">
      <c r="Z320" s="23" t="e">
        <f t="shared" si="45"/>
        <v>#N/A</v>
      </c>
      <c r="AA320" s="130" t="e">
        <f t="shared" si="46"/>
        <v>#N/A</v>
      </c>
      <c r="AB320" s="130" t="e">
        <f>IF(ISNA(IF(VLOOKUP($AA320,$AA$47:$AA319,1,FALSE)=AA320,AA320+AF320,0)),AA320,(IF(VLOOKUP($AA320,$AA$46:$AA320,1,FALSE)=AA320,AA320+AF320,0)))</f>
        <v>#N/A</v>
      </c>
      <c r="AC320" s="23" t="str" vm="11">
        <f t="shared" si="48"/>
        <v>Travel &amp; transport</v>
      </c>
      <c r="AD320" s="23" t="e">
        <f>CUBEMEMBER("cabcrmsqlrs1 CABReportingCubes Local Advice Event",{"[AIC Outcome].[AIC Part1].&amp;[Travel &amp; transport]","[AIC Outcome].[AIC Part2].&amp;[Travel &amp; transport]&amp;[04 Family, dependents &amp; partners]"})</f>
        <v>#N/A</v>
      </c>
      <c r="AE320" s="141" t="e">
        <f t="shared" si="44"/>
        <v>#N/A</v>
      </c>
      <c r="AF320" s="23">
        <f>COUNTIF($AA$47:$AA320,$AA320)-1</f>
        <v>214</v>
      </c>
      <c r="AP320"/>
      <c r="AQ320"/>
      <c r="AR320"/>
      <c r="BG320" s="130" t="e">
        <f t="shared" si="41"/>
        <v>#N/A</v>
      </c>
      <c r="BH320" s="130" t="e">
        <f>IF(ISNA(IF(VLOOKUP($BG320,$BG$24:$BG319,1,FALSE)=BG320,BG320+BI320,0)),BG320,(IF(VLOOKUP($BG320,$BG$24:$BG319,1,FALSE)=BG320,BG320+BI320,0)))</f>
        <v>#N/A</v>
      </c>
      <c r="BI320" s="23">
        <f>COUNTIF($BG$24:$BG320,BG320)-1</f>
        <v>245</v>
      </c>
      <c r="BJ320"/>
      <c r="BK320"/>
      <c r="BL320"/>
    </row>
    <row r="321" spans="26:64" hidden="1">
      <c r="Z321" s="23" t="str">
        <f t="shared" si="45"/>
        <v>Travel &amp; transport05 Parking &amp; Congestion</v>
      </c>
      <c r="AA321" s="130" t="e">
        <f t="shared" si="46"/>
        <v>#VALUE!</v>
      </c>
      <c r="AB321" s="130" t="e">
        <f>IF(ISNA(IF(VLOOKUP($AA321,$AA$47:$AA320,1,FALSE)=AA321,AA321+AF321,0)),AA321,(IF(VLOOKUP($AA321,$AA$46:$AA321,1,FALSE)=AA321,AA321+AF321,0)))</f>
        <v>#VALUE!</v>
      </c>
      <c r="AC321" s="23" t="str" vm="11">
        <f t="shared" si="48"/>
        <v>Travel &amp; transport</v>
      </c>
      <c r="AD321" s="23" t="str" vm="328">
        <f>CUBEMEMBER("cabcrmsqlrs1 CABReportingCubes Local Advice Event",{"[AIC Outcome].[AIC Part1].&amp;[Travel &amp; transport]","[AIC Outcome].[AIC Part2].&amp;[Travel &amp; transport]&amp;[05 Parking &amp; Congestion]"})</f>
        <v>05 Parking &amp; Congestion</v>
      </c>
      <c r="AE321" s="141" t="str" vm="1198">
        <f t="shared" si="44"/>
        <v/>
      </c>
      <c r="AF321" s="23">
        <f>COUNTIF($AA$47:$AA321,$AA321)-1</f>
        <v>59</v>
      </c>
      <c r="AP321"/>
      <c r="AQ321"/>
      <c r="AR321"/>
      <c r="BG321" s="130" t="e">
        <f t="shared" si="41"/>
        <v>#N/A</v>
      </c>
      <c r="BH321" s="130" t="e">
        <f>IF(ISNA(IF(VLOOKUP($BG321,$BG$24:$BG320,1,FALSE)=BG321,BG321+BI321,0)),BG321,(IF(VLOOKUP($BG321,$BG$24:$BG320,1,FALSE)=BG321,BG321+BI321,0)))</f>
        <v>#N/A</v>
      </c>
      <c r="BI321" s="23">
        <f>COUNTIF($BG$24:$BG321,BG321)-1</f>
        <v>246</v>
      </c>
      <c r="BJ321"/>
      <c r="BK321"/>
      <c r="BL321"/>
    </row>
    <row r="322" spans="26:64" hidden="1">
      <c r="Z322" s="23" t="str">
        <f t="shared" si="45"/>
        <v>Travel &amp; transport06 Package holidays</v>
      </c>
      <c r="AA322" s="130" t="e">
        <f t="shared" si="46"/>
        <v>#N/A</v>
      </c>
      <c r="AB322" s="130" t="e">
        <f>IF(ISNA(IF(VLOOKUP($AA322,$AA$47:$AA321,1,FALSE)=AA322,AA322+AF322,0)),AA322,(IF(VLOOKUP($AA322,$AA$46:$AA322,1,FALSE)=AA322,AA322+AF322,0)))</f>
        <v>#N/A</v>
      </c>
      <c r="AC322" s="23" t="str" vm="11">
        <f t="shared" si="48"/>
        <v>Travel &amp; transport</v>
      </c>
      <c r="AD322" s="23" t="str" vm="305">
        <f>CUBEMEMBER("cabcrmsqlrs1 CABReportingCubes Local Advice Event",{"[AIC Outcome].[AIC Part1].&amp;[Travel &amp; transport]","[AIC Outcome].[AIC Part2].&amp;[Travel &amp; transport]&amp;[06 Package holidays]"})</f>
        <v>06 Package holidays</v>
      </c>
      <c r="AE322" s="141" vm="1124">
        <f t="shared" si="44"/>
        <v>5</v>
      </c>
      <c r="AF322" s="23">
        <f>COUNTIF($AA$47:$AA322,$AA322)-1</f>
        <v>215</v>
      </c>
      <c r="AP322"/>
      <c r="AQ322"/>
      <c r="AR322"/>
      <c r="BG322" s="130" t="e">
        <f t="shared" si="41"/>
        <v>#N/A</v>
      </c>
      <c r="BH322" s="130" t="e">
        <f>IF(ISNA(IF(VLOOKUP($BG322,$BG$24:$BG321,1,FALSE)=BG322,BG322+BI322,0)),BG322,(IF(VLOOKUP($BG322,$BG$24:$BG321,1,FALSE)=BG322,BG322+BI322,0)))</f>
        <v>#N/A</v>
      </c>
      <c r="BI322" s="23">
        <f>COUNTIF($BG$24:$BG322,BG322)-1</f>
        <v>247</v>
      </c>
      <c r="BJ322"/>
      <c r="BK322"/>
      <c r="BL322"/>
    </row>
    <row r="323" spans="26:64" hidden="1">
      <c r="Z323" s="23" t="str">
        <f t="shared" si="45"/>
        <v>Travel &amp; transport07 Timeshare &amp; Vacation Clubs</v>
      </c>
      <c r="AA323" s="130" t="e">
        <f t="shared" si="46"/>
        <v>#VALUE!</v>
      </c>
      <c r="AB323" s="130" t="e">
        <f>IF(ISNA(IF(VLOOKUP($AA323,$AA$47:$AA322,1,FALSE)=AA323,AA323+AF323,0)),AA323,(IF(VLOOKUP($AA323,$AA$46:$AA323,1,FALSE)=AA323,AA323+AF323,0)))</f>
        <v>#VALUE!</v>
      </c>
      <c r="AC323" s="23" t="str" vm="11">
        <f t="shared" si="48"/>
        <v>Travel &amp; transport</v>
      </c>
      <c r="AD323" s="23" t="str" vm="327">
        <f>CUBEMEMBER("cabcrmsqlrs1 CABReportingCubes Local Advice Event",{"[AIC Outcome].[AIC Part1].&amp;[Travel &amp; transport]","[AIC Outcome].[AIC Part2].&amp;[Travel &amp; transport]&amp;[07 Timeshare &amp; Vacation Clubs]"})</f>
        <v>07 Timeshare &amp; Vacation Clubs</v>
      </c>
      <c r="AE323" s="141" t="str" vm="1155">
        <f t="shared" si="44"/>
        <v/>
      </c>
      <c r="AF323" s="23">
        <f>COUNTIF($AA$47:$AA323,$AA323)-1</f>
        <v>60</v>
      </c>
      <c r="AP323"/>
      <c r="AQ323"/>
      <c r="AR323"/>
      <c r="BG323" s="130" t="e">
        <f t="shared" si="41"/>
        <v>#N/A</v>
      </c>
      <c r="BH323" s="130" t="e">
        <f>IF(ISNA(IF(VLOOKUP($BG323,$BG$24:$BG322,1,FALSE)=BG323,BG323+BI323,0)),BG323,(IF(VLOOKUP($BG323,$BG$24:$BG322,1,FALSE)=BG323,BG323+BI323,0)))</f>
        <v>#N/A</v>
      </c>
      <c r="BI323" s="23">
        <f>COUNTIF($BG$24:$BG323,BG323)-1</f>
        <v>248</v>
      </c>
      <c r="BJ323"/>
      <c r="BK323"/>
      <c r="BL323"/>
    </row>
    <row r="324" spans="26:64" hidden="1">
      <c r="Z324" s="23" t="str">
        <f t="shared" si="45"/>
        <v>Travel &amp; transport08 Passports</v>
      </c>
      <c r="AA324" s="130" t="e">
        <f t="shared" si="46"/>
        <v>#VALUE!</v>
      </c>
      <c r="AB324" s="130" t="e">
        <f>IF(ISNA(IF(VLOOKUP($AA324,$AA$47:$AA323,1,FALSE)=AA324,AA324+AF324,0)),AA324,(IF(VLOOKUP($AA324,$AA$46:$AA324,1,FALSE)=AA324,AA324+AF324,0)))</f>
        <v>#VALUE!</v>
      </c>
      <c r="AC324" s="23" t="str" vm="11">
        <f t="shared" si="48"/>
        <v>Travel &amp; transport</v>
      </c>
      <c r="AD324" s="23" t="str" vm="304">
        <f>CUBEMEMBER("cabcrmsqlrs1 CABReportingCubes Local Advice Event",{"[AIC Outcome].[AIC Part1].&amp;[Travel &amp; transport]","[AIC Outcome].[AIC Part2].&amp;[Travel &amp; transport]&amp;[08 Passports]"})</f>
        <v>08 Passports</v>
      </c>
      <c r="AE324" s="141" t="str" vm="1154">
        <f t="shared" si="44"/>
        <v/>
      </c>
      <c r="AF324" s="23">
        <f>COUNTIF($AA$47:$AA324,$AA324)-1</f>
        <v>61</v>
      </c>
      <c r="AP324"/>
      <c r="AQ324"/>
      <c r="AR324"/>
      <c r="BG324" s="130" t="e">
        <f t="shared" si="41"/>
        <v>#N/A</v>
      </c>
      <c r="BH324" s="130" t="e">
        <f>IF(ISNA(IF(VLOOKUP($BG324,$BG$24:$BG323,1,FALSE)=BG324,BG324+BI324,0)),BG324,(IF(VLOOKUP($BG324,$BG$24:$BG323,1,FALSE)=BG324,BG324+BI324,0)))</f>
        <v>#N/A</v>
      </c>
      <c r="BI324" s="23">
        <f>COUNTIF($BG$24:$BG324,BG324)-1</f>
        <v>249</v>
      </c>
      <c r="BJ324"/>
      <c r="BK324"/>
      <c r="BL324"/>
    </row>
    <row r="325" spans="26:64" hidden="1">
      <c r="Z325" s="23" t="str">
        <f t="shared" si="45"/>
        <v>Travel &amp; transport09 Parking on private land</v>
      </c>
      <c r="AA325" s="130" t="e">
        <f t="shared" si="46"/>
        <v>#N/A</v>
      </c>
      <c r="AB325" s="130" t="e">
        <f>IF(ISNA(IF(VLOOKUP($AA325,$AA$47:$AA324,1,FALSE)=AA325,AA325+AF325,0)),AA325,(IF(VLOOKUP($AA325,$AA$46:$AA325,1,FALSE)=AA325,AA325+AF325,0)))</f>
        <v>#N/A</v>
      </c>
      <c r="AC325" s="23" t="str" vm="11">
        <f t="shared" si="48"/>
        <v>Travel &amp; transport</v>
      </c>
      <c r="AD325" s="23" t="str" vm="326">
        <f>CUBEMEMBER("cabcrmsqlrs1 CABReportingCubes Local Advice Event",{"[AIC Outcome].[AIC Part1].&amp;[Travel &amp; transport]","[AIC Outcome].[AIC Part2].&amp;[Travel &amp; transport]&amp;[09 Parking on private land]"})</f>
        <v>09 Parking on private land</v>
      </c>
      <c r="AE325" s="141" vm="1083">
        <f t="shared" si="44"/>
        <v>9</v>
      </c>
      <c r="AF325" s="23">
        <f>COUNTIF($AA$47:$AA325,$AA325)-1</f>
        <v>216</v>
      </c>
      <c r="AP325"/>
      <c r="AQ325"/>
      <c r="AR325"/>
      <c r="BG325" s="130" t="e">
        <f t="shared" si="41"/>
        <v>#N/A</v>
      </c>
      <c r="BH325" s="130" t="e">
        <f>IF(ISNA(IF(VLOOKUP($BG325,$BG$24:$BG324,1,FALSE)=BG325,BG325+BI325,0)),BG325,(IF(VLOOKUP($BG325,$BG$24:$BG324,1,FALSE)=BG325,BG325+BI325,0)))</f>
        <v>#N/A</v>
      </c>
      <c r="BI325" s="23">
        <f>COUNTIF($BG$24:$BG325,BG325)-1</f>
        <v>250</v>
      </c>
      <c r="BJ325"/>
      <c r="BK325"/>
      <c r="BL325"/>
    </row>
    <row r="326" spans="26:64" hidden="1">
      <c r="Z326" s="23" t="str">
        <f t="shared" si="45"/>
        <v>Travel &amp; transport99 Other travel, transport &amp; holiday</v>
      </c>
      <c r="AA326" s="130" t="e">
        <f t="shared" si="46"/>
        <v>#N/A</v>
      </c>
      <c r="AB326" s="130" t="e">
        <f>IF(ISNA(IF(VLOOKUP($AA326,$AA$47:$AA325,1,FALSE)=AA326,AA326+AF326,0)),AA326,(IF(VLOOKUP($AA326,$AA$46:$AA326,1,FALSE)=AA326,AA326+AF326,0)))</f>
        <v>#N/A</v>
      </c>
      <c r="AC326" s="23" t="str" vm="11">
        <f t="shared" si="48"/>
        <v>Travel &amp; transport</v>
      </c>
      <c r="AD326" s="23" t="str" vm="303">
        <f>CUBEMEMBER("cabcrmsqlrs1 CABReportingCubes Local Advice Event",{"[AIC Outcome].[AIC Part1].&amp;[Travel &amp; transport]","[AIC Outcome].[AIC Part2].&amp;[Travel &amp; transport]&amp;[99 Other travel, transport &amp; holiday]"})</f>
        <v>99 Other travel, transport &amp; holiday</v>
      </c>
      <c r="AE326" s="141" vm="1218">
        <f t="shared" si="44"/>
        <v>2</v>
      </c>
      <c r="AF326" s="23">
        <f>COUNTIF($AA$47:$AA326,$AA326)-1</f>
        <v>217</v>
      </c>
      <c r="AP326"/>
      <c r="AQ326"/>
      <c r="AR326"/>
      <c r="BG326" s="130" t="e">
        <f t="shared" si="41"/>
        <v>#N/A</v>
      </c>
      <c r="BH326" s="130" t="e">
        <f>IF(ISNA(IF(VLOOKUP($BG326,$BG$24:$BG325,1,FALSE)=BG326,BG326+BI326,0)),BG326,(IF(VLOOKUP($BG326,$BG$24:$BG325,1,FALSE)=BG326,BG326+BI326,0)))</f>
        <v>#N/A</v>
      </c>
      <c r="BI326" s="23">
        <f>COUNTIF($BG$24:$BG326,BG326)-1</f>
        <v>251</v>
      </c>
      <c r="BJ326"/>
      <c r="BK326"/>
      <c r="BL326"/>
    </row>
    <row r="327" spans="26:64" hidden="1">
      <c r="Z327" s="23" t="str">
        <f t="shared" si="45"/>
        <v>Travel &amp; transportNot recorded/not applicable</v>
      </c>
      <c r="AA327" s="130" t="e">
        <f t="shared" si="46"/>
        <v>#N/A</v>
      </c>
      <c r="AB327" s="130" t="e">
        <f>IF(ISNA(IF(VLOOKUP($AA327,$AA$47:$AA326,1,FALSE)=AA327,AA327+AF327,0)),AA327,(IF(VLOOKUP($AA327,$AA$46:$AA327,1,FALSE)=AA327,AA327+AF327,0)))</f>
        <v>#N/A</v>
      </c>
      <c r="AC327" s="23" t="str" vm="11">
        <f t="shared" si="48"/>
        <v>Travel &amp; transport</v>
      </c>
      <c r="AD327" s="23" t="str" vm="325">
        <f>CUBEMEMBER("cabcrmsqlrs1 CABReportingCubes Local Advice Event",{"[AIC Outcome].[AIC Part1].&amp;[Travel &amp; transport]","[AIC Outcome].[AIC Part2].&amp;[Travel &amp; transport]&amp;[Not recorded/not applicable]"})</f>
        <v>Not recorded/not applicable</v>
      </c>
      <c r="AE327" s="141" vm="1058">
        <f t="shared" si="44"/>
        <v>8</v>
      </c>
      <c r="AF327" s="23">
        <f>COUNTIF($AA$47:$AA327,$AA327)-1</f>
        <v>218</v>
      </c>
      <c r="AP327"/>
      <c r="AQ327"/>
      <c r="AR327"/>
      <c r="BG327" s="130" t="e">
        <f t="shared" si="41"/>
        <v>#N/A</v>
      </c>
      <c r="BH327" s="130" t="e">
        <f>IF(ISNA(IF(VLOOKUP($BG327,$BG$24:$BG326,1,FALSE)=BG327,BG327+BI327,0)),BG327,(IF(VLOOKUP($BG327,$BG$24:$BG326,1,FALSE)=BG327,BG327+BI327,0)))</f>
        <v>#N/A</v>
      </c>
      <c r="BI327" s="23">
        <f>COUNTIF($BG$24:$BG327,BG327)-1</f>
        <v>252</v>
      </c>
      <c r="BJ327"/>
      <c r="BK327"/>
      <c r="BL327"/>
    </row>
    <row r="328" spans="26:64" hidden="1">
      <c r="Z328" s="23" t="str">
        <f t="shared" si="45"/>
        <v>Utilities &amp; communications01 Discrimination</v>
      </c>
      <c r="AA328" s="130" t="e">
        <f t="shared" si="46"/>
        <v>#VALUE!</v>
      </c>
      <c r="AB328" s="130" t="e">
        <f>IF(ISNA(IF(VLOOKUP($AA328,$AA$47:$AA327,1,FALSE)=AA328,AA328+AF328,0)),AA328,(IF(VLOOKUP($AA328,$AA$46:$AA328,1,FALSE)=AA328,AA328+AF328,0)))</f>
        <v>#VALUE!</v>
      </c>
      <c r="AC328" s="23" t="str" vm="8">
        <f t="shared" ref="AC328:AC338" si="49">CUBEMEMBER("cabcrmsqlrs1 CABReportingCubes Local Advice Event","[AIC Outcome].[AIC Part1].&amp;[Utilities &amp; communications]")</f>
        <v>Utilities &amp; communications</v>
      </c>
      <c r="AD328" s="23" t="str" vm="302">
        <f>CUBEMEMBER("cabcrmsqlrs1 CABReportingCubes Local Advice Event",{"[AIC Outcome].[AIC Part1].&amp;[Utilities &amp; communications]","[AIC Outcome].[AIC Part2].&amp;[Utilities &amp; communications]&amp;[01 Discrimination]"})</f>
        <v>01 Discrimination</v>
      </c>
      <c r="AE328" s="141" t="str" vm="1095">
        <f t="shared" si="44"/>
        <v/>
      </c>
      <c r="AF328" s="23">
        <f>COUNTIF($AA$47:$AA328,$AA328)-1</f>
        <v>62</v>
      </c>
      <c r="AP328"/>
      <c r="AQ328"/>
      <c r="AR328"/>
      <c r="BG328" s="130" t="e">
        <f t="shared" si="41"/>
        <v>#N/A</v>
      </c>
      <c r="BH328" s="130" t="e">
        <f>IF(ISNA(IF(VLOOKUP($BG328,$BG$24:$BG327,1,FALSE)=BG328,BG328+BI328,0)),BG328,(IF(VLOOKUP($BG328,$BG$24:$BG327,1,FALSE)=BG328,BG328+BI328,0)))</f>
        <v>#N/A</v>
      </c>
      <c r="BI328" s="23">
        <f>COUNTIF($BG$24:$BG328,BG328)-1</f>
        <v>253</v>
      </c>
      <c r="BJ328"/>
      <c r="BK328"/>
      <c r="BL328"/>
    </row>
    <row r="329" spans="26:64" hidden="1">
      <c r="Z329" s="23" t="str">
        <f t="shared" si="45"/>
        <v>Utilities &amp; communications02 Fuel (gas, electricity, oil, coal etc.)</v>
      </c>
      <c r="AA329" s="130" t="e">
        <f t="shared" si="46"/>
        <v>#N/A</v>
      </c>
      <c r="AB329" s="130" t="e">
        <f>IF(ISNA(IF(VLOOKUP($AA329,$AA$47:$AA328,1,FALSE)=AA329,AA329+AF329,0)),AA329,(IF(VLOOKUP($AA329,$AA$46:$AA329,1,FALSE)=AA329,AA329+AF329,0)))</f>
        <v>#N/A</v>
      </c>
      <c r="AC329" s="23" t="str" vm="8">
        <f t="shared" si="49"/>
        <v>Utilities &amp; communications</v>
      </c>
      <c r="AD329" s="23" t="str" vm="324">
        <f>CUBEMEMBER("cabcrmsqlrs1 CABReportingCubes Local Advice Event",{"[AIC Outcome].[AIC Part1].&amp;[Utilities &amp; communications]","[AIC Outcome].[AIC Part2].&amp;[Utilities &amp; communications]&amp;[02 Fuel (gas, electricity, oil, coal etc.)]"})</f>
        <v>02 Fuel (gas, electricity, oil, coal etc.)</v>
      </c>
      <c r="AE329" s="141" vm="1028">
        <f t="shared" si="44"/>
        <v>232</v>
      </c>
      <c r="AF329" s="23">
        <f>COUNTIF($AA$47:$AA329,$AA329)-1</f>
        <v>219</v>
      </c>
      <c r="AP329"/>
      <c r="AQ329"/>
      <c r="AR329"/>
      <c r="BG329" s="130" t="e">
        <f t="shared" si="41"/>
        <v>#N/A</v>
      </c>
      <c r="BH329" s="130" t="e">
        <f>IF(ISNA(IF(VLOOKUP($BG329,$BG$24:$BG328,1,FALSE)=BG329,BG329+BI329,0)),BG329,(IF(VLOOKUP($BG329,$BG$24:$BG328,1,FALSE)=BG329,BG329+BI329,0)))</f>
        <v>#N/A</v>
      </c>
      <c r="BI329" s="23">
        <f>COUNTIF($BG$24:$BG329,BG329)-1</f>
        <v>254</v>
      </c>
      <c r="BJ329"/>
      <c r="BK329"/>
      <c r="BL329"/>
    </row>
    <row r="330" spans="26:64" hidden="1">
      <c r="Z330" s="23" t="e">
        <f t="shared" si="45"/>
        <v>#N/A</v>
      </c>
      <c r="AA330" s="130" t="e">
        <f t="shared" si="46"/>
        <v>#N/A</v>
      </c>
      <c r="AB330" s="130" t="e">
        <f>IF(ISNA(IF(VLOOKUP($AA330,$AA$47:$AA329,1,FALSE)=AA330,AA330+AF330,0)),AA330,(IF(VLOOKUP($AA330,$AA$46:$AA330,1,FALSE)=AA330,AA330+AF330,0)))</f>
        <v>#N/A</v>
      </c>
      <c r="AC330" s="23" t="str" vm="8">
        <f t="shared" si="49"/>
        <v>Utilities &amp; communications</v>
      </c>
      <c r="AD330" s="23" t="e">
        <f>CUBEMEMBER("cabcrmsqlrs1 CABReportingCubes Local Advice Event",{"[AIC Outcome].[AIC Part1].&amp;[Utilities &amp; communications]","[AIC Outcome].[AIC Part2].&amp;[Utilities &amp; communications]&amp;[02 Private sales &amp; internet auctions]"})</f>
        <v>#N/A</v>
      </c>
      <c r="AE330" s="141" t="e">
        <f t="shared" si="44"/>
        <v>#N/A</v>
      </c>
      <c r="AF330" s="23">
        <f>COUNTIF($AA$47:$AA330,$AA330)-1</f>
        <v>220</v>
      </c>
      <c r="AP330"/>
      <c r="AQ330"/>
      <c r="AR330"/>
      <c r="BG330" s="130" t="e">
        <f t="shared" si="41"/>
        <v>#N/A</v>
      </c>
      <c r="BH330" s="130" t="e">
        <f>IF(ISNA(IF(VLOOKUP($BG330,$BG$24:$BG329,1,FALSE)=BG330,BG330+BI330,0)),BG330,(IF(VLOOKUP($BG330,$BG$24:$BG329,1,FALSE)=BG330,BG330+BI330,0)))</f>
        <v>#N/A</v>
      </c>
      <c r="BI330" s="23">
        <f>COUNTIF($BG$24:$BG330,BG330)-1</f>
        <v>255</v>
      </c>
      <c r="BJ330"/>
      <c r="BK330"/>
      <c r="BL330"/>
    </row>
    <row r="331" spans="26:64" hidden="1">
      <c r="Z331" s="23" t="str">
        <f t="shared" si="45"/>
        <v>Utilities &amp; communications03 Water &amp; sewerage</v>
      </c>
      <c r="AA331" s="130" t="e">
        <f t="shared" si="46"/>
        <v>#N/A</v>
      </c>
      <c r="AB331" s="130" t="e">
        <f>IF(ISNA(IF(VLOOKUP($AA331,$AA$47:$AA330,1,FALSE)=AA331,AA331+AF331,0)),AA331,(IF(VLOOKUP($AA331,$AA$46:$AA331,1,FALSE)=AA331,AA331+AF331,0)))</f>
        <v>#N/A</v>
      </c>
      <c r="AC331" s="23" t="str" vm="8">
        <f t="shared" si="49"/>
        <v>Utilities &amp; communications</v>
      </c>
      <c r="AD331" s="23" t="str" vm="323">
        <f>CUBEMEMBER("cabcrmsqlrs1 CABReportingCubes Local Advice Event",{"[AIC Outcome].[AIC Part1].&amp;[Utilities &amp; communications]","[AIC Outcome].[AIC Part2].&amp;[Utilities &amp; communications]&amp;[03 Water &amp; sewerage]"})</f>
        <v>03 Water &amp; sewerage</v>
      </c>
      <c r="AE331" s="141" vm="1019">
        <f t="shared" si="44"/>
        <v>18</v>
      </c>
      <c r="AF331" s="23">
        <f>COUNTIF($AA$47:$AA331,$AA331)-1</f>
        <v>221</v>
      </c>
      <c r="AP331"/>
      <c r="AQ331"/>
      <c r="AR331"/>
      <c r="BG331" s="130" t="e">
        <f t="shared" si="41"/>
        <v>#N/A</v>
      </c>
      <c r="BH331" s="130" t="e">
        <f>IF(ISNA(IF(VLOOKUP($BG331,$BG$24:$BG330,1,FALSE)=BG331,BG331+BI331,0)),BG331,(IF(VLOOKUP($BG331,$BG$24:$BG330,1,FALSE)=BG331,BG331+BI331,0)))</f>
        <v>#N/A</v>
      </c>
      <c r="BI331" s="23">
        <f>COUNTIF($BG$24:$BG331,BG331)-1</f>
        <v>256</v>
      </c>
      <c r="BJ331"/>
      <c r="BK331"/>
      <c r="BL331"/>
    </row>
    <row r="332" spans="26:64" hidden="1">
      <c r="Z332" s="23" t="e">
        <f t="shared" si="45"/>
        <v>#N/A</v>
      </c>
      <c r="AA332" s="130" t="e">
        <f t="shared" si="46"/>
        <v>#N/A</v>
      </c>
      <c r="AB332" s="130" t="e">
        <f>IF(ISNA(IF(VLOOKUP($AA332,$AA$47:$AA331,1,FALSE)=AA332,AA332+AF332,0)),AA332,(IF(VLOOKUP($AA332,$AA$46:$AA332,1,FALSE)=AA332,AA332+AF332,0)))</f>
        <v>#N/A</v>
      </c>
      <c r="AC332" s="23" t="str" vm="8">
        <f t="shared" si="49"/>
        <v>Utilities &amp; communications</v>
      </c>
      <c r="AD332" s="23" t="e">
        <f>CUBEMEMBER("cabcrmsqlrs1 CABReportingCubes Local Advice Event",{"[AIC Outcome].[AIC Part1].&amp;[Utilities &amp; communications]","[AIC Outcome].[AIC Part2].&amp;[Utilities &amp; communications]&amp;[04 Telephones (landlines &amp; fax)]"})</f>
        <v>#N/A</v>
      </c>
      <c r="AE332" s="141" t="e">
        <f t="shared" si="44"/>
        <v>#N/A</v>
      </c>
      <c r="AF332" s="23">
        <f>COUNTIF($AA$47:$AA332,$AA332)-1</f>
        <v>222</v>
      </c>
      <c r="AP332"/>
      <c r="AQ332"/>
      <c r="AR332"/>
      <c r="BG332" s="130" t="e">
        <f t="shared" si="41"/>
        <v>#N/A</v>
      </c>
      <c r="BH332" s="130" t="e">
        <f>IF(ISNA(IF(VLOOKUP($BG332,$BG$24:$BG331,1,FALSE)=BG332,BG332+BI332,0)),BG332,(IF(VLOOKUP($BG332,$BG$24:$BG331,1,FALSE)=BG332,BG332+BI332,0)))</f>
        <v>#N/A</v>
      </c>
      <c r="BI332" s="23">
        <f>COUNTIF($BG$24:$BG332,BG332)-1</f>
        <v>257</v>
      </c>
      <c r="BJ332"/>
      <c r="BK332"/>
      <c r="BL332"/>
    </row>
    <row r="333" spans="26:64" hidden="1">
      <c r="Z333" s="23" t="str">
        <f t="shared" si="45"/>
        <v>Utilities &amp; communications05 Mobile phones</v>
      </c>
      <c r="AA333" s="130" t="e">
        <f t="shared" si="46"/>
        <v>#N/A</v>
      </c>
      <c r="AB333" s="130" t="e">
        <f>IF(ISNA(IF(VLOOKUP($AA333,$AA$47:$AA332,1,FALSE)=AA333,AA333+AF333,0)),AA333,(IF(VLOOKUP($AA333,$AA$46:$AA333,1,FALSE)=AA333,AA333+AF333,0)))</f>
        <v>#N/A</v>
      </c>
      <c r="AC333" s="23" t="str" vm="8">
        <f t="shared" si="49"/>
        <v>Utilities &amp; communications</v>
      </c>
      <c r="AD333" s="23" t="str" vm="322">
        <f>CUBEMEMBER("cabcrmsqlrs1 CABReportingCubes Local Advice Event",{"[AIC Outcome].[AIC Part1].&amp;[Utilities &amp; communications]","[AIC Outcome].[AIC Part2].&amp;[Utilities &amp; communications]&amp;[05 Mobile phones]"})</f>
        <v>05 Mobile phones</v>
      </c>
      <c r="AE333" s="141" vm="1135">
        <f t="shared" si="44"/>
        <v>17</v>
      </c>
      <c r="AF333" s="23">
        <f>COUNTIF($AA$47:$AA333,$AA333)-1</f>
        <v>223</v>
      </c>
      <c r="AP333"/>
      <c r="AQ333"/>
      <c r="AR333"/>
      <c r="BG333" s="130" t="e">
        <f t="shared" si="41"/>
        <v>#N/A</v>
      </c>
      <c r="BH333" s="130" t="e">
        <f>IF(ISNA(IF(VLOOKUP($BG333,$BG$24:$BG332,1,FALSE)=BG333,BG333+BI333,0)),BG333,(IF(VLOOKUP($BG333,$BG$24:$BG332,1,FALSE)=BG333,BG333+BI333,0)))</f>
        <v>#N/A</v>
      </c>
      <c r="BI333" s="23">
        <f>COUNTIF($BG$24:$BG333,BG333)-1</f>
        <v>258</v>
      </c>
      <c r="BJ333"/>
      <c r="BK333"/>
      <c r="BL333"/>
    </row>
    <row r="334" spans="26:64" hidden="1">
      <c r="Z334" s="23" t="str">
        <f t="shared" si="45"/>
        <v>Utilities &amp; communications06 TV including cable, digital &amp; satellite</v>
      </c>
      <c r="AA334" s="130" t="e">
        <f t="shared" si="46"/>
        <v>#N/A</v>
      </c>
      <c r="AB334" s="130" t="e">
        <f>IF(ISNA(IF(VLOOKUP($AA334,$AA$47:$AA333,1,FALSE)=AA334,AA334+AF334,0)),AA334,(IF(VLOOKUP($AA334,$AA$46:$AA334,1,FALSE)=AA334,AA334+AF334,0)))</f>
        <v>#N/A</v>
      </c>
      <c r="AC334" s="23" t="str" vm="8">
        <f t="shared" si="49"/>
        <v>Utilities &amp; communications</v>
      </c>
      <c r="AD334" s="23" t="str" vm="301">
        <f>CUBEMEMBER("cabcrmsqlrs1 CABReportingCubes Local Advice Event",{"[AIC Outcome].[AIC Part1].&amp;[Utilities &amp; communications]","[AIC Outcome].[AIC Part2].&amp;[Utilities &amp; communications]&amp;[06 TV including cable, digital &amp; satellite]"})</f>
        <v>06 TV including cable, digital &amp; satellite</v>
      </c>
      <c r="AE334" s="141" vm="1262">
        <f t="shared" si="44"/>
        <v>3</v>
      </c>
      <c r="AF334" s="23">
        <f>COUNTIF($AA$47:$AA334,$AA334)-1</f>
        <v>224</v>
      </c>
      <c r="AP334"/>
      <c r="AQ334"/>
      <c r="AR334"/>
      <c r="BG334" s="130" t="e">
        <f t="shared" si="41"/>
        <v>#N/A</v>
      </c>
      <c r="BH334" s="130" t="e">
        <f>IF(ISNA(IF(VLOOKUP($BG334,$BG$24:$BG333,1,FALSE)=BG334,BG334+BI334,0)),BG334,(IF(VLOOKUP($BG334,$BG$24:$BG333,1,FALSE)=BG334,BG334+BI334,0)))</f>
        <v>#N/A</v>
      </c>
      <c r="BI334" s="23">
        <f>COUNTIF($BG$24:$BG334,BG334)-1</f>
        <v>259</v>
      </c>
      <c r="BJ334"/>
      <c r="BK334"/>
      <c r="BL334"/>
    </row>
    <row r="335" spans="26:64" hidden="1">
      <c r="Z335" s="23" t="str">
        <f t="shared" si="45"/>
        <v>Utilities &amp; communications07 Internet &amp; broadband</v>
      </c>
      <c r="AA335" s="130" t="e">
        <f t="shared" si="46"/>
        <v>#N/A</v>
      </c>
      <c r="AB335" s="130" t="e">
        <f>IF(ISNA(IF(VLOOKUP($AA335,$AA$47:$AA334,1,FALSE)=AA335,AA335+AF335,0)),AA335,(IF(VLOOKUP($AA335,$AA$46:$AA335,1,FALSE)=AA335,AA335+AF335,0)))</f>
        <v>#N/A</v>
      </c>
      <c r="AC335" s="23" t="str" vm="8">
        <f t="shared" si="49"/>
        <v>Utilities &amp; communications</v>
      </c>
      <c r="AD335" s="23" t="str" vm="321">
        <f>CUBEMEMBER("cabcrmsqlrs1 CABReportingCubes Local Advice Event",{"[AIC Outcome].[AIC Part1].&amp;[Utilities &amp; communications]","[AIC Outcome].[AIC Part2].&amp;[Utilities &amp; communications]&amp;[07 Internet &amp; broadband]"})</f>
        <v>07 Internet &amp; broadband</v>
      </c>
      <c r="AE335" s="141" vm="1165">
        <f t="shared" si="44"/>
        <v>14</v>
      </c>
      <c r="AF335" s="23">
        <f>COUNTIF($AA$47:$AA335,$AA335)-1</f>
        <v>225</v>
      </c>
      <c r="AP335"/>
      <c r="AQ335"/>
      <c r="AR335"/>
      <c r="BG335" s="130" t="e">
        <f t="shared" si="41"/>
        <v>#N/A</v>
      </c>
      <c r="BH335" s="130" t="e">
        <f>IF(ISNA(IF(VLOOKUP($BG335,$BG$24:$BG334,1,FALSE)=BG335,BG335+BI335,0)),BG335,(IF(VLOOKUP($BG335,$BG$24:$BG334,1,FALSE)=BG335,BG335+BI335,0)))</f>
        <v>#N/A</v>
      </c>
      <c r="BI335" s="23">
        <f>COUNTIF($BG$24:$BG335,BG335)-1</f>
        <v>260</v>
      </c>
      <c r="BJ335"/>
      <c r="BK335"/>
      <c r="BL335"/>
    </row>
    <row r="336" spans="26:64" hidden="1">
      <c r="Z336" s="23" t="e">
        <f t="shared" si="45"/>
        <v>#N/A</v>
      </c>
      <c r="AA336" s="130" t="e">
        <f t="shared" si="46"/>
        <v>#N/A</v>
      </c>
      <c r="AB336" s="130" t="e">
        <f>IF(ISNA(IF(VLOOKUP($AA336,$AA$47:$AA335,1,FALSE)=AA336,AA336+AF336,0)),AA336,(IF(VLOOKUP($AA336,$AA$46:$AA336,1,FALSE)=AA336,AA336+AF336,0)))</f>
        <v>#N/A</v>
      </c>
      <c r="AC336" s="23" t="str" vm="8">
        <f t="shared" si="49"/>
        <v>Utilities &amp; communications</v>
      </c>
      <c r="AD336" s="23" t="e">
        <f>CUBEMEMBER("cabcrmsqlrs1 CABReportingCubes Local Advice Event",{"[AIC Outcome].[AIC Part1].&amp;[Utilities &amp; communications]","[AIC Outcome].[AIC Part2].&amp;[Utilities &amp; communications]&amp;[10 Disability aids &amp; adaptations]"})</f>
        <v>#N/A</v>
      </c>
      <c r="AE336" s="141" t="e">
        <f t="shared" si="44"/>
        <v>#N/A</v>
      </c>
      <c r="AF336" s="23">
        <f>COUNTIF($AA$47:$AA336,$AA336)-1</f>
        <v>226</v>
      </c>
      <c r="AP336"/>
      <c r="AQ336"/>
      <c r="AR336"/>
      <c r="BG336" s="130" t="e">
        <f t="shared" si="41"/>
        <v>#N/A</v>
      </c>
      <c r="BH336" s="130" t="e">
        <f>IF(ISNA(IF(VLOOKUP($BG336,$BG$24:$BG335,1,FALSE)=BG336,BG336+BI336,0)),BG336,(IF(VLOOKUP($BG336,$BG$24:$BG335,1,FALSE)=BG336,BG336+BI336,0)))</f>
        <v>#N/A</v>
      </c>
      <c r="BI336" s="23">
        <f>COUNTIF($BG$24:$BG336,BG336)-1</f>
        <v>261</v>
      </c>
      <c r="BJ336"/>
      <c r="BK336"/>
      <c r="BL336"/>
    </row>
    <row r="337" spans="26:64" hidden="1">
      <c r="Z337" s="23" t="str">
        <f t="shared" si="45"/>
        <v>Utilities &amp; communications99 Other communications &amp; utility issues</v>
      </c>
      <c r="AA337" s="130" t="e">
        <f t="shared" si="46"/>
        <v>#N/A</v>
      </c>
      <c r="AB337" s="130" t="e">
        <f>IF(ISNA(IF(VLOOKUP($AA337,$AA$47:$AA336,1,FALSE)=AA337,AA337+AF337,0)),AA337,(IF(VLOOKUP($AA337,$AA$46:$AA337,1,FALSE)=AA337,AA337+AF337,0)))</f>
        <v>#N/A</v>
      </c>
      <c r="AC337" s="23" t="str" vm="8">
        <f t="shared" si="49"/>
        <v>Utilities &amp; communications</v>
      </c>
      <c r="AD337" s="23" t="str" vm="320">
        <f>CUBEMEMBER("cabcrmsqlrs1 CABReportingCubes Local Advice Event",{"[AIC Outcome].[AIC Part1].&amp;[Utilities &amp; communications]","[AIC Outcome].[AIC Part2].&amp;[Utilities &amp; communications]&amp;[99 Other communications &amp; utility issues]"})</f>
        <v>99 Other communications &amp; utility issues</v>
      </c>
      <c r="AE337" s="141" vm="1313">
        <f t="shared" si="44"/>
        <v>2</v>
      </c>
      <c r="AF337" s="23">
        <f>COUNTIF($AA$47:$AA337,$AA337)-1</f>
        <v>227</v>
      </c>
      <c r="AP337"/>
      <c r="AQ337"/>
      <c r="AR337"/>
      <c r="BG337" s="130" t="e">
        <f t="shared" si="41"/>
        <v>#N/A</v>
      </c>
      <c r="BH337" s="130" t="e">
        <f>IF(ISNA(IF(VLOOKUP($BG337,$BG$24:$BG336,1,FALSE)=BG337,BG337+BI337,0)),BG337,(IF(VLOOKUP($BG337,$BG$24:$BG336,1,FALSE)=BG337,BG337+BI337,0)))</f>
        <v>#N/A</v>
      </c>
      <c r="BI337" s="23">
        <f>COUNTIF($BG$24:$BG337,BG337)-1</f>
        <v>262</v>
      </c>
      <c r="BJ337"/>
      <c r="BK337"/>
      <c r="BL337"/>
    </row>
    <row r="338" spans="26:64" hidden="1">
      <c r="Z338" s="23" t="str">
        <f t="shared" si="45"/>
        <v>Utilities &amp; communicationsNot recorded/not applicable</v>
      </c>
      <c r="AA338" s="130" t="e">
        <f t="shared" si="46"/>
        <v>#N/A</v>
      </c>
      <c r="AB338" s="130" t="e">
        <f>IF(ISNA(IF(VLOOKUP($AA338,$AA$47:$AA337,1,FALSE)=AA338,AA338+AF338,0)),AA338,(IF(VLOOKUP($AA338,$AA$46:$AA338,1,FALSE)=AA338,AA338+AF338,0)))</f>
        <v>#N/A</v>
      </c>
      <c r="AC338" s="23" t="str" vm="8">
        <f t="shared" si="49"/>
        <v>Utilities &amp; communications</v>
      </c>
      <c r="AD338" s="23" t="str" vm="300">
        <f>CUBEMEMBER("cabcrmsqlrs1 CABReportingCubes Local Advice Event",{"[AIC Outcome].[AIC Part1].&amp;[Utilities &amp; communications]","[AIC Outcome].[AIC Part2].&amp;[Utilities &amp; communications]&amp;[Not recorded/not applicable]"})</f>
        <v>Not recorded/not applicable</v>
      </c>
      <c r="AE338" s="141" vm="1231">
        <f t="shared" si="44"/>
        <v>22</v>
      </c>
      <c r="AF338" s="23">
        <f>COUNTIF($AA$47:$AA338,$AA338)-1</f>
        <v>228</v>
      </c>
      <c r="AP338"/>
      <c r="AQ338"/>
      <c r="AR338"/>
      <c r="BG338" s="130" t="e">
        <f t="shared" si="41"/>
        <v>#N/A</v>
      </c>
      <c r="BH338" s="130" t="e">
        <f>IF(ISNA(IF(VLOOKUP($BG338,$BG$24:$BG337,1,FALSE)=BG338,BG338+BI338,0)),BG338,(IF(VLOOKUP($BG338,$BG$24:$BG337,1,FALSE)=BG338,BG338+BI338,0)))</f>
        <v>#N/A</v>
      </c>
      <c r="BI338" s="23">
        <f>COUNTIF($BG$24:$BG338,BG338)-1</f>
        <v>263</v>
      </c>
      <c r="BJ338"/>
      <c r="BK338"/>
      <c r="BL338"/>
    </row>
    <row r="339" spans="26:64" hidden="1">
      <c r="AP339"/>
      <c r="AQ339"/>
      <c r="AR339"/>
      <c r="BG339" s="130" t="e">
        <f t="shared" si="41"/>
        <v>#N/A</v>
      </c>
      <c r="BH339" s="130" t="e">
        <f>IF(ISNA(IF(VLOOKUP($BG339,$BG$24:$BG338,1,FALSE)=BG339,BG339+BI339,0)),BG339,(IF(VLOOKUP($BG339,$BG$24:$BG338,1,FALSE)=BG339,BG339+BI339,0)))</f>
        <v>#N/A</v>
      </c>
      <c r="BI339" s="23">
        <f>COUNTIF($BG$24:$BG339,BG339)-1</f>
        <v>264</v>
      </c>
      <c r="BJ339"/>
      <c r="BK339"/>
      <c r="BL339"/>
    </row>
    <row r="340" spans="26:64" hidden="1">
      <c r="AP340"/>
      <c r="AQ340"/>
      <c r="AR340"/>
      <c r="BG340" s="130" t="e">
        <f t="shared" si="41"/>
        <v>#N/A</v>
      </c>
      <c r="BH340" s="130" t="e">
        <f>IF(ISNA(IF(VLOOKUP($BG340,$BG$24:$BG339,1,FALSE)=BG340,BG340+BI340,0)),BG340,(IF(VLOOKUP($BG340,$BG$24:$BG339,1,FALSE)=BG340,BG340+BI340,0)))</f>
        <v>#N/A</v>
      </c>
      <c r="BI340" s="23">
        <f>COUNTIF($BG$24:$BG340,BG340)-1</f>
        <v>265</v>
      </c>
      <c r="BJ340"/>
      <c r="BK340"/>
      <c r="BL340"/>
    </row>
    <row r="341" spans="26:64" hidden="1">
      <c r="AP341"/>
      <c r="AQ341"/>
      <c r="AR341"/>
      <c r="BG341" s="130" t="e">
        <f t="shared" si="41"/>
        <v>#N/A</v>
      </c>
      <c r="BH341" s="130" t="e">
        <f>IF(ISNA(IF(VLOOKUP($BG341,$BG$24:$BG340,1,FALSE)=BG341,BG341+BI341,0)),BG341,(IF(VLOOKUP($BG341,$BG$24:$BG340,1,FALSE)=BG341,BG341+BI341,0)))</f>
        <v>#N/A</v>
      </c>
      <c r="BI341" s="23">
        <f>COUNTIF($BG$24:$BG341,BG341)-1</f>
        <v>266</v>
      </c>
      <c r="BJ341"/>
      <c r="BK341"/>
      <c r="BL341"/>
    </row>
    <row r="342" spans="26:64" hidden="1">
      <c r="AP342"/>
      <c r="AQ342"/>
      <c r="AR342"/>
      <c r="BG342" s="130" t="e">
        <f t="shared" si="41"/>
        <v>#N/A</v>
      </c>
      <c r="BH342" s="130" t="e">
        <f>IF(ISNA(IF(VLOOKUP($BG342,$BG$24:$BG341,1,FALSE)=BG342,BG342+BI342,0)),BG342,(IF(VLOOKUP($BG342,$BG$24:$BG341,1,FALSE)=BG342,BG342+BI342,0)))</f>
        <v>#N/A</v>
      </c>
      <c r="BI342" s="23">
        <f>COUNTIF($BG$24:$BG342,BG342)-1</f>
        <v>267</v>
      </c>
      <c r="BJ342"/>
      <c r="BK342"/>
      <c r="BL342"/>
    </row>
    <row r="343" spans="26:64" hidden="1">
      <c r="AP343"/>
      <c r="AQ343"/>
      <c r="AR343"/>
      <c r="BG343" s="130" t="e">
        <f t="shared" si="41"/>
        <v>#N/A</v>
      </c>
      <c r="BH343" s="130" t="e">
        <f>IF(ISNA(IF(VLOOKUP($BG343,$BG$24:$BG342,1,FALSE)=BG343,BG343+BI343,0)),BG343,(IF(VLOOKUP($BG343,$BG$24:$BG342,1,FALSE)=BG343,BG343+BI343,0)))</f>
        <v>#N/A</v>
      </c>
      <c r="BI343" s="23">
        <f>COUNTIF($BG$24:$BG343,BG343)-1</f>
        <v>268</v>
      </c>
      <c r="BJ343"/>
      <c r="BK343"/>
      <c r="BL343"/>
    </row>
    <row r="344" spans="26:64" hidden="1">
      <c r="AP344"/>
      <c r="AQ344"/>
      <c r="AR344"/>
      <c r="BG344" s="130" t="e">
        <f t="shared" si="41"/>
        <v>#N/A</v>
      </c>
      <c r="BH344" s="130" t="e">
        <f>IF(ISNA(IF(VLOOKUP($BG344,$BG$24:$BG343,1,FALSE)=BG344,BG344+BI344,0)),BG344,(IF(VLOOKUP($BG344,$BG$24:$BG343,1,FALSE)=BG344,BG344+BI344,0)))</f>
        <v>#N/A</v>
      </c>
      <c r="BI344" s="23">
        <f>COUNTIF($BG$24:$BG344,BG344)-1</f>
        <v>269</v>
      </c>
      <c r="BJ344"/>
      <c r="BK344"/>
      <c r="BL344"/>
    </row>
    <row r="345" spans="26:64" hidden="1">
      <c r="AP345"/>
      <c r="AQ345"/>
      <c r="AR345"/>
      <c r="BG345" s="130" t="e">
        <f t="shared" ref="BG345:BG408" si="50">RANK($BL345,$BL$24:$BL$432,0)</f>
        <v>#N/A</v>
      </c>
      <c r="BH345" s="130" t="e">
        <f>IF(ISNA(IF(VLOOKUP($BG345,$BG$24:$BG344,1,FALSE)=BG345,BG345+BI345,0)),BG345,(IF(VLOOKUP($BG345,$BG$24:$BG344,1,FALSE)=BG345,BG345+BI345,0)))</f>
        <v>#N/A</v>
      </c>
      <c r="BI345" s="23">
        <f>COUNTIF($BG$24:$BG345,BG345)-1</f>
        <v>270</v>
      </c>
      <c r="BJ345"/>
      <c r="BK345"/>
      <c r="BL345"/>
    </row>
    <row r="346" spans="26:64" hidden="1">
      <c r="AP346"/>
      <c r="AQ346"/>
      <c r="AR346"/>
      <c r="BG346" s="130" t="e">
        <f t="shared" si="50"/>
        <v>#N/A</v>
      </c>
      <c r="BH346" s="130" t="e">
        <f>IF(ISNA(IF(VLOOKUP($BG346,$BG$24:$BG345,1,FALSE)=BG346,BG346+BI346,0)),BG346,(IF(VLOOKUP($BG346,$BG$24:$BG345,1,FALSE)=BG346,BG346+BI346,0)))</f>
        <v>#N/A</v>
      </c>
      <c r="BI346" s="23">
        <f>COUNTIF($BG$24:$BG346,BG346)-1</f>
        <v>271</v>
      </c>
      <c r="BJ346"/>
      <c r="BK346"/>
      <c r="BL346"/>
    </row>
    <row r="347" spans="26:64" hidden="1">
      <c r="AP347"/>
      <c r="AQ347"/>
      <c r="AR347"/>
      <c r="BG347" s="130" t="e">
        <f t="shared" si="50"/>
        <v>#N/A</v>
      </c>
      <c r="BH347" s="130" t="e">
        <f>IF(ISNA(IF(VLOOKUP($BG347,$BG$24:$BG346,1,FALSE)=BG347,BG347+BI347,0)),BG347,(IF(VLOOKUP($BG347,$BG$24:$BG346,1,FALSE)=BG347,BG347+BI347,0)))</f>
        <v>#N/A</v>
      </c>
      <c r="BI347" s="23">
        <f>COUNTIF($BG$24:$BG347,BG347)-1</f>
        <v>272</v>
      </c>
      <c r="BJ347"/>
      <c r="BK347"/>
      <c r="BL347"/>
    </row>
    <row r="348" spans="26:64" hidden="1">
      <c r="AP348"/>
      <c r="AQ348"/>
      <c r="AR348"/>
      <c r="BG348" s="130" t="e">
        <f t="shared" si="50"/>
        <v>#N/A</v>
      </c>
      <c r="BH348" s="130" t="e">
        <f>IF(ISNA(IF(VLOOKUP($BG348,$BG$24:$BG347,1,FALSE)=BG348,BG348+BI348,0)),BG348,(IF(VLOOKUP($BG348,$BG$24:$BG347,1,FALSE)=BG348,BG348+BI348,0)))</f>
        <v>#N/A</v>
      </c>
      <c r="BI348" s="23">
        <f>COUNTIF($BG$24:$BG348,BG348)-1</f>
        <v>273</v>
      </c>
      <c r="BJ348"/>
      <c r="BK348"/>
      <c r="BL348"/>
    </row>
    <row r="349" spans="26:64" hidden="1">
      <c r="AP349"/>
      <c r="AQ349"/>
      <c r="AR349"/>
      <c r="BG349" s="130" t="e">
        <f t="shared" si="50"/>
        <v>#N/A</v>
      </c>
      <c r="BH349" s="130" t="e">
        <f>IF(ISNA(IF(VLOOKUP($BG349,$BG$24:$BG348,1,FALSE)=BG349,BG349+BI349,0)),BG349,(IF(VLOOKUP($BG349,$BG$24:$BG348,1,FALSE)=BG349,BG349+BI349,0)))</f>
        <v>#N/A</v>
      </c>
      <c r="BI349" s="23">
        <f>COUNTIF($BG$24:$BG349,BG349)-1</f>
        <v>274</v>
      </c>
      <c r="BJ349"/>
      <c r="BK349"/>
      <c r="BL349"/>
    </row>
    <row r="350" spans="26:64" hidden="1">
      <c r="AP350"/>
      <c r="AQ350"/>
      <c r="AR350"/>
      <c r="BG350" s="130" t="e">
        <f t="shared" si="50"/>
        <v>#N/A</v>
      </c>
      <c r="BH350" s="130" t="e">
        <f>IF(ISNA(IF(VLOOKUP($BG350,$BG$24:$BG349,1,FALSE)=BG350,BG350+BI350,0)),BG350,(IF(VLOOKUP($BG350,$BG$24:$BG349,1,FALSE)=BG350,BG350+BI350,0)))</f>
        <v>#N/A</v>
      </c>
      <c r="BI350" s="23">
        <f>COUNTIF($BG$24:$BG350,BG350)-1</f>
        <v>275</v>
      </c>
      <c r="BJ350"/>
      <c r="BK350"/>
      <c r="BL350"/>
    </row>
    <row r="351" spans="26:64" hidden="1">
      <c r="AP351"/>
      <c r="AQ351"/>
      <c r="AR351"/>
      <c r="BG351" s="130" t="e">
        <f t="shared" si="50"/>
        <v>#N/A</v>
      </c>
      <c r="BH351" s="130" t="e">
        <f>IF(ISNA(IF(VLOOKUP($BG351,$BG$24:$BG350,1,FALSE)=BG351,BG351+BI351,0)),BG351,(IF(VLOOKUP($BG351,$BG$24:$BG350,1,FALSE)=BG351,BG351+BI351,0)))</f>
        <v>#N/A</v>
      </c>
      <c r="BI351" s="23">
        <f>COUNTIF($BG$24:$BG351,BG351)-1</f>
        <v>276</v>
      </c>
      <c r="BJ351"/>
      <c r="BK351"/>
      <c r="BL351"/>
    </row>
    <row r="352" spans="26:64" hidden="1">
      <c r="AP352"/>
      <c r="AQ352"/>
      <c r="AR352"/>
      <c r="BG352" s="130" t="e">
        <f t="shared" si="50"/>
        <v>#N/A</v>
      </c>
      <c r="BH352" s="130" t="e">
        <f>IF(ISNA(IF(VLOOKUP($BG352,$BG$24:$BG351,1,FALSE)=BG352,BG352+BI352,0)),BG352,(IF(VLOOKUP($BG352,$BG$24:$BG351,1,FALSE)=BG352,BG352+BI352,0)))</f>
        <v>#N/A</v>
      </c>
      <c r="BI352" s="23">
        <f>COUNTIF($BG$24:$BG352,BG352)-1</f>
        <v>277</v>
      </c>
      <c r="BJ352"/>
      <c r="BK352"/>
      <c r="BL352"/>
    </row>
    <row r="353" spans="42:64" hidden="1">
      <c r="AP353"/>
      <c r="AQ353"/>
      <c r="AR353"/>
      <c r="BG353" s="130" t="e">
        <f t="shared" si="50"/>
        <v>#N/A</v>
      </c>
      <c r="BH353" s="130" t="e">
        <f>IF(ISNA(IF(VLOOKUP($BG353,$BG$24:$BG352,1,FALSE)=BG353,BG353+BI353,0)),BG353,(IF(VLOOKUP($BG353,$BG$24:$BG352,1,FALSE)=BG353,BG353+BI353,0)))</f>
        <v>#N/A</v>
      </c>
      <c r="BI353" s="23">
        <f>COUNTIF($BG$24:$BG353,BG353)-1</f>
        <v>278</v>
      </c>
      <c r="BJ353"/>
      <c r="BK353"/>
      <c r="BL353"/>
    </row>
    <row r="354" spans="42:64" hidden="1">
      <c r="AP354"/>
      <c r="AQ354"/>
      <c r="AR354"/>
      <c r="BG354" s="130" t="e">
        <f t="shared" si="50"/>
        <v>#N/A</v>
      </c>
      <c r="BH354" s="130" t="e">
        <f>IF(ISNA(IF(VLOOKUP($BG354,$BG$24:$BG353,1,FALSE)=BG354,BG354+BI354,0)),BG354,(IF(VLOOKUP($BG354,$BG$24:$BG353,1,FALSE)=BG354,BG354+BI354,0)))</f>
        <v>#N/A</v>
      </c>
      <c r="BI354" s="23">
        <f>COUNTIF($BG$24:$BG354,BG354)-1</f>
        <v>279</v>
      </c>
      <c r="BJ354"/>
      <c r="BK354"/>
      <c r="BL354"/>
    </row>
    <row r="355" spans="42:64" hidden="1">
      <c r="AP355"/>
      <c r="AQ355"/>
      <c r="AR355"/>
      <c r="BG355" s="130" t="e">
        <f t="shared" si="50"/>
        <v>#N/A</v>
      </c>
      <c r="BH355" s="130" t="e">
        <f>IF(ISNA(IF(VLOOKUP($BG355,$BG$24:$BG354,1,FALSE)=BG355,BG355+BI355,0)),BG355,(IF(VLOOKUP($BG355,$BG$24:$BG354,1,FALSE)=BG355,BG355+BI355,0)))</f>
        <v>#N/A</v>
      </c>
      <c r="BI355" s="23">
        <f>COUNTIF($BG$24:$BG355,BG355)-1</f>
        <v>280</v>
      </c>
      <c r="BJ355"/>
      <c r="BK355"/>
      <c r="BL355"/>
    </row>
    <row r="356" spans="42:64" hidden="1">
      <c r="AP356"/>
      <c r="AQ356"/>
      <c r="AR356"/>
      <c r="BG356" s="130" t="e">
        <f t="shared" si="50"/>
        <v>#N/A</v>
      </c>
      <c r="BH356" s="130" t="e">
        <f>IF(ISNA(IF(VLOOKUP($BG356,$BG$24:$BG355,1,FALSE)=BG356,BG356+BI356,0)),BG356,(IF(VLOOKUP($BG356,$BG$24:$BG355,1,FALSE)=BG356,BG356+BI356,0)))</f>
        <v>#N/A</v>
      </c>
      <c r="BI356" s="23">
        <f>COUNTIF($BG$24:$BG356,BG356)-1</f>
        <v>281</v>
      </c>
      <c r="BJ356"/>
      <c r="BK356"/>
      <c r="BL356"/>
    </row>
    <row r="357" spans="42:64" hidden="1">
      <c r="AP357"/>
      <c r="AQ357"/>
      <c r="AR357"/>
      <c r="BG357" s="130" t="e">
        <f t="shared" si="50"/>
        <v>#N/A</v>
      </c>
      <c r="BH357" s="130" t="e">
        <f>IF(ISNA(IF(VLOOKUP($BG357,$BG$24:$BG356,1,FALSE)=BG357,BG357+BI357,0)),BG357,(IF(VLOOKUP($BG357,$BG$24:$BG356,1,FALSE)=BG357,BG357+BI357,0)))</f>
        <v>#N/A</v>
      </c>
      <c r="BI357" s="23">
        <f>COUNTIF($BG$24:$BG357,BG357)-1</f>
        <v>282</v>
      </c>
      <c r="BJ357"/>
      <c r="BK357"/>
      <c r="BL357"/>
    </row>
    <row r="358" spans="42:64" hidden="1">
      <c r="AP358"/>
      <c r="AQ358"/>
      <c r="AR358"/>
      <c r="BG358" s="130" t="e">
        <f t="shared" si="50"/>
        <v>#N/A</v>
      </c>
      <c r="BH358" s="130" t="e">
        <f>IF(ISNA(IF(VLOOKUP($BG358,$BG$24:$BG357,1,FALSE)=BG358,BG358+BI358,0)),BG358,(IF(VLOOKUP($BG358,$BG$24:$BG357,1,FALSE)=BG358,BG358+BI358,0)))</f>
        <v>#N/A</v>
      </c>
      <c r="BI358" s="23">
        <f>COUNTIF($BG$24:$BG358,BG358)-1</f>
        <v>283</v>
      </c>
      <c r="BJ358"/>
      <c r="BK358"/>
      <c r="BL358"/>
    </row>
    <row r="359" spans="42:64" hidden="1">
      <c r="AP359"/>
      <c r="AQ359"/>
      <c r="AR359"/>
      <c r="BG359" s="130" t="e">
        <f t="shared" si="50"/>
        <v>#N/A</v>
      </c>
      <c r="BH359" s="130" t="e">
        <f>IF(ISNA(IF(VLOOKUP($BG359,$BG$24:$BG358,1,FALSE)=BG359,BG359+BI359,0)),BG359,(IF(VLOOKUP($BG359,$BG$24:$BG358,1,FALSE)=BG359,BG359+BI359,0)))</f>
        <v>#N/A</v>
      </c>
      <c r="BI359" s="23">
        <f>COUNTIF($BG$24:$BG359,BG359)-1</f>
        <v>284</v>
      </c>
      <c r="BJ359"/>
      <c r="BK359"/>
      <c r="BL359"/>
    </row>
    <row r="360" spans="42:64" hidden="1">
      <c r="AP360"/>
      <c r="AQ360"/>
      <c r="AR360"/>
      <c r="BG360" s="130" t="e">
        <f t="shared" si="50"/>
        <v>#N/A</v>
      </c>
      <c r="BH360" s="130" t="e">
        <f>IF(ISNA(IF(VLOOKUP($BG360,$BG$24:$BG359,1,FALSE)=BG360,BG360+BI360,0)),BG360,(IF(VLOOKUP($BG360,$BG$24:$BG359,1,FALSE)=BG360,BG360+BI360,0)))</f>
        <v>#N/A</v>
      </c>
      <c r="BI360" s="23">
        <f>COUNTIF($BG$24:$BG360,BG360)-1</f>
        <v>285</v>
      </c>
      <c r="BJ360"/>
      <c r="BK360"/>
      <c r="BL360"/>
    </row>
    <row r="361" spans="42:64" hidden="1">
      <c r="AP361"/>
      <c r="AQ361"/>
      <c r="AR361"/>
      <c r="BG361" s="130" t="e">
        <f t="shared" si="50"/>
        <v>#N/A</v>
      </c>
      <c r="BH361" s="130" t="e">
        <f>IF(ISNA(IF(VLOOKUP($BG361,$BG$24:$BG360,1,FALSE)=BG361,BG361+BI361,0)),BG361,(IF(VLOOKUP($BG361,$BG$24:$BG360,1,FALSE)=BG361,BG361+BI361,0)))</f>
        <v>#N/A</v>
      </c>
      <c r="BI361" s="23">
        <f>COUNTIF($BG$24:$BG361,BG361)-1</f>
        <v>286</v>
      </c>
      <c r="BJ361"/>
      <c r="BK361"/>
      <c r="BL361"/>
    </row>
    <row r="362" spans="42:64" hidden="1">
      <c r="AP362"/>
      <c r="AQ362"/>
      <c r="AR362"/>
      <c r="BG362" s="130" t="e">
        <f t="shared" si="50"/>
        <v>#N/A</v>
      </c>
      <c r="BH362" s="130" t="e">
        <f>IF(ISNA(IF(VLOOKUP($BG362,$BG$24:$BG361,1,FALSE)=BG362,BG362+BI362,0)),BG362,(IF(VLOOKUP($BG362,$BG$24:$BG361,1,FALSE)=BG362,BG362+BI362,0)))</f>
        <v>#N/A</v>
      </c>
      <c r="BI362" s="23">
        <f>COUNTIF($BG$24:$BG362,BG362)-1</f>
        <v>287</v>
      </c>
      <c r="BJ362"/>
      <c r="BK362"/>
      <c r="BL362"/>
    </row>
    <row r="363" spans="42:64" hidden="1">
      <c r="AP363"/>
      <c r="AQ363"/>
      <c r="AR363"/>
      <c r="BG363" s="130" t="e">
        <f t="shared" si="50"/>
        <v>#N/A</v>
      </c>
      <c r="BH363" s="130" t="e">
        <f>IF(ISNA(IF(VLOOKUP($BG363,$BG$24:$BG362,1,FALSE)=BG363,BG363+BI363,0)),BG363,(IF(VLOOKUP($BG363,$BG$24:$BG362,1,FALSE)=BG363,BG363+BI363,0)))</f>
        <v>#N/A</v>
      </c>
      <c r="BI363" s="23">
        <f>COUNTIF($BG$24:$BG363,BG363)-1</f>
        <v>288</v>
      </c>
      <c r="BJ363"/>
      <c r="BK363"/>
      <c r="BL363"/>
    </row>
    <row r="364" spans="42:64" hidden="1">
      <c r="AP364"/>
      <c r="AQ364"/>
      <c r="AR364"/>
      <c r="BG364" s="130" t="e">
        <f t="shared" si="50"/>
        <v>#N/A</v>
      </c>
      <c r="BH364" s="130" t="e">
        <f>IF(ISNA(IF(VLOOKUP($BG364,$BG$24:$BG363,1,FALSE)=BG364,BG364+BI364,0)),BG364,(IF(VLOOKUP($BG364,$BG$24:$BG363,1,FALSE)=BG364,BG364+BI364,0)))</f>
        <v>#N/A</v>
      </c>
      <c r="BI364" s="23">
        <f>COUNTIF($BG$24:$BG364,BG364)-1</f>
        <v>289</v>
      </c>
      <c r="BJ364"/>
      <c r="BK364"/>
      <c r="BL364"/>
    </row>
    <row r="365" spans="42:64" hidden="1">
      <c r="AP365"/>
      <c r="AQ365"/>
      <c r="AR365"/>
      <c r="BG365" s="130" t="e">
        <f t="shared" si="50"/>
        <v>#N/A</v>
      </c>
      <c r="BH365" s="130" t="e">
        <f>IF(ISNA(IF(VLOOKUP($BG365,$BG$24:$BG364,1,FALSE)=BG365,BG365+BI365,0)),BG365,(IF(VLOOKUP($BG365,$BG$24:$BG364,1,FALSE)=BG365,BG365+BI365,0)))</f>
        <v>#N/A</v>
      </c>
      <c r="BI365" s="23">
        <f>COUNTIF($BG$24:$BG365,BG365)-1</f>
        <v>290</v>
      </c>
      <c r="BJ365"/>
      <c r="BK365"/>
      <c r="BL365"/>
    </row>
    <row r="366" spans="42:64" hidden="1">
      <c r="AP366"/>
      <c r="AQ366"/>
      <c r="AR366"/>
      <c r="BG366" s="130" t="e">
        <f t="shared" si="50"/>
        <v>#N/A</v>
      </c>
      <c r="BH366" s="130" t="e">
        <f>IF(ISNA(IF(VLOOKUP($BG366,$BG$24:$BG365,1,FALSE)=BG366,BG366+BI366,0)),BG366,(IF(VLOOKUP($BG366,$BG$24:$BG365,1,FALSE)=BG366,BG366+BI366,0)))</f>
        <v>#N/A</v>
      </c>
      <c r="BI366" s="23">
        <f>COUNTIF($BG$24:$BG366,BG366)-1</f>
        <v>291</v>
      </c>
      <c r="BJ366"/>
      <c r="BK366"/>
      <c r="BL366"/>
    </row>
    <row r="367" spans="42:64" hidden="1">
      <c r="AP367"/>
      <c r="AQ367"/>
      <c r="AR367"/>
      <c r="BG367" s="130" t="e">
        <f t="shared" si="50"/>
        <v>#N/A</v>
      </c>
      <c r="BH367" s="130" t="e">
        <f>IF(ISNA(IF(VLOOKUP($BG367,$BG$24:$BG366,1,FALSE)=BG367,BG367+BI367,0)),BG367,(IF(VLOOKUP($BG367,$BG$24:$BG366,1,FALSE)=BG367,BG367+BI367,0)))</f>
        <v>#N/A</v>
      </c>
      <c r="BI367" s="23">
        <f>COUNTIF($BG$24:$BG367,BG367)-1</f>
        <v>292</v>
      </c>
      <c r="BJ367"/>
      <c r="BK367"/>
      <c r="BL367"/>
    </row>
    <row r="368" spans="42:64" hidden="1">
      <c r="AP368"/>
      <c r="AQ368"/>
      <c r="AR368"/>
      <c r="BG368" s="130" t="e">
        <f t="shared" si="50"/>
        <v>#N/A</v>
      </c>
      <c r="BH368" s="130" t="e">
        <f>IF(ISNA(IF(VLOOKUP($BG368,$BG$24:$BG367,1,FALSE)=BG368,BG368+BI368,0)),BG368,(IF(VLOOKUP($BG368,$BG$24:$BG367,1,FALSE)=BG368,BG368+BI368,0)))</f>
        <v>#N/A</v>
      </c>
      <c r="BI368" s="23">
        <f>COUNTIF($BG$24:$BG368,BG368)-1</f>
        <v>293</v>
      </c>
      <c r="BJ368"/>
      <c r="BK368"/>
      <c r="BL368"/>
    </row>
    <row r="369" spans="42:64" hidden="1">
      <c r="AP369"/>
      <c r="AQ369"/>
      <c r="AR369"/>
      <c r="BG369" s="130" t="e">
        <f t="shared" si="50"/>
        <v>#N/A</v>
      </c>
      <c r="BH369" s="130" t="e">
        <f>IF(ISNA(IF(VLOOKUP($BG369,$BG$24:$BG368,1,FALSE)=BG369,BG369+BI369,0)),BG369,(IF(VLOOKUP($BG369,$BG$24:$BG368,1,FALSE)=BG369,BG369+BI369,0)))</f>
        <v>#N/A</v>
      </c>
      <c r="BI369" s="23">
        <f>COUNTIF($BG$24:$BG369,BG369)-1</f>
        <v>294</v>
      </c>
      <c r="BJ369"/>
      <c r="BK369"/>
      <c r="BL369"/>
    </row>
    <row r="370" spans="42:64" hidden="1">
      <c r="AP370"/>
      <c r="AQ370"/>
      <c r="AR370"/>
      <c r="BG370" s="130" t="e">
        <f t="shared" si="50"/>
        <v>#N/A</v>
      </c>
      <c r="BH370" s="130" t="e">
        <f>IF(ISNA(IF(VLOOKUP($BG370,$BG$24:$BG369,1,FALSE)=BG370,BG370+BI370,0)),BG370,(IF(VLOOKUP($BG370,$BG$24:$BG369,1,FALSE)=BG370,BG370+BI370,0)))</f>
        <v>#N/A</v>
      </c>
      <c r="BI370" s="23">
        <f>COUNTIF($BG$24:$BG370,BG370)-1</f>
        <v>295</v>
      </c>
      <c r="BJ370"/>
      <c r="BK370"/>
      <c r="BL370"/>
    </row>
    <row r="371" spans="42:64" hidden="1">
      <c r="AP371"/>
      <c r="AQ371"/>
      <c r="AR371"/>
      <c r="BG371" s="130" t="e">
        <f t="shared" si="50"/>
        <v>#N/A</v>
      </c>
      <c r="BH371" s="130" t="e">
        <f>IF(ISNA(IF(VLOOKUP($BG371,$BG$24:$BG370,1,FALSE)=BG371,BG371+BI371,0)),BG371,(IF(VLOOKUP($BG371,$BG$24:$BG370,1,FALSE)=BG371,BG371+BI371,0)))</f>
        <v>#N/A</v>
      </c>
      <c r="BI371" s="23">
        <f>COUNTIF($BG$24:$BG371,BG371)-1</f>
        <v>296</v>
      </c>
      <c r="BJ371"/>
      <c r="BK371"/>
      <c r="BL371"/>
    </row>
    <row r="372" spans="42:64" hidden="1">
      <c r="AP372"/>
      <c r="AQ372"/>
      <c r="AR372"/>
      <c r="BG372" s="130" t="e">
        <f t="shared" si="50"/>
        <v>#N/A</v>
      </c>
      <c r="BH372" s="130" t="e">
        <f>IF(ISNA(IF(VLOOKUP($BG372,$BG$24:$BG371,1,FALSE)=BG372,BG372+BI372,0)),BG372,(IF(VLOOKUP($BG372,$BG$24:$BG371,1,FALSE)=BG372,BG372+BI372,0)))</f>
        <v>#N/A</v>
      </c>
      <c r="BI372" s="23">
        <f>COUNTIF($BG$24:$BG372,BG372)-1</f>
        <v>297</v>
      </c>
      <c r="BJ372"/>
      <c r="BK372"/>
      <c r="BL372"/>
    </row>
    <row r="373" spans="42:64" hidden="1">
      <c r="AP373"/>
      <c r="AQ373"/>
      <c r="AR373"/>
      <c r="BG373" s="130" t="e">
        <f t="shared" si="50"/>
        <v>#N/A</v>
      </c>
      <c r="BH373" s="130" t="e">
        <f>IF(ISNA(IF(VLOOKUP($BG373,$BG$24:$BG372,1,FALSE)=BG373,BG373+BI373,0)),BG373,(IF(VLOOKUP($BG373,$BG$24:$BG372,1,FALSE)=BG373,BG373+BI373,0)))</f>
        <v>#N/A</v>
      </c>
      <c r="BI373" s="23">
        <f>COUNTIF($BG$24:$BG373,BG373)-1</f>
        <v>298</v>
      </c>
      <c r="BJ373"/>
      <c r="BK373"/>
      <c r="BL373"/>
    </row>
    <row r="374" spans="42:64" hidden="1">
      <c r="AP374"/>
      <c r="AQ374"/>
      <c r="AR374"/>
      <c r="BG374" s="130" t="e">
        <f t="shared" si="50"/>
        <v>#N/A</v>
      </c>
      <c r="BH374" s="130" t="e">
        <f>IF(ISNA(IF(VLOOKUP($BG374,$BG$24:$BG373,1,FALSE)=BG374,BG374+BI374,0)),BG374,(IF(VLOOKUP($BG374,$BG$24:$BG373,1,FALSE)=BG374,BG374+BI374,0)))</f>
        <v>#N/A</v>
      </c>
      <c r="BI374" s="23">
        <f>COUNTIF($BG$24:$BG374,BG374)-1</f>
        <v>299</v>
      </c>
      <c r="BJ374"/>
      <c r="BK374"/>
      <c r="BL374"/>
    </row>
    <row r="375" spans="42:64" hidden="1">
      <c r="AP375"/>
      <c r="AQ375"/>
      <c r="AR375"/>
      <c r="BG375" s="130" t="e">
        <f t="shared" si="50"/>
        <v>#N/A</v>
      </c>
      <c r="BH375" s="130" t="e">
        <f>IF(ISNA(IF(VLOOKUP($BG375,$BG$24:$BG374,1,FALSE)=BG375,BG375+BI375,0)),BG375,(IF(VLOOKUP($BG375,$BG$24:$BG374,1,FALSE)=BG375,BG375+BI375,0)))</f>
        <v>#N/A</v>
      </c>
      <c r="BI375" s="23">
        <f>COUNTIF($BG$24:$BG375,BG375)-1</f>
        <v>300</v>
      </c>
      <c r="BJ375"/>
      <c r="BK375"/>
      <c r="BL375"/>
    </row>
    <row r="376" spans="42:64" hidden="1">
      <c r="AP376"/>
      <c r="AQ376"/>
      <c r="AR376"/>
      <c r="BG376" s="130" t="e">
        <f t="shared" si="50"/>
        <v>#N/A</v>
      </c>
      <c r="BH376" s="130" t="e">
        <f>IF(ISNA(IF(VLOOKUP($BG376,$BG$24:$BG375,1,FALSE)=BG376,BG376+BI376,0)),BG376,(IF(VLOOKUP($BG376,$BG$24:$BG375,1,FALSE)=BG376,BG376+BI376,0)))</f>
        <v>#N/A</v>
      </c>
      <c r="BI376" s="23">
        <f>COUNTIF($BG$24:$BG376,BG376)-1</f>
        <v>301</v>
      </c>
      <c r="BJ376"/>
      <c r="BK376"/>
      <c r="BL376"/>
    </row>
    <row r="377" spans="42:64" hidden="1">
      <c r="AP377"/>
      <c r="AQ377"/>
      <c r="AR377"/>
      <c r="BG377" s="130" t="e">
        <f t="shared" si="50"/>
        <v>#N/A</v>
      </c>
      <c r="BH377" s="130" t="e">
        <f>IF(ISNA(IF(VLOOKUP($BG377,$BG$24:$BG376,1,FALSE)=BG377,BG377+BI377,0)),BG377,(IF(VLOOKUP($BG377,$BG$24:$BG376,1,FALSE)=BG377,BG377+BI377,0)))</f>
        <v>#N/A</v>
      </c>
      <c r="BI377" s="23">
        <f>COUNTIF($BG$24:$BG377,BG377)-1</f>
        <v>302</v>
      </c>
      <c r="BJ377"/>
      <c r="BK377"/>
      <c r="BL377"/>
    </row>
    <row r="378" spans="42:64" hidden="1">
      <c r="AP378"/>
      <c r="AQ378"/>
      <c r="AR378"/>
      <c r="BG378" s="130" t="e">
        <f t="shared" si="50"/>
        <v>#N/A</v>
      </c>
      <c r="BH378" s="130" t="e">
        <f>IF(ISNA(IF(VLOOKUP($BG378,$BG$24:$BG377,1,FALSE)=BG378,BG378+BI378,0)),BG378,(IF(VLOOKUP($BG378,$BG$24:$BG377,1,FALSE)=BG378,BG378+BI378,0)))</f>
        <v>#N/A</v>
      </c>
      <c r="BI378" s="23">
        <f>COUNTIF($BG$24:$BG378,BG378)-1</f>
        <v>303</v>
      </c>
      <c r="BJ378"/>
      <c r="BK378"/>
      <c r="BL378"/>
    </row>
    <row r="379" spans="42:64" hidden="1">
      <c r="AP379"/>
      <c r="AQ379"/>
      <c r="AR379"/>
      <c r="BG379" s="130" t="e">
        <f t="shared" si="50"/>
        <v>#N/A</v>
      </c>
      <c r="BH379" s="130" t="e">
        <f>IF(ISNA(IF(VLOOKUP($BG379,$BG$24:$BG378,1,FALSE)=BG379,BG379+BI379,0)),BG379,(IF(VLOOKUP($BG379,$BG$24:$BG378,1,FALSE)=BG379,BG379+BI379,0)))</f>
        <v>#N/A</v>
      </c>
      <c r="BI379" s="23">
        <f>COUNTIF($BG$24:$BG379,BG379)-1</f>
        <v>304</v>
      </c>
      <c r="BJ379"/>
      <c r="BK379"/>
      <c r="BL379"/>
    </row>
    <row r="380" spans="42:64" hidden="1">
      <c r="AP380"/>
      <c r="AQ380"/>
      <c r="AR380"/>
      <c r="BG380" s="130" t="e">
        <f t="shared" si="50"/>
        <v>#N/A</v>
      </c>
      <c r="BH380" s="130" t="e">
        <f>IF(ISNA(IF(VLOOKUP($BG380,$BG$24:$BG379,1,FALSE)=BG380,BG380+BI380,0)),BG380,(IF(VLOOKUP($BG380,$BG$24:$BG379,1,FALSE)=BG380,BG380+BI380,0)))</f>
        <v>#N/A</v>
      </c>
      <c r="BI380" s="23">
        <f>COUNTIF($BG$24:$BG380,BG380)-1</f>
        <v>305</v>
      </c>
      <c r="BJ380"/>
      <c r="BK380"/>
      <c r="BL380"/>
    </row>
    <row r="381" spans="42:64" hidden="1">
      <c r="AP381"/>
      <c r="AQ381"/>
      <c r="AR381"/>
      <c r="BG381" s="130" t="e">
        <f t="shared" si="50"/>
        <v>#N/A</v>
      </c>
      <c r="BH381" s="130" t="e">
        <f>IF(ISNA(IF(VLOOKUP($BG381,$BG$24:$BG380,1,FALSE)=BG381,BG381+BI381,0)),BG381,(IF(VLOOKUP($BG381,$BG$24:$BG380,1,FALSE)=BG381,BG381+BI381,0)))</f>
        <v>#N/A</v>
      </c>
      <c r="BI381" s="23">
        <f>COUNTIF($BG$24:$BG381,BG381)-1</f>
        <v>306</v>
      </c>
      <c r="BJ381"/>
      <c r="BK381"/>
      <c r="BL381"/>
    </row>
    <row r="382" spans="42:64" hidden="1">
      <c r="AP382"/>
      <c r="AQ382"/>
      <c r="AR382"/>
      <c r="BG382" s="130" t="e">
        <f t="shared" si="50"/>
        <v>#N/A</v>
      </c>
      <c r="BH382" s="130" t="e">
        <f>IF(ISNA(IF(VLOOKUP($BG382,$BG$24:$BG381,1,FALSE)=BG382,BG382+BI382,0)),BG382,(IF(VLOOKUP($BG382,$BG$24:$BG381,1,FALSE)=BG382,BG382+BI382,0)))</f>
        <v>#N/A</v>
      </c>
      <c r="BI382" s="23">
        <f>COUNTIF($BG$24:$BG382,BG382)-1</f>
        <v>307</v>
      </c>
      <c r="BJ382"/>
      <c r="BK382"/>
      <c r="BL382"/>
    </row>
    <row r="383" spans="42:64" hidden="1">
      <c r="AP383"/>
      <c r="AQ383"/>
      <c r="AR383"/>
      <c r="BG383" s="130" t="e">
        <f t="shared" si="50"/>
        <v>#N/A</v>
      </c>
      <c r="BH383" s="130" t="e">
        <f>IF(ISNA(IF(VLOOKUP($BG383,$BG$24:$BG382,1,FALSE)=BG383,BG383+BI383,0)),BG383,(IF(VLOOKUP($BG383,$BG$24:$BG382,1,FALSE)=BG383,BG383+BI383,0)))</f>
        <v>#N/A</v>
      </c>
      <c r="BI383" s="23">
        <f>COUNTIF($BG$24:$BG383,BG383)-1</f>
        <v>308</v>
      </c>
      <c r="BJ383"/>
      <c r="BK383"/>
      <c r="BL383"/>
    </row>
    <row r="384" spans="42:64" hidden="1">
      <c r="AP384"/>
      <c r="AQ384"/>
      <c r="AR384"/>
      <c r="BG384" s="130" t="e">
        <f t="shared" si="50"/>
        <v>#N/A</v>
      </c>
      <c r="BH384" s="130" t="e">
        <f>IF(ISNA(IF(VLOOKUP($BG384,$BG$24:$BG383,1,FALSE)=BG384,BG384+BI384,0)),BG384,(IF(VLOOKUP($BG384,$BG$24:$BG383,1,FALSE)=BG384,BG384+BI384,0)))</f>
        <v>#N/A</v>
      </c>
      <c r="BI384" s="23">
        <f>COUNTIF($BG$24:$BG384,BG384)-1</f>
        <v>309</v>
      </c>
      <c r="BJ384"/>
      <c r="BK384"/>
      <c r="BL384"/>
    </row>
    <row r="385" spans="42:64" hidden="1">
      <c r="AP385"/>
      <c r="AQ385"/>
      <c r="AR385"/>
      <c r="BG385" s="130" t="e">
        <f t="shared" si="50"/>
        <v>#N/A</v>
      </c>
      <c r="BH385" s="130" t="e">
        <f>IF(ISNA(IF(VLOOKUP($BG385,$BG$24:$BG384,1,FALSE)=BG385,BG385+BI385,0)),BG385,(IF(VLOOKUP($BG385,$BG$24:$BG384,1,FALSE)=BG385,BG385+BI385,0)))</f>
        <v>#N/A</v>
      </c>
      <c r="BI385" s="23">
        <f>COUNTIF($BG$24:$BG385,BG385)-1</f>
        <v>310</v>
      </c>
      <c r="BJ385"/>
      <c r="BK385"/>
      <c r="BL385"/>
    </row>
    <row r="386" spans="42:64" hidden="1">
      <c r="AP386"/>
      <c r="AQ386"/>
      <c r="AR386"/>
      <c r="BG386" s="130" t="e">
        <f t="shared" si="50"/>
        <v>#N/A</v>
      </c>
      <c r="BH386" s="130" t="e">
        <f>IF(ISNA(IF(VLOOKUP($BG386,$BG$24:$BG385,1,FALSE)=BG386,BG386+BI386,0)),BG386,(IF(VLOOKUP($BG386,$BG$24:$BG385,1,FALSE)=BG386,BG386+BI386,0)))</f>
        <v>#N/A</v>
      </c>
      <c r="BI386" s="23">
        <f>COUNTIF($BG$24:$BG386,BG386)-1</f>
        <v>311</v>
      </c>
      <c r="BJ386"/>
      <c r="BK386"/>
      <c r="BL386"/>
    </row>
    <row r="387" spans="42:64" hidden="1">
      <c r="AP387"/>
      <c r="AQ387"/>
      <c r="AR387"/>
      <c r="BG387" s="130" t="e">
        <f t="shared" si="50"/>
        <v>#N/A</v>
      </c>
      <c r="BH387" s="130" t="e">
        <f>IF(ISNA(IF(VLOOKUP($BG387,$BG$24:$BG386,1,FALSE)=BG387,BG387+BI387,0)),BG387,(IF(VLOOKUP($BG387,$BG$24:$BG386,1,FALSE)=BG387,BG387+BI387,0)))</f>
        <v>#N/A</v>
      </c>
      <c r="BI387" s="23">
        <f>COUNTIF($BG$24:$BG387,BG387)-1</f>
        <v>312</v>
      </c>
      <c r="BJ387"/>
      <c r="BK387"/>
      <c r="BL387"/>
    </row>
    <row r="388" spans="42:64" hidden="1">
      <c r="AP388"/>
      <c r="AQ388"/>
      <c r="AR388"/>
      <c r="BG388" s="130" t="e">
        <f t="shared" si="50"/>
        <v>#N/A</v>
      </c>
      <c r="BH388" s="130" t="e">
        <f>IF(ISNA(IF(VLOOKUP($BG388,$BG$24:$BG387,1,FALSE)=BG388,BG388+BI388,0)),BG388,(IF(VLOOKUP($BG388,$BG$24:$BG387,1,FALSE)=BG388,BG388+BI388,0)))</f>
        <v>#N/A</v>
      </c>
      <c r="BI388" s="23">
        <f>COUNTIF($BG$24:$BG388,BG388)-1</f>
        <v>313</v>
      </c>
      <c r="BJ388"/>
      <c r="BK388"/>
      <c r="BL388"/>
    </row>
    <row r="389" spans="42:64" hidden="1">
      <c r="AP389"/>
      <c r="AQ389"/>
      <c r="AR389"/>
      <c r="BG389" s="130" t="e">
        <f t="shared" si="50"/>
        <v>#N/A</v>
      </c>
      <c r="BH389" s="130" t="e">
        <f>IF(ISNA(IF(VLOOKUP($BG389,$BG$24:$BG388,1,FALSE)=BG389,BG389+BI389,0)),BG389,(IF(VLOOKUP($BG389,$BG$24:$BG388,1,FALSE)=BG389,BG389+BI389,0)))</f>
        <v>#N/A</v>
      </c>
      <c r="BI389" s="23">
        <f>COUNTIF($BG$24:$BG389,BG389)-1</f>
        <v>314</v>
      </c>
      <c r="BJ389"/>
      <c r="BK389"/>
      <c r="BL389"/>
    </row>
    <row r="390" spans="42:64" hidden="1">
      <c r="AP390"/>
      <c r="AQ390"/>
      <c r="AR390"/>
      <c r="BG390" s="130" t="e">
        <f t="shared" si="50"/>
        <v>#N/A</v>
      </c>
      <c r="BH390" s="130" t="e">
        <f>IF(ISNA(IF(VLOOKUP($BG390,$BG$24:$BG389,1,FALSE)=BG390,BG390+BI390,0)),BG390,(IF(VLOOKUP($BG390,$BG$24:$BG389,1,FALSE)=BG390,BG390+BI390,0)))</f>
        <v>#N/A</v>
      </c>
      <c r="BI390" s="23">
        <f>COUNTIF($BG$24:$BG390,BG390)-1</f>
        <v>315</v>
      </c>
      <c r="BJ390"/>
      <c r="BK390"/>
      <c r="BL390"/>
    </row>
    <row r="391" spans="42:64" hidden="1">
      <c r="AP391"/>
      <c r="AQ391"/>
      <c r="AR391"/>
      <c r="BG391" s="130" t="e">
        <f t="shared" si="50"/>
        <v>#N/A</v>
      </c>
      <c r="BH391" s="130" t="e">
        <f>IF(ISNA(IF(VLOOKUP($BG391,$BG$24:$BG390,1,FALSE)=BG391,BG391+BI391,0)),BG391,(IF(VLOOKUP($BG391,$BG$24:$BG390,1,FALSE)=BG391,BG391+BI391,0)))</f>
        <v>#N/A</v>
      </c>
      <c r="BI391" s="23">
        <f>COUNTIF($BG$24:$BG391,BG391)-1</f>
        <v>316</v>
      </c>
      <c r="BJ391"/>
      <c r="BK391"/>
      <c r="BL391"/>
    </row>
    <row r="392" spans="42:64" hidden="1">
      <c r="AP392"/>
      <c r="AQ392"/>
      <c r="AR392"/>
      <c r="BG392" s="130" t="e">
        <f t="shared" si="50"/>
        <v>#N/A</v>
      </c>
      <c r="BH392" s="130" t="e">
        <f>IF(ISNA(IF(VLOOKUP($BG392,$BG$24:$BG391,1,FALSE)=BG392,BG392+BI392,0)),BG392,(IF(VLOOKUP($BG392,$BG$24:$BG391,1,FALSE)=BG392,BG392+BI392,0)))</f>
        <v>#N/A</v>
      </c>
      <c r="BI392" s="23">
        <f>COUNTIF($BG$24:$BG392,BG392)-1</f>
        <v>317</v>
      </c>
      <c r="BJ392"/>
      <c r="BK392"/>
      <c r="BL392"/>
    </row>
    <row r="393" spans="42:64" hidden="1">
      <c r="AP393"/>
      <c r="AQ393"/>
      <c r="AR393"/>
      <c r="BG393" s="130" t="e">
        <f t="shared" si="50"/>
        <v>#N/A</v>
      </c>
      <c r="BH393" s="130" t="e">
        <f>IF(ISNA(IF(VLOOKUP($BG393,$BG$24:$BG392,1,FALSE)=BG393,BG393+BI393,0)),BG393,(IF(VLOOKUP($BG393,$BG$24:$BG392,1,FALSE)=BG393,BG393+BI393,0)))</f>
        <v>#N/A</v>
      </c>
      <c r="BI393" s="23">
        <f>COUNTIF($BG$24:$BG393,BG393)-1</f>
        <v>318</v>
      </c>
      <c r="BJ393"/>
      <c r="BK393"/>
      <c r="BL393"/>
    </row>
    <row r="394" spans="42:64" hidden="1">
      <c r="AP394"/>
      <c r="AQ394"/>
      <c r="AR394"/>
      <c r="BG394" s="130" t="e">
        <f t="shared" si="50"/>
        <v>#N/A</v>
      </c>
      <c r="BH394" s="130" t="e">
        <f>IF(ISNA(IF(VLOOKUP($BG394,$BG$24:$BG393,1,FALSE)=BG394,BG394+BI394,0)),BG394,(IF(VLOOKUP($BG394,$BG$24:$BG393,1,FALSE)=BG394,BG394+BI394,0)))</f>
        <v>#N/A</v>
      </c>
      <c r="BI394" s="23">
        <f>COUNTIF($BG$24:$BG394,BG394)-1</f>
        <v>319</v>
      </c>
      <c r="BJ394"/>
      <c r="BK394"/>
      <c r="BL394"/>
    </row>
    <row r="395" spans="42:64" hidden="1">
      <c r="AP395"/>
      <c r="AQ395"/>
      <c r="AR395"/>
      <c r="BG395" s="130" t="e">
        <f t="shared" si="50"/>
        <v>#N/A</v>
      </c>
      <c r="BH395" s="130" t="e">
        <f>IF(ISNA(IF(VLOOKUP($BG395,$BG$24:$BG394,1,FALSE)=BG395,BG395+BI395,0)),BG395,(IF(VLOOKUP($BG395,$BG$24:$BG394,1,FALSE)=BG395,BG395+BI395,0)))</f>
        <v>#N/A</v>
      </c>
      <c r="BI395" s="23">
        <f>COUNTIF($BG$24:$BG395,BG395)-1</f>
        <v>320</v>
      </c>
      <c r="BJ395"/>
      <c r="BK395"/>
      <c r="BL395"/>
    </row>
    <row r="396" spans="42:64" hidden="1">
      <c r="AP396"/>
      <c r="AQ396"/>
      <c r="AR396"/>
      <c r="BG396" s="130" t="e">
        <f t="shared" si="50"/>
        <v>#N/A</v>
      </c>
      <c r="BH396" s="130" t="e">
        <f>IF(ISNA(IF(VLOOKUP($BG396,$BG$24:$BG395,1,FALSE)=BG396,BG396+BI396,0)),BG396,(IF(VLOOKUP($BG396,$BG$24:$BG395,1,FALSE)=BG396,BG396+BI396,0)))</f>
        <v>#N/A</v>
      </c>
      <c r="BI396" s="23">
        <f>COUNTIF($BG$24:$BG396,BG396)-1</f>
        <v>321</v>
      </c>
      <c r="BJ396"/>
      <c r="BK396"/>
      <c r="BL396"/>
    </row>
    <row r="397" spans="42:64" hidden="1">
      <c r="AP397"/>
      <c r="AQ397"/>
      <c r="AR397"/>
      <c r="BG397" s="130" t="e">
        <f t="shared" si="50"/>
        <v>#N/A</v>
      </c>
      <c r="BH397" s="130" t="e">
        <f>IF(ISNA(IF(VLOOKUP($BG397,$BG$24:$BG396,1,FALSE)=BG397,BG397+BI397,0)),BG397,(IF(VLOOKUP($BG397,$BG$24:$BG396,1,FALSE)=BG397,BG397+BI397,0)))</f>
        <v>#N/A</v>
      </c>
      <c r="BI397" s="23">
        <f>COUNTIF($BG$24:$BG397,BG397)-1</f>
        <v>322</v>
      </c>
      <c r="BJ397"/>
      <c r="BK397"/>
      <c r="BL397"/>
    </row>
    <row r="398" spans="42:64" hidden="1">
      <c r="AP398"/>
      <c r="AQ398"/>
      <c r="AR398"/>
      <c r="BG398" s="130" t="e">
        <f t="shared" si="50"/>
        <v>#N/A</v>
      </c>
      <c r="BH398" s="130" t="e">
        <f>IF(ISNA(IF(VLOOKUP($BG398,$BG$24:$BG397,1,FALSE)=BG398,BG398+BI398,0)),BG398,(IF(VLOOKUP($BG398,$BG$24:$BG397,1,FALSE)=BG398,BG398+BI398,0)))</f>
        <v>#N/A</v>
      </c>
      <c r="BI398" s="23">
        <f>COUNTIF($BG$24:$BG398,BG398)-1</f>
        <v>323</v>
      </c>
      <c r="BJ398"/>
      <c r="BK398"/>
      <c r="BL398"/>
    </row>
    <row r="399" spans="42:64" hidden="1">
      <c r="AP399"/>
      <c r="AQ399"/>
      <c r="AR399"/>
      <c r="BG399" s="130" t="e">
        <f t="shared" si="50"/>
        <v>#N/A</v>
      </c>
      <c r="BH399" s="130" t="e">
        <f>IF(ISNA(IF(VLOOKUP($BG399,$BG$24:$BG398,1,FALSE)=BG399,BG399+BI399,0)),BG399,(IF(VLOOKUP($BG399,$BG$24:$BG398,1,FALSE)=BG399,BG399+BI399,0)))</f>
        <v>#N/A</v>
      </c>
      <c r="BI399" s="23">
        <f>COUNTIF($BG$24:$BG399,BG399)-1</f>
        <v>324</v>
      </c>
      <c r="BJ399"/>
      <c r="BK399"/>
      <c r="BL399"/>
    </row>
    <row r="400" spans="42:64" hidden="1">
      <c r="AP400"/>
      <c r="AQ400"/>
      <c r="AR400"/>
      <c r="BG400" s="130" t="e">
        <f t="shared" si="50"/>
        <v>#N/A</v>
      </c>
      <c r="BH400" s="130" t="e">
        <f>IF(ISNA(IF(VLOOKUP($BG400,$BG$24:$BG399,1,FALSE)=BG400,BG400+BI400,0)),BG400,(IF(VLOOKUP($BG400,$BG$24:$BG399,1,FALSE)=BG400,BG400+BI400,0)))</f>
        <v>#N/A</v>
      </c>
      <c r="BI400" s="23">
        <f>COUNTIF($BG$24:$BG400,BG400)-1</f>
        <v>325</v>
      </c>
      <c r="BJ400"/>
      <c r="BK400"/>
      <c r="BL400"/>
    </row>
    <row r="401" spans="42:64" hidden="1">
      <c r="AP401"/>
      <c r="AQ401"/>
      <c r="AR401"/>
      <c r="BG401" s="130" t="e">
        <f t="shared" si="50"/>
        <v>#N/A</v>
      </c>
      <c r="BH401" s="130" t="e">
        <f>IF(ISNA(IF(VLOOKUP($BG401,$BG$24:$BG400,1,FALSE)=BG401,BG401+BI401,0)),BG401,(IF(VLOOKUP($BG401,$BG$24:$BG400,1,FALSE)=BG401,BG401+BI401,0)))</f>
        <v>#N/A</v>
      </c>
      <c r="BI401" s="23">
        <f>COUNTIF($BG$24:$BG401,BG401)-1</f>
        <v>326</v>
      </c>
      <c r="BJ401"/>
      <c r="BK401"/>
      <c r="BL401"/>
    </row>
    <row r="402" spans="42:64" hidden="1">
      <c r="AP402"/>
      <c r="AQ402"/>
      <c r="AR402"/>
      <c r="BG402" s="130" t="e">
        <f t="shared" si="50"/>
        <v>#N/A</v>
      </c>
      <c r="BH402" s="130" t="e">
        <f>IF(ISNA(IF(VLOOKUP($BG402,$BG$24:$BG401,1,FALSE)=BG402,BG402+BI402,0)),BG402,(IF(VLOOKUP($BG402,$BG$24:$BG401,1,FALSE)=BG402,BG402+BI402,0)))</f>
        <v>#N/A</v>
      </c>
      <c r="BI402" s="23">
        <f>COUNTIF($BG$24:$BG402,BG402)-1</f>
        <v>327</v>
      </c>
      <c r="BJ402"/>
      <c r="BK402"/>
      <c r="BL402"/>
    </row>
    <row r="403" spans="42:64" hidden="1">
      <c r="AP403"/>
      <c r="AQ403"/>
      <c r="AR403"/>
      <c r="BG403" s="130" t="e">
        <f t="shared" si="50"/>
        <v>#N/A</v>
      </c>
      <c r="BH403" s="130" t="e">
        <f>IF(ISNA(IF(VLOOKUP($BG403,$BG$24:$BG402,1,FALSE)=BG403,BG403+BI403,0)),BG403,(IF(VLOOKUP($BG403,$BG$24:$BG402,1,FALSE)=BG403,BG403+BI403,0)))</f>
        <v>#N/A</v>
      </c>
      <c r="BI403" s="23">
        <f>COUNTIF($BG$24:$BG403,BG403)-1</f>
        <v>328</v>
      </c>
      <c r="BJ403"/>
      <c r="BK403"/>
      <c r="BL403"/>
    </row>
    <row r="404" spans="42:64" hidden="1">
      <c r="AP404"/>
      <c r="AQ404"/>
      <c r="AR404"/>
      <c r="BG404" s="130" t="e">
        <f t="shared" si="50"/>
        <v>#N/A</v>
      </c>
      <c r="BH404" s="130" t="e">
        <f>IF(ISNA(IF(VLOOKUP($BG404,$BG$24:$BG403,1,FALSE)=BG404,BG404+BI404,0)),BG404,(IF(VLOOKUP($BG404,$BG$24:$BG403,1,FALSE)=BG404,BG404+BI404,0)))</f>
        <v>#N/A</v>
      </c>
      <c r="BI404" s="23">
        <f>COUNTIF($BG$24:$BG404,BG404)-1</f>
        <v>329</v>
      </c>
      <c r="BJ404"/>
      <c r="BK404"/>
      <c r="BL404"/>
    </row>
    <row r="405" spans="42:64" hidden="1">
      <c r="AP405"/>
      <c r="AQ405"/>
      <c r="AR405"/>
      <c r="BG405" s="130" t="e">
        <f t="shared" si="50"/>
        <v>#N/A</v>
      </c>
      <c r="BH405" s="130" t="e">
        <f>IF(ISNA(IF(VLOOKUP($BG405,$BG$24:$BG404,1,FALSE)=BG405,BG405+BI405,0)),BG405,(IF(VLOOKUP($BG405,$BG$24:$BG404,1,FALSE)=BG405,BG405+BI405,0)))</f>
        <v>#N/A</v>
      </c>
      <c r="BI405" s="23">
        <f>COUNTIF($BG$24:$BG405,BG405)-1</f>
        <v>330</v>
      </c>
      <c r="BJ405"/>
      <c r="BK405"/>
      <c r="BL405"/>
    </row>
    <row r="406" spans="42:64" hidden="1">
      <c r="AP406"/>
      <c r="AQ406"/>
      <c r="AR406"/>
      <c r="BG406" s="130" t="e">
        <f t="shared" si="50"/>
        <v>#N/A</v>
      </c>
      <c r="BH406" s="130" t="e">
        <f>IF(ISNA(IF(VLOOKUP($BG406,$BG$24:$BG405,1,FALSE)=BG406,BG406+BI406,0)),BG406,(IF(VLOOKUP($BG406,$BG$24:$BG405,1,FALSE)=BG406,BG406+BI406,0)))</f>
        <v>#N/A</v>
      </c>
      <c r="BI406" s="23">
        <f>COUNTIF($BG$24:$BG406,BG406)-1</f>
        <v>331</v>
      </c>
      <c r="BJ406"/>
      <c r="BK406"/>
      <c r="BL406"/>
    </row>
    <row r="407" spans="42:64" hidden="1">
      <c r="AP407"/>
      <c r="AQ407"/>
      <c r="AR407"/>
      <c r="BG407" s="130" t="e">
        <f t="shared" si="50"/>
        <v>#N/A</v>
      </c>
      <c r="BH407" s="130" t="e">
        <f>IF(ISNA(IF(VLOOKUP($BG407,$BG$24:$BG406,1,FALSE)=BG407,BG407+BI407,0)),BG407,(IF(VLOOKUP($BG407,$BG$24:$BG406,1,FALSE)=BG407,BG407+BI407,0)))</f>
        <v>#N/A</v>
      </c>
      <c r="BI407" s="23">
        <f>COUNTIF($BG$24:$BG407,BG407)-1</f>
        <v>332</v>
      </c>
      <c r="BJ407"/>
      <c r="BK407"/>
      <c r="BL407"/>
    </row>
    <row r="408" spans="42:64" hidden="1">
      <c r="AP408"/>
      <c r="AQ408"/>
      <c r="AR408"/>
      <c r="BG408" s="130" t="e">
        <f t="shared" si="50"/>
        <v>#N/A</v>
      </c>
      <c r="BH408" s="130" t="e">
        <f>IF(ISNA(IF(VLOOKUP($BG408,$BG$24:$BG407,1,FALSE)=BG408,BG408+BI408,0)),BG408,(IF(VLOOKUP($BG408,$BG$24:$BG407,1,FALSE)=BG408,BG408+BI408,0)))</f>
        <v>#N/A</v>
      </c>
      <c r="BI408" s="23">
        <f>COUNTIF($BG$24:$BG408,BG408)-1</f>
        <v>333</v>
      </c>
      <c r="BJ408"/>
      <c r="BK408"/>
      <c r="BL408"/>
    </row>
    <row r="409" spans="42:64" hidden="1">
      <c r="AP409"/>
      <c r="AQ409"/>
      <c r="AR409"/>
      <c r="BG409" s="130" t="e">
        <f t="shared" ref="BG409:BG432" si="51">RANK($BL409,$BL$24:$BL$432,0)</f>
        <v>#N/A</v>
      </c>
      <c r="BH409" s="130" t="e">
        <f>IF(ISNA(IF(VLOOKUP($BG409,$BG$24:$BG408,1,FALSE)=BG409,BG409+BI409,0)),BG409,(IF(VLOOKUP($BG409,$BG$24:$BG408,1,FALSE)=BG409,BG409+BI409,0)))</f>
        <v>#N/A</v>
      </c>
      <c r="BI409" s="23">
        <f>COUNTIF($BG$24:$BG409,BG409)-1</f>
        <v>334</v>
      </c>
      <c r="BJ409"/>
      <c r="BK409"/>
      <c r="BL409"/>
    </row>
    <row r="410" spans="42:64" hidden="1">
      <c r="AP410"/>
      <c r="AQ410"/>
      <c r="AR410"/>
      <c r="BG410" s="130" t="e">
        <f t="shared" si="51"/>
        <v>#N/A</v>
      </c>
      <c r="BH410" s="130" t="e">
        <f>IF(ISNA(IF(VLOOKUP($BG410,$BG$24:$BG409,1,FALSE)=BG410,BG410+BI410,0)),BG410,(IF(VLOOKUP($BG410,$BG$24:$BG409,1,FALSE)=BG410,BG410+BI410,0)))</f>
        <v>#N/A</v>
      </c>
      <c r="BI410" s="23">
        <f>COUNTIF($BG$24:$BG410,BG410)-1</f>
        <v>335</v>
      </c>
      <c r="BJ410"/>
      <c r="BK410"/>
      <c r="BL410"/>
    </row>
    <row r="411" spans="42:64" hidden="1">
      <c r="AP411"/>
      <c r="AQ411"/>
      <c r="AR411"/>
      <c r="BG411" s="130" t="e">
        <f t="shared" si="51"/>
        <v>#N/A</v>
      </c>
      <c r="BH411" s="130" t="e">
        <f>IF(ISNA(IF(VLOOKUP($BG411,$BG$24:$BG410,1,FALSE)=BG411,BG411+BI411,0)),BG411,(IF(VLOOKUP($BG411,$BG$24:$BG410,1,FALSE)=BG411,BG411+BI411,0)))</f>
        <v>#N/A</v>
      </c>
      <c r="BI411" s="23">
        <f>COUNTIF($BG$24:$BG411,BG411)-1</f>
        <v>336</v>
      </c>
      <c r="BJ411"/>
      <c r="BK411"/>
      <c r="BL411"/>
    </row>
    <row r="412" spans="42:64" hidden="1">
      <c r="AP412"/>
      <c r="AQ412"/>
      <c r="AR412"/>
      <c r="BG412" s="130" t="e">
        <f t="shared" si="51"/>
        <v>#N/A</v>
      </c>
      <c r="BH412" s="130" t="e">
        <f>IF(ISNA(IF(VLOOKUP($BG412,$BG$24:$BG411,1,FALSE)=BG412,BG412+BI412,0)),BG412,(IF(VLOOKUP($BG412,$BG$24:$BG411,1,FALSE)=BG412,BG412+BI412,0)))</f>
        <v>#N/A</v>
      </c>
      <c r="BI412" s="23">
        <f>COUNTIF($BG$24:$BG412,BG412)-1</f>
        <v>337</v>
      </c>
      <c r="BJ412"/>
      <c r="BK412"/>
      <c r="BL412"/>
    </row>
    <row r="413" spans="42:64" hidden="1">
      <c r="AP413"/>
      <c r="AQ413"/>
      <c r="AR413"/>
      <c r="BG413" s="130" t="e">
        <f t="shared" si="51"/>
        <v>#N/A</v>
      </c>
      <c r="BH413" s="130" t="e">
        <f>IF(ISNA(IF(VLOOKUP($BG413,$BG$24:$BG412,1,FALSE)=BG413,BG413+BI413,0)),BG413,(IF(VLOOKUP($BG413,$BG$24:$BG412,1,FALSE)=BG413,BG413+BI413,0)))</f>
        <v>#N/A</v>
      </c>
      <c r="BI413" s="23">
        <f>COUNTIF($BG$24:$BG413,BG413)-1</f>
        <v>338</v>
      </c>
      <c r="BJ413"/>
      <c r="BK413"/>
      <c r="BL413"/>
    </row>
    <row r="414" spans="42:64" hidden="1">
      <c r="AP414"/>
      <c r="AQ414"/>
      <c r="AR414"/>
      <c r="BG414" s="130" t="e">
        <f t="shared" si="51"/>
        <v>#N/A</v>
      </c>
      <c r="BH414" s="130" t="e">
        <f>IF(ISNA(IF(VLOOKUP($BG414,$BG$24:$BG413,1,FALSE)=BG414,BG414+BI414,0)),BG414,(IF(VLOOKUP($BG414,$BG$24:$BG413,1,FALSE)=BG414,BG414+BI414,0)))</f>
        <v>#N/A</v>
      </c>
      <c r="BI414" s="23">
        <f>COUNTIF($BG$24:$BG414,BG414)-1</f>
        <v>339</v>
      </c>
      <c r="BJ414"/>
      <c r="BK414"/>
      <c r="BL414"/>
    </row>
    <row r="415" spans="42:64" hidden="1">
      <c r="AP415"/>
      <c r="AQ415"/>
      <c r="AR415"/>
      <c r="BG415" s="130" t="e">
        <f t="shared" si="51"/>
        <v>#N/A</v>
      </c>
      <c r="BH415" s="130" t="e">
        <f>IF(ISNA(IF(VLOOKUP($BG415,$BG$24:$BG414,1,FALSE)=BG415,BG415+BI415,0)),BG415,(IF(VLOOKUP($BG415,$BG$24:$BG414,1,FALSE)=BG415,BG415+BI415,0)))</f>
        <v>#N/A</v>
      </c>
      <c r="BI415" s="23">
        <f>COUNTIF($BG$24:$BG415,BG415)-1</f>
        <v>340</v>
      </c>
      <c r="BJ415"/>
      <c r="BK415"/>
      <c r="BL415"/>
    </row>
    <row r="416" spans="42:64" hidden="1">
      <c r="AP416"/>
      <c r="AQ416"/>
      <c r="AR416"/>
      <c r="BG416" s="130" t="e">
        <f t="shared" si="51"/>
        <v>#N/A</v>
      </c>
      <c r="BH416" s="130" t="e">
        <f>IF(ISNA(IF(VLOOKUP($BG416,$BG$24:$BG415,1,FALSE)=BG416,BG416+BI416,0)),BG416,(IF(VLOOKUP($BG416,$BG$24:$BG415,1,FALSE)=BG416,BG416+BI416,0)))</f>
        <v>#N/A</v>
      </c>
      <c r="BI416" s="23">
        <f>COUNTIF($BG$24:$BG416,BG416)-1</f>
        <v>341</v>
      </c>
      <c r="BJ416"/>
      <c r="BK416"/>
      <c r="BL416"/>
    </row>
    <row r="417" spans="59:64" hidden="1">
      <c r="BG417" s="130" t="e">
        <f t="shared" si="51"/>
        <v>#N/A</v>
      </c>
      <c r="BH417" s="130" t="e">
        <f>IF(ISNA(IF(VLOOKUP($BG417,$BG$24:$BG416,1,FALSE)=BG417,BG417+BI417,0)),BG417,(IF(VLOOKUP($BG417,$BG$24:$BG416,1,FALSE)=BG417,BG417+BI417,0)))</f>
        <v>#N/A</v>
      </c>
      <c r="BI417" s="23">
        <f>COUNTIF($BG$24:$BG417,BG417)-1</f>
        <v>342</v>
      </c>
      <c r="BJ417"/>
      <c r="BK417"/>
      <c r="BL417"/>
    </row>
    <row r="418" spans="59:64" hidden="1">
      <c r="BG418" s="130" t="e">
        <f t="shared" si="51"/>
        <v>#N/A</v>
      </c>
      <c r="BH418" s="130" t="e">
        <f>IF(ISNA(IF(VLOOKUP($BG418,$BG$24:$BG417,1,FALSE)=BG418,BG418+BI418,0)),BG418,(IF(VLOOKUP($BG418,$BG$24:$BG417,1,FALSE)=BG418,BG418+BI418,0)))</f>
        <v>#N/A</v>
      </c>
      <c r="BI418" s="23">
        <f>COUNTIF($BG$24:$BG418,BG418)-1</f>
        <v>343</v>
      </c>
      <c r="BJ418"/>
      <c r="BK418"/>
      <c r="BL418"/>
    </row>
    <row r="419" spans="59:64" hidden="1">
      <c r="BG419" s="130" t="e">
        <f t="shared" si="51"/>
        <v>#N/A</v>
      </c>
      <c r="BH419" s="130" t="e">
        <f>IF(ISNA(IF(VLOOKUP($BG419,$BG$24:$BG418,1,FALSE)=BG419,BG419+BI419,0)),BG419,(IF(VLOOKUP($BG419,$BG$24:$BG418,1,FALSE)=BG419,BG419+BI419,0)))</f>
        <v>#N/A</v>
      </c>
      <c r="BI419" s="23">
        <f>COUNTIF($BG$24:$BG419,BG419)-1</f>
        <v>344</v>
      </c>
      <c r="BJ419"/>
      <c r="BK419"/>
      <c r="BL419"/>
    </row>
    <row r="420" spans="59:64" hidden="1">
      <c r="BG420" s="130" t="e">
        <f t="shared" si="51"/>
        <v>#N/A</v>
      </c>
      <c r="BH420" s="130" t="e">
        <f>IF(ISNA(IF(VLOOKUP($BG420,$BG$24:$BG419,1,FALSE)=BG420,BG420+BI420,0)),BG420,(IF(VLOOKUP($BG420,$BG$24:$BG419,1,FALSE)=BG420,BG420+BI420,0)))</f>
        <v>#N/A</v>
      </c>
      <c r="BI420" s="23">
        <f>COUNTIF($BG$24:$BG420,BG420)-1</f>
        <v>345</v>
      </c>
      <c r="BJ420"/>
      <c r="BK420"/>
      <c r="BL420"/>
    </row>
    <row r="421" spans="59:64" hidden="1">
      <c r="BG421" s="130" t="e">
        <f t="shared" si="51"/>
        <v>#N/A</v>
      </c>
      <c r="BH421" s="130" t="e">
        <f>IF(ISNA(IF(VLOOKUP($BG421,$BG$24:$BG420,1,FALSE)=BG421,BG421+BI421,0)),BG421,(IF(VLOOKUP($BG421,$BG$24:$BG420,1,FALSE)=BG421,BG421+BI421,0)))</f>
        <v>#N/A</v>
      </c>
      <c r="BI421" s="23">
        <f>COUNTIF($BG$24:$BG421,BG421)-1</f>
        <v>346</v>
      </c>
      <c r="BJ421"/>
      <c r="BK421"/>
      <c r="BL421"/>
    </row>
    <row r="422" spans="59:64" hidden="1">
      <c r="BG422" s="130" t="e">
        <f t="shared" si="51"/>
        <v>#N/A</v>
      </c>
      <c r="BH422" s="130" t="e">
        <f>IF(ISNA(IF(VLOOKUP($BG422,$BG$24:$BG421,1,FALSE)=BG422,BG422+BI422,0)),BG422,(IF(VLOOKUP($BG422,$BG$24:$BG421,1,FALSE)=BG422,BG422+BI422,0)))</f>
        <v>#N/A</v>
      </c>
      <c r="BI422" s="23">
        <f>COUNTIF($BG$24:$BG422,BG422)-1</f>
        <v>347</v>
      </c>
      <c r="BJ422"/>
      <c r="BK422"/>
      <c r="BL422"/>
    </row>
    <row r="423" spans="59:64" hidden="1">
      <c r="BG423" s="130" t="e">
        <f t="shared" si="51"/>
        <v>#N/A</v>
      </c>
      <c r="BH423" s="130" t="e">
        <f>IF(ISNA(IF(VLOOKUP($BG423,$BG$24:$BG422,1,FALSE)=BG423,BG423+BI423,0)),BG423,(IF(VLOOKUP($BG423,$BG$24:$BG422,1,FALSE)=BG423,BG423+BI423,0)))</f>
        <v>#N/A</v>
      </c>
      <c r="BI423" s="23">
        <f>COUNTIF($BG$24:$BG423,BG423)-1</f>
        <v>348</v>
      </c>
      <c r="BJ423"/>
      <c r="BK423"/>
      <c r="BL423"/>
    </row>
    <row r="424" spans="59:64" hidden="1">
      <c r="BG424" s="130" t="e">
        <f t="shared" si="51"/>
        <v>#N/A</v>
      </c>
      <c r="BH424" s="130" t="e">
        <f>IF(ISNA(IF(VLOOKUP($BG424,$BG$24:$BG423,1,FALSE)=BG424,BG424+BI424,0)),BG424,(IF(VLOOKUP($BG424,$BG$24:$BG423,1,FALSE)=BG424,BG424+BI424,0)))</f>
        <v>#N/A</v>
      </c>
      <c r="BI424" s="23">
        <f>COUNTIF($BG$24:$BG424,BG424)-1</f>
        <v>349</v>
      </c>
      <c r="BJ424"/>
      <c r="BK424"/>
      <c r="BL424"/>
    </row>
    <row r="425" spans="59:64" hidden="1">
      <c r="BG425" s="130" t="e">
        <f t="shared" si="51"/>
        <v>#N/A</v>
      </c>
      <c r="BH425" s="130" t="e">
        <f>IF(ISNA(IF(VLOOKUP($BG425,$BG$24:$BG424,1,FALSE)=BG425,BG425+BI425,0)),BG425,(IF(VLOOKUP($BG425,$BG$24:$BG424,1,FALSE)=BG425,BG425+BI425,0)))</f>
        <v>#N/A</v>
      </c>
      <c r="BI425" s="23">
        <f>COUNTIF($BG$24:$BG425,BG425)-1</f>
        <v>350</v>
      </c>
      <c r="BJ425"/>
      <c r="BK425"/>
      <c r="BL425"/>
    </row>
    <row r="426" spans="59:64" hidden="1">
      <c r="BG426" s="130" t="e">
        <f t="shared" si="51"/>
        <v>#N/A</v>
      </c>
      <c r="BH426" s="130" t="e">
        <f>IF(ISNA(IF(VLOOKUP($BG426,$BG$24:$BG425,1,FALSE)=BG426,BG426+BI426,0)),BG426,(IF(VLOOKUP($BG426,$BG$24:$BG425,1,FALSE)=BG426,BG426+BI426,0)))</f>
        <v>#N/A</v>
      </c>
      <c r="BI426" s="23">
        <f>COUNTIF($BG$24:$BG426,BG426)-1</f>
        <v>351</v>
      </c>
      <c r="BJ426"/>
      <c r="BK426"/>
      <c r="BL426"/>
    </row>
    <row r="427" spans="59:64" hidden="1">
      <c r="BG427" s="130" t="e">
        <f t="shared" si="51"/>
        <v>#N/A</v>
      </c>
      <c r="BH427" s="130" t="e">
        <f>IF(ISNA(IF(VLOOKUP($BG427,$BG$24:$BG426,1,FALSE)=BG427,BG427+BI427,0)),BG427,(IF(VLOOKUP($BG427,$BG$24:$BG426,1,FALSE)=BG427,BG427+BI427,0)))</f>
        <v>#N/A</v>
      </c>
      <c r="BI427" s="23">
        <f>COUNTIF($BG$24:$BG427,BG427)-1</f>
        <v>352</v>
      </c>
      <c r="BJ427"/>
      <c r="BK427"/>
      <c r="BL427"/>
    </row>
    <row r="428" spans="59:64" hidden="1">
      <c r="BG428" s="130" t="e">
        <f t="shared" si="51"/>
        <v>#N/A</v>
      </c>
      <c r="BH428" s="130" t="e">
        <f>IF(ISNA(IF(VLOOKUP($BG428,$BG$24:$BG427,1,FALSE)=BG428,BG428+BI428,0)),BG428,(IF(VLOOKUP($BG428,$BG$24:$BG427,1,FALSE)=BG428,BG428+BI428,0)))</f>
        <v>#N/A</v>
      </c>
      <c r="BI428" s="23">
        <f>COUNTIF($BG$24:$BG428,BG428)-1</f>
        <v>353</v>
      </c>
      <c r="BJ428"/>
      <c r="BK428"/>
      <c r="BL428"/>
    </row>
    <row r="429" spans="59:64" hidden="1">
      <c r="BG429" s="130" t="e">
        <f t="shared" si="51"/>
        <v>#N/A</v>
      </c>
      <c r="BH429" s="130" t="e">
        <f>IF(ISNA(IF(VLOOKUP($BG429,$BG$24:$BG428,1,FALSE)=BG429,BG429+BI429,0)),BG429,(IF(VLOOKUP($BG429,$BG$24:$BG428,1,FALSE)=BG429,BG429+BI429,0)))</f>
        <v>#N/A</v>
      </c>
      <c r="BI429" s="23">
        <f>COUNTIF($BG$24:$BG429,BG429)-1</f>
        <v>354</v>
      </c>
      <c r="BJ429"/>
      <c r="BK429"/>
      <c r="BL429"/>
    </row>
    <row r="430" spans="59:64" hidden="1">
      <c r="BG430" s="130" t="e">
        <f t="shared" si="51"/>
        <v>#N/A</v>
      </c>
      <c r="BH430" s="130" t="e">
        <f>IF(ISNA(IF(VLOOKUP($BG430,$BG$24:$BG429,1,FALSE)=BG430,BG430+BI430,0)),BG430,(IF(VLOOKUP($BG430,$BG$24:$BG429,1,FALSE)=BG430,BG430+BI430,0)))</f>
        <v>#N/A</v>
      </c>
      <c r="BI430" s="23">
        <f>COUNTIF($BG$24:$BG430,BG430)-1</f>
        <v>355</v>
      </c>
      <c r="BJ430"/>
      <c r="BK430"/>
      <c r="BL430"/>
    </row>
    <row r="431" spans="59:64" hidden="1">
      <c r="BG431" s="130" t="e">
        <f t="shared" si="51"/>
        <v>#N/A</v>
      </c>
      <c r="BH431" s="130" t="e">
        <f>IF(ISNA(IF(VLOOKUP($BG431,$BG$24:$BG430,1,FALSE)=BG431,BG431+BI431,0)),BG431,(IF(VLOOKUP($BG431,$BG$24:$BG430,1,FALSE)=BG431,BG431+BI431,0)))</f>
        <v>#N/A</v>
      </c>
      <c r="BI431" s="23">
        <f>COUNTIF($BG$24:$BG431,BG431)-1</f>
        <v>356</v>
      </c>
      <c r="BJ431"/>
      <c r="BK431"/>
      <c r="BL431"/>
    </row>
    <row r="432" spans="59:64" hidden="1">
      <c r="BG432" s="130" t="e">
        <f t="shared" si="51"/>
        <v>#N/A</v>
      </c>
      <c r="BH432" s="130" t="e">
        <f>IF(ISNA(IF(VLOOKUP($BG432,$BG$24:$BG431,1,FALSE)=BG432,BG432+BI432,0)),BG432,(IF(VLOOKUP($BG432,$BG$24:$BG431,1,FALSE)=BG432,BG432+BI432,0)))</f>
        <v>#N/A</v>
      </c>
      <c r="BI432" s="23">
        <f>COUNTIF($BG$24:$BG432,BG432)-1</f>
        <v>357</v>
      </c>
      <c r="BJ432"/>
      <c r="BK432"/>
      <c r="BL432"/>
    </row>
    <row r="433" spans="62:64" hidden="1">
      <c r="BJ433"/>
      <c r="BK433"/>
      <c r="BL433"/>
    </row>
    <row r="434" spans="62:64" hidden="1">
      <c r="BJ434"/>
      <c r="BK434"/>
      <c r="BL434"/>
    </row>
    <row r="435" spans="62:64" hidden="1">
      <c r="BJ435"/>
      <c r="BK435"/>
      <c r="BL435"/>
    </row>
    <row r="436" spans="62:64" hidden="1">
      <c r="BJ436"/>
      <c r="BK436"/>
      <c r="BL436"/>
    </row>
    <row r="437" spans="62:64" hidden="1">
      <c r="BJ437"/>
      <c r="BK437"/>
      <c r="BL437"/>
    </row>
    <row r="438" spans="62:64" hidden="1">
      <c r="BJ438"/>
      <c r="BK438"/>
      <c r="BL438"/>
    </row>
    <row r="439" spans="62:64" hidden="1">
      <c r="BJ439"/>
      <c r="BK439"/>
      <c r="BL439"/>
    </row>
    <row r="440" spans="62:64" hidden="1">
      <c r="BJ440"/>
      <c r="BK440"/>
      <c r="BL440"/>
    </row>
    <row r="441" spans="62:64" hidden="1">
      <c r="BJ441"/>
      <c r="BK441"/>
      <c r="BL441"/>
    </row>
    <row r="442" spans="62:64" hidden="1">
      <c r="BJ442"/>
      <c r="BK442"/>
      <c r="BL442"/>
    </row>
    <row r="443" spans="62:64" hidden="1">
      <c r="BJ443"/>
      <c r="BK443"/>
      <c r="BL443"/>
    </row>
    <row r="444" spans="62:64" hidden="1">
      <c r="BJ444"/>
      <c r="BK444"/>
      <c r="BL444"/>
    </row>
    <row r="445" spans="62:64" hidden="1">
      <c r="BJ445"/>
      <c r="BK445"/>
      <c r="BL445"/>
    </row>
    <row r="446" spans="62:64" hidden="1">
      <c r="BJ446"/>
      <c r="BK446"/>
      <c r="BL446"/>
    </row>
    <row r="447" spans="62:64" hidden="1">
      <c r="BJ447"/>
      <c r="BK447"/>
      <c r="BL447"/>
    </row>
    <row r="448" spans="62:64" hidden="1">
      <c r="BJ448"/>
      <c r="BK448"/>
      <c r="BL448"/>
    </row>
    <row r="449" spans="62:64" hidden="1">
      <c r="BJ449"/>
      <c r="BK449"/>
      <c r="BL449"/>
    </row>
    <row r="450" spans="62:64" hidden="1">
      <c r="BJ450"/>
      <c r="BK450"/>
      <c r="BL450"/>
    </row>
    <row r="451" spans="62:64" hidden="1">
      <c r="BJ451"/>
      <c r="BK451"/>
      <c r="BL451"/>
    </row>
    <row r="452" spans="62:64" hidden="1">
      <c r="BJ452"/>
      <c r="BK452"/>
      <c r="BL452"/>
    </row>
    <row r="453" spans="62:64" hidden="1">
      <c r="BJ453"/>
      <c r="BK453"/>
      <c r="BL453"/>
    </row>
    <row r="454" spans="62:64" hidden="1">
      <c r="BJ454"/>
      <c r="BK454"/>
      <c r="BL454"/>
    </row>
    <row r="455" spans="62:64" hidden="1">
      <c r="BJ455"/>
      <c r="BK455"/>
      <c r="BL455"/>
    </row>
    <row r="456" spans="62:64" hidden="1">
      <c r="BJ456"/>
      <c r="BK456"/>
      <c r="BL456"/>
    </row>
    <row r="457" spans="62:64" hidden="1">
      <c r="BJ457"/>
      <c r="BK457"/>
      <c r="BL457"/>
    </row>
    <row r="458" spans="62:64" hidden="1">
      <c r="BJ458"/>
      <c r="BK458"/>
      <c r="BL458"/>
    </row>
    <row r="459" spans="62:64" hidden="1">
      <c r="BJ459"/>
      <c r="BK459"/>
      <c r="BL459"/>
    </row>
    <row r="460" spans="62:64" hidden="1">
      <c r="BJ460"/>
      <c r="BK460"/>
      <c r="BL460"/>
    </row>
    <row r="461" spans="62:64" hidden="1">
      <c r="BJ461"/>
      <c r="BK461"/>
      <c r="BL461"/>
    </row>
    <row r="462" spans="62:64" hidden="1">
      <c r="BJ462"/>
      <c r="BK462"/>
      <c r="BL462"/>
    </row>
    <row r="463" spans="62:64" hidden="1">
      <c r="BJ463"/>
      <c r="BK463"/>
      <c r="BL463"/>
    </row>
    <row r="464" spans="62:64" hidden="1">
      <c r="BJ464"/>
      <c r="BK464"/>
      <c r="BL464"/>
    </row>
    <row r="465" spans="62:64" hidden="1">
      <c r="BJ465"/>
      <c r="BK465"/>
      <c r="BL465"/>
    </row>
    <row r="466" spans="62:64" hidden="1">
      <c r="BJ466"/>
      <c r="BK466"/>
      <c r="BL466"/>
    </row>
    <row r="467" spans="62:64" hidden="1">
      <c r="BJ467"/>
      <c r="BK467"/>
      <c r="BL467"/>
    </row>
    <row r="468" spans="62:64" hidden="1">
      <c r="BJ468"/>
      <c r="BK468"/>
      <c r="BL468"/>
    </row>
    <row r="469" spans="62:64" hidden="1">
      <c r="BJ469"/>
      <c r="BK469"/>
      <c r="BL469"/>
    </row>
    <row r="470" spans="62:64" hidden="1">
      <c r="BJ470"/>
      <c r="BK470"/>
      <c r="BL470"/>
    </row>
    <row r="471" spans="62:64" hidden="1">
      <c r="BJ471"/>
      <c r="BK471"/>
      <c r="BL471"/>
    </row>
    <row r="472" spans="62:64" hidden="1">
      <c r="BJ472"/>
      <c r="BK472"/>
      <c r="BL472"/>
    </row>
    <row r="473" spans="62:64" hidden="1">
      <c r="BJ473"/>
      <c r="BK473"/>
      <c r="BL473"/>
    </row>
    <row r="474" spans="62:64" hidden="1">
      <c r="BJ474"/>
      <c r="BK474"/>
      <c r="BL474"/>
    </row>
    <row r="475" spans="62:64" hidden="1">
      <c r="BJ475"/>
      <c r="BK475"/>
      <c r="BL475"/>
    </row>
    <row r="476" spans="62:64" hidden="1">
      <c r="BJ476"/>
      <c r="BK476"/>
      <c r="BL476"/>
    </row>
    <row r="477" spans="62:64" hidden="1">
      <c r="BJ477"/>
      <c r="BK477"/>
      <c r="BL477"/>
    </row>
    <row r="478" spans="62:64" hidden="1">
      <c r="BJ478"/>
      <c r="BK478"/>
      <c r="BL478"/>
    </row>
    <row r="479" spans="62:64" hidden="1">
      <c r="BJ479"/>
      <c r="BK479"/>
      <c r="BL479"/>
    </row>
    <row r="480" spans="62:64" hidden="1">
      <c r="BJ480"/>
      <c r="BK480"/>
      <c r="BL480"/>
    </row>
    <row r="481" spans="62:64" hidden="1">
      <c r="BJ481"/>
      <c r="BK481"/>
      <c r="BL481"/>
    </row>
    <row r="482" spans="62:64" hidden="1">
      <c r="BJ482"/>
      <c r="BK482"/>
      <c r="BL482"/>
    </row>
    <row r="483" spans="62:64" hidden="1">
      <c r="BJ483"/>
      <c r="BK483"/>
      <c r="BL483"/>
    </row>
    <row r="484" spans="62:64" hidden="1">
      <c r="BJ484"/>
      <c r="BK484"/>
      <c r="BL484"/>
    </row>
    <row r="485" spans="62:64" hidden="1">
      <c r="BJ485"/>
      <c r="BK485"/>
      <c r="BL485"/>
    </row>
    <row r="486" spans="62:64" hidden="1">
      <c r="BJ486"/>
      <c r="BK486"/>
      <c r="BL486"/>
    </row>
    <row r="487" spans="62:64" hidden="1">
      <c r="BJ487"/>
      <c r="BK487"/>
      <c r="BL487"/>
    </row>
    <row r="488" spans="62:64" hidden="1">
      <c r="BJ488"/>
      <c r="BK488"/>
      <c r="BL488"/>
    </row>
    <row r="489" spans="62:64" hidden="1">
      <c r="BJ489"/>
      <c r="BK489"/>
      <c r="BL489"/>
    </row>
    <row r="490" spans="62:64" hidden="1">
      <c r="BJ490"/>
      <c r="BK490"/>
      <c r="BL490"/>
    </row>
    <row r="491" spans="62:64" hidden="1">
      <c r="BJ491"/>
      <c r="BK491"/>
      <c r="BL491"/>
    </row>
    <row r="492" spans="62:64" hidden="1">
      <c r="BJ492"/>
      <c r="BK492"/>
      <c r="BL492"/>
    </row>
    <row r="493" spans="62:64" hidden="1">
      <c r="BJ493"/>
      <c r="BK493"/>
      <c r="BL493"/>
    </row>
    <row r="494" spans="62:64" hidden="1">
      <c r="BJ494"/>
      <c r="BK494"/>
      <c r="BL494"/>
    </row>
    <row r="495" spans="62:64" hidden="1">
      <c r="BJ495"/>
      <c r="BK495"/>
      <c r="BL495"/>
    </row>
    <row r="496" spans="62:64" hidden="1">
      <c r="BJ496"/>
      <c r="BK496"/>
      <c r="BL496"/>
    </row>
    <row r="497" spans="62:64" hidden="1">
      <c r="BJ497"/>
      <c r="BK497"/>
      <c r="BL497"/>
    </row>
    <row r="498" spans="62:64" hidden="1">
      <c r="BJ498"/>
      <c r="BK498"/>
      <c r="BL498"/>
    </row>
    <row r="499" spans="62:64" hidden="1">
      <c r="BJ499"/>
      <c r="BK499"/>
      <c r="BL499"/>
    </row>
    <row r="500" spans="62:64" hidden="1">
      <c r="BJ500"/>
      <c r="BK500"/>
      <c r="BL500"/>
    </row>
    <row r="501" spans="62:64" hidden="1">
      <c r="BJ501"/>
      <c r="BK501"/>
      <c r="BL501"/>
    </row>
    <row r="502" spans="62:64" hidden="1">
      <c r="BJ502"/>
      <c r="BK502"/>
      <c r="BL502"/>
    </row>
    <row r="503" spans="62:64" hidden="1">
      <c r="BJ503"/>
      <c r="BK503"/>
      <c r="BL503"/>
    </row>
    <row r="504" spans="62:64" hidden="1">
      <c r="BJ504"/>
      <c r="BK504"/>
      <c r="BL504"/>
    </row>
    <row r="505" spans="62:64" hidden="1">
      <c r="BJ505"/>
      <c r="BK505"/>
      <c r="BL505"/>
    </row>
    <row r="506" spans="62:64" hidden="1">
      <c r="BJ506"/>
      <c r="BK506"/>
      <c r="BL506"/>
    </row>
    <row r="507" spans="62:64" hidden="1">
      <c r="BJ507"/>
      <c r="BK507"/>
      <c r="BL507"/>
    </row>
    <row r="508" spans="62:64" hidden="1">
      <c r="BJ508"/>
      <c r="BK508"/>
      <c r="BL508"/>
    </row>
    <row r="509" spans="62:64" hidden="1">
      <c r="BJ509"/>
      <c r="BK509"/>
      <c r="BL509"/>
    </row>
    <row r="510" spans="62:64" hidden="1">
      <c r="BJ510"/>
      <c r="BK510"/>
      <c r="BL510"/>
    </row>
    <row r="511" spans="62:64" hidden="1">
      <c r="BJ511"/>
      <c r="BK511"/>
      <c r="BL511"/>
    </row>
    <row r="512" spans="62:64" hidden="1">
      <c r="BJ512"/>
      <c r="BK512"/>
      <c r="BL512"/>
    </row>
    <row r="513" spans="62:64" hidden="1">
      <c r="BJ513"/>
      <c r="BK513"/>
      <c r="BL513"/>
    </row>
    <row r="514" spans="62:64" hidden="1">
      <c r="BJ514"/>
      <c r="BK514"/>
      <c r="BL514"/>
    </row>
    <row r="515" spans="62:64" hidden="1">
      <c r="BJ515"/>
      <c r="BK515"/>
      <c r="BL515"/>
    </row>
    <row r="516" spans="62:64" hidden="1">
      <c r="BJ516"/>
      <c r="BK516"/>
      <c r="BL516"/>
    </row>
    <row r="517" spans="62:64" hidden="1">
      <c r="BJ517"/>
      <c r="BK517"/>
      <c r="BL517"/>
    </row>
    <row r="518" spans="62:64" hidden="1">
      <c r="BJ518"/>
      <c r="BK518"/>
      <c r="BL518"/>
    </row>
    <row r="519" spans="62:64" hidden="1">
      <c r="BJ519"/>
      <c r="BK519"/>
      <c r="BL519"/>
    </row>
    <row r="520" spans="62:64" hidden="1">
      <c r="BJ520"/>
      <c r="BK520"/>
      <c r="BL520"/>
    </row>
    <row r="521" spans="62:64" hidden="1">
      <c r="BJ521"/>
      <c r="BK521"/>
      <c r="BL521"/>
    </row>
    <row r="522" spans="62:64" hidden="1">
      <c r="BJ522"/>
      <c r="BK522"/>
      <c r="BL522"/>
    </row>
    <row r="523" spans="62:64" hidden="1">
      <c r="BJ523"/>
      <c r="BK523"/>
      <c r="BL523"/>
    </row>
    <row r="524" spans="62:64" hidden="1">
      <c r="BJ524"/>
      <c r="BK524"/>
      <c r="BL524"/>
    </row>
    <row r="525" spans="62:64" hidden="1">
      <c r="BJ525"/>
      <c r="BK525"/>
      <c r="BL525"/>
    </row>
    <row r="526" spans="62:64" hidden="1">
      <c r="BJ526"/>
      <c r="BK526"/>
      <c r="BL526"/>
    </row>
    <row r="527" spans="62:64" hidden="1">
      <c r="BJ527"/>
      <c r="BK527"/>
      <c r="BL527"/>
    </row>
    <row r="528" spans="62:64" hidden="1">
      <c r="BJ528"/>
      <c r="BK528"/>
      <c r="BL528"/>
    </row>
    <row r="529" spans="62:64" hidden="1">
      <c r="BJ529"/>
      <c r="BK529"/>
      <c r="BL529"/>
    </row>
    <row r="530" spans="62:64" hidden="1">
      <c r="BJ530"/>
      <c r="BK530"/>
      <c r="BL530"/>
    </row>
    <row r="531" spans="62:64" hidden="1">
      <c r="BJ531"/>
      <c r="BK531"/>
      <c r="BL531"/>
    </row>
    <row r="532" spans="62:64" hidden="1">
      <c r="BJ532"/>
      <c r="BK532"/>
      <c r="BL532"/>
    </row>
    <row r="533" spans="62:64" hidden="1">
      <c r="BJ533"/>
      <c r="BK533"/>
      <c r="BL533"/>
    </row>
    <row r="534" spans="62:64" hidden="1">
      <c r="BJ534"/>
      <c r="BK534"/>
      <c r="BL534"/>
    </row>
    <row r="535" spans="62:64" hidden="1">
      <c r="BJ535"/>
      <c r="BK535"/>
      <c r="BL535"/>
    </row>
    <row r="536" spans="62:64" hidden="1">
      <c r="BJ536"/>
      <c r="BK536"/>
      <c r="BL536"/>
    </row>
    <row r="537" spans="62:64" hidden="1">
      <c r="BJ537"/>
      <c r="BK537"/>
      <c r="BL537"/>
    </row>
    <row r="538" spans="62:64" hidden="1">
      <c r="BJ538"/>
      <c r="BK538"/>
      <c r="BL538"/>
    </row>
    <row r="539" spans="62:64" hidden="1">
      <c r="BJ539"/>
      <c r="BK539"/>
      <c r="BL539"/>
    </row>
    <row r="540" spans="62:64" hidden="1">
      <c r="BJ540"/>
      <c r="BK540"/>
      <c r="BL540"/>
    </row>
    <row r="541" spans="62:64" hidden="1">
      <c r="BJ541"/>
      <c r="BK541"/>
      <c r="BL541"/>
    </row>
    <row r="542" spans="62:64" hidden="1">
      <c r="BJ542"/>
      <c r="BK542"/>
      <c r="BL542"/>
    </row>
    <row r="543" spans="62:64" hidden="1">
      <c r="BJ543"/>
      <c r="BK543"/>
      <c r="BL543"/>
    </row>
    <row r="544" spans="62:64" hidden="1">
      <c r="BJ544"/>
      <c r="BK544"/>
      <c r="BL544"/>
    </row>
    <row r="545" spans="62:64" hidden="1">
      <c r="BJ545"/>
      <c r="BK545"/>
      <c r="BL545"/>
    </row>
    <row r="546" spans="62:64" hidden="1">
      <c r="BJ546"/>
      <c r="BK546"/>
      <c r="BL546"/>
    </row>
    <row r="547" spans="62:64" hidden="1">
      <c r="BJ547"/>
      <c r="BK547"/>
      <c r="BL547"/>
    </row>
    <row r="548" spans="62:64" hidden="1">
      <c r="BJ548"/>
      <c r="BK548"/>
      <c r="BL548"/>
    </row>
    <row r="549" spans="62:64" hidden="1">
      <c r="BJ549"/>
      <c r="BK549"/>
      <c r="BL549"/>
    </row>
    <row r="550" spans="62:64" hidden="1">
      <c r="BJ550"/>
      <c r="BK550"/>
      <c r="BL550"/>
    </row>
    <row r="551" spans="62:64" hidden="1">
      <c r="BJ551"/>
      <c r="BK551"/>
      <c r="BL551"/>
    </row>
    <row r="552" spans="62:64" hidden="1">
      <c r="BJ552"/>
      <c r="BK552"/>
      <c r="BL552"/>
    </row>
    <row r="553" spans="62:64" hidden="1">
      <c r="BJ553"/>
      <c r="BK553"/>
      <c r="BL553"/>
    </row>
    <row r="554" spans="62:64" hidden="1">
      <c r="BJ554"/>
      <c r="BK554"/>
      <c r="BL554"/>
    </row>
    <row r="555" spans="62:64" hidden="1">
      <c r="BJ555"/>
      <c r="BK555"/>
      <c r="BL555"/>
    </row>
    <row r="556" spans="62:64" hidden="1">
      <c r="BJ556"/>
      <c r="BK556"/>
      <c r="BL556"/>
    </row>
    <row r="557" spans="62:64" hidden="1">
      <c r="BJ557"/>
      <c r="BK557"/>
      <c r="BL557"/>
    </row>
    <row r="558" spans="62:64" hidden="1">
      <c r="BJ558"/>
      <c r="BK558"/>
      <c r="BL558"/>
    </row>
    <row r="559" spans="62:64" hidden="1">
      <c r="BJ559"/>
      <c r="BK559"/>
      <c r="BL559"/>
    </row>
    <row r="560" spans="62:64" hidden="1">
      <c r="BJ560"/>
      <c r="BK560"/>
      <c r="BL560"/>
    </row>
    <row r="561" spans="62:64" hidden="1">
      <c r="BJ561"/>
      <c r="BK561"/>
      <c r="BL561"/>
    </row>
    <row r="562" spans="62:64" hidden="1">
      <c r="BJ562"/>
      <c r="BK562"/>
      <c r="BL562"/>
    </row>
    <row r="563" spans="62:64" hidden="1">
      <c r="BJ563"/>
      <c r="BK563"/>
      <c r="BL563"/>
    </row>
    <row r="564" spans="62:64" hidden="1">
      <c r="BJ564"/>
      <c r="BK564"/>
      <c r="BL564"/>
    </row>
    <row r="565" spans="62:64" hidden="1">
      <c r="BJ565"/>
      <c r="BK565"/>
      <c r="BL565"/>
    </row>
    <row r="566" spans="62:64" hidden="1">
      <c r="BJ566"/>
      <c r="BK566"/>
      <c r="BL566"/>
    </row>
    <row r="567" spans="62:64" hidden="1">
      <c r="BJ567"/>
      <c r="BK567"/>
      <c r="BL567"/>
    </row>
    <row r="568" spans="62:64" hidden="1">
      <c r="BJ568"/>
      <c r="BK568"/>
      <c r="BL568"/>
    </row>
    <row r="569" spans="62:64" hidden="1">
      <c r="BJ569"/>
      <c r="BK569"/>
      <c r="BL569"/>
    </row>
    <row r="570" spans="62:64" hidden="1">
      <c r="BJ570"/>
      <c r="BK570"/>
      <c r="BL570"/>
    </row>
    <row r="571" spans="62:64" hidden="1">
      <c r="BJ571"/>
      <c r="BK571"/>
      <c r="BL571"/>
    </row>
    <row r="572" spans="62:64" hidden="1">
      <c r="BJ572"/>
      <c r="BK572"/>
      <c r="BL572"/>
    </row>
    <row r="573" spans="62:64" hidden="1">
      <c r="BJ573"/>
      <c r="BK573"/>
      <c r="BL573"/>
    </row>
    <row r="574" spans="62:64" hidden="1">
      <c r="BJ574"/>
      <c r="BK574"/>
      <c r="BL574"/>
    </row>
    <row r="575" spans="62:64" hidden="1">
      <c r="BJ575"/>
      <c r="BK575"/>
      <c r="BL575"/>
    </row>
    <row r="576" spans="62:64" hidden="1">
      <c r="BJ576"/>
      <c r="BK576"/>
      <c r="BL576"/>
    </row>
    <row r="577" spans="62:64" hidden="1">
      <c r="BJ577"/>
      <c r="BK577"/>
      <c r="BL577"/>
    </row>
    <row r="578" spans="62:64" hidden="1">
      <c r="BJ578"/>
      <c r="BK578"/>
      <c r="BL578"/>
    </row>
    <row r="579" spans="62:64" hidden="1">
      <c r="BJ579"/>
      <c r="BK579"/>
      <c r="BL579"/>
    </row>
    <row r="580" spans="62:64" hidden="1">
      <c r="BJ580"/>
      <c r="BK580"/>
      <c r="BL580"/>
    </row>
    <row r="581" spans="62:64" hidden="1">
      <c r="BJ581"/>
      <c r="BK581"/>
      <c r="BL581"/>
    </row>
    <row r="582" spans="62:64" hidden="1">
      <c r="BJ582"/>
      <c r="BK582"/>
      <c r="BL582"/>
    </row>
    <row r="583" spans="62:64" hidden="1">
      <c r="BJ583"/>
      <c r="BK583"/>
      <c r="BL583"/>
    </row>
    <row r="584" spans="62:64" hidden="1">
      <c r="BJ584"/>
      <c r="BK584"/>
      <c r="BL584"/>
    </row>
    <row r="585" spans="62:64" hidden="1">
      <c r="BJ585"/>
      <c r="BK585"/>
      <c r="BL585"/>
    </row>
    <row r="586" spans="62:64" hidden="1">
      <c r="BJ586"/>
      <c r="BK586"/>
      <c r="BL586"/>
    </row>
    <row r="587" spans="62:64" hidden="1">
      <c r="BJ587"/>
      <c r="BK587"/>
      <c r="BL587"/>
    </row>
    <row r="588" spans="62:64" hidden="1">
      <c r="BJ588"/>
      <c r="BK588"/>
      <c r="BL588"/>
    </row>
    <row r="589" spans="62:64" hidden="1">
      <c r="BJ589"/>
      <c r="BK589"/>
      <c r="BL589"/>
    </row>
    <row r="590" spans="62:64" hidden="1">
      <c r="BJ590"/>
      <c r="BK590"/>
      <c r="BL590"/>
    </row>
    <row r="591" spans="62:64" hidden="1">
      <c r="BJ591"/>
      <c r="BK591"/>
      <c r="BL591"/>
    </row>
    <row r="592" spans="62:64" hidden="1">
      <c r="BJ592"/>
      <c r="BK592"/>
      <c r="BL592"/>
    </row>
    <row r="593" spans="62:64" hidden="1">
      <c r="BJ593"/>
      <c r="BK593"/>
      <c r="BL593"/>
    </row>
    <row r="594" spans="62:64" hidden="1">
      <c r="BJ594"/>
      <c r="BK594"/>
      <c r="BL594"/>
    </row>
    <row r="595" spans="62:64" hidden="1">
      <c r="BJ595"/>
      <c r="BK595"/>
      <c r="BL595"/>
    </row>
    <row r="596" spans="62:64" hidden="1">
      <c r="BJ596"/>
      <c r="BK596"/>
      <c r="BL596"/>
    </row>
    <row r="597" spans="62:64" hidden="1">
      <c r="BJ597"/>
      <c r="BK597"/>
      <c r="BL597"/>
    </row>
    <row r="598" spans="62:64" hidden="1">
      <c r="BJ598"/>
      <c r="BK598"/>
      <c r="BL598"/>
    </row>
    <row r="599" spans="62:64" hidden="1">
      <c r="BJ599"/>
      <c r="BK599"/>
      <c r="BL599"/>
    </row>
    <row r="600" spans="62:64" hidden="1">
      <c r="BJ600"/>
      <c r="BK600"/>
      <c r="BL600"/>
    </row>
    <row r="601" spans="62:64" hidden="1">
      <c r="BJ601"/>
      <c r="BK601"/>
      <c r="BL601"/>
    </row>
    <row r="602" spans="62:64" hidden="1">
      <c r="BJ602"/>
      <c r="BK602"/>
      <c r="BL602"/>
    </row>
    <row r="603" spans="62:64" hidden="1">
      <c r="BJ603"/>
      <c r="BK603"/>
      <c r="BL603"/>
    </row>
    <row r="604" spans="62:64" hidden="1">
      <c r="BJ604"/>
      <c r="BK604"/>
      <c r="BL604"/>
    </row>
    <row r="605" spans="62:64" hidden="1">
      <c r="BJ605"/>
      <c r="BK605"/>
      <c r="BL605"/>
    </row>
    <row r="606" spans="62:64" hidden="1">
      <c r="BJ606"/>
      <c r="BK606"/>
      <c r="BL606"/>
    </row>
    <row r="607" spans="62:64" hidden="1">
      <c r="BJ607"/>
      <c r="BK607"/>
      <c r="BL607"/>
    </row>
    <row r="608" spans="62:64" hidden="1">
      <c r="BJ608"/>
      <c r="BK608"/>
      <c r="BL608"/>
    </row>
    <row r="609" spans="62:64" hidden="1">
      <c r="BJ609"/>
      <c r="BK609"/>
      <c r="BL609"/>
    </row>
    <row r="610" spans="62:64" hidden="1">
      <c r="BJ610"/>
      <c r="BK610"/>
      <c r="BL610"/>
    </row>
    <row r="611" spans="62:64" hidden="1">
      <c r="BJ611"/>
      <c r="BK611"/>
      <c r="BL611"/>
    </row>
    <row r="612" spans="62:64" hidden="1">
      <c r="BJ612"/>
      <c r="BK612"/>
      <c r="BL612"/>
    </row>
    <row r="613" spans="62:64" hidden="1">
      <c r="BJ613"/>
      <c r="BK613"/>
      <c r="BL613"/>
    </row>
    <row r="614" spans="62:64" hidden="1">
      <c r="BJ614"/>
      <c r="BK614"/>
      <c r="BL614"/>
    </row>
    <row r="615" spans="62:64" hidden="1">
      <c r="BJ615"/>
      <c r="BK615"/>
      <c r="BL615"/>
    </row>
    <row r="616" spans="62:64" hidden="1">
      <c r="BJ616"/>
      <c r="BK616"/>
      <c r="BL616"/>
    </row>
    <row r="617" spans="62:64" hidden="1">
      <c r="BJ617"/>
      <c r="BK617"/>
      <c r="BL617"/>
    </row>
    <row r="618" spans="62:64" hidden="1">
      <c r="BJ618"/>
      <c r="BK618"/>
      <c r="BL618"/>
    </row>
    <row r="619" spans="62:64" hidden="1">
      <c r="BJ619"/>
      <c r="BK619"/>
      <c r="BL619"/>
    </row>
    <row r="620" spans="62:64" hidden="1">
      <c r="BJ620"/>
      <c r="BK620"/>
      <c r="BL620"/>
    </row>
    <row r="621" spans="62:64" hidden="1">
      <c r="BJ621"/>
      <c r="BK621"/>
      <c r="BL621"/>
    </row>
    <row r="622" spans="62:64" hidden="1">
      <c r="BJ622"/>
      <c r="BK622"/>
      <c r="BL622"/>
    </row>
    <row r="623" spans="62:64" hidden="1">
      <c r="BJ623"/>
      <c r="BK623"/>
      <c r="BL623"/>
    </row>
    <row r="624" spans="62:64" hidden="1">
      <c r="BJ624"/>
      <c r="BK624"/>
      <c r="BL624"/>
    </row>
    <row r="625" spans="62:64" hidden="1">
      <c r="BJ625"/>
      <c r="BK625"/>
      <c r="BL625"/>
    </row>
    <row r="626" spans="62:64" hidden="1">
      <c r="BJ626"/>
      <c r="BK626"/>
      <c r="BL626"/>
    </row>
    <row r="627" spans="62:64" hidden="1">
      <c r="BJ627"/>
      <c r="BK627"/>
      <c r="BL627"/>
    </row>
    <row r="628" spans="62:64" hidden="1">
      <c r="BJ628"/>
      <c r="BK628"/>
      <c r="BL628"/>
    </row>
    <row r="629" spans="62:64" hidden="1">
      <c r="BJ629"/>
      <c r="BK629"/>
      <c r="BL629"/>
    </row>
    <row r="630" spans="62:64" hidden="1">
      <c r="BJ630"/>
      <c r="BK630"/>
      <c r="BL630"/>
    </row>
    <row r="631" spans="62:64" hidden="1">
      <c r="BJ631"/>
      <c r="BK631"/>
      <c r="BL631"/>
    </row>
    <row r="632" spans="62:64" hidden="1">
      <c r="BJ632"/>
      <c r="BK632"/>
      <c r="BL632"/>
    </row>
    <row r="633" spans="62:64" hidden="1">
      <c r="BJ633"/>
      <c r="BK633"/>
      <c r="BL633"/>
    </row>
    <row r="634" spans="62:64" hidden="1">
      <c r="BJ634"/>
      <c r="BK634"/>
      <c r="BL634"/>
    </row>
    <row r="635" spans="62:64" hidden="1">
      <c r="BJ635"/>
      <c r="BK635"/>
      <c r="BL635"/>
    </row>
    <row r="636" spans="62:64" hidden="1">
      <c r="BJ636"/>
      <c r="BK636"/>
      <c r="BL636"/>
    </row>
    <row r="637" spans="62:64" hidden="1">
      <c r="BJ637"/>
      <c r="BK637"/>
      <c r="BL637"/>
    </row>
    <row r="638" spans="62:64" hidden="1">
      <c r="BJ638"/>
      <c r="BK638"/>
      <c r="BL638"/>
    </row>
    <row r="639" spans="62:64" hidden="1">
      <c r="BJ639"/>
      <c r="BK639"/>
      <c r="BL639"/>
    </row>
    <row r="640" spans="62:64" hidden="1">
      <c r="BJ640"/>
      <c r="BK640"/>
      <c r="BL640"/>
    </row>
    <row r="641" spans="62:64" hidden="1">
      <c r="BJ641"/>
      <c r="BK641"/>
      <c r="BL641"/>
    </row>
    <row r="642" spans="62:64" hidden="1">
      <c r="BJ642"/>
      <c r="BK642"/>
      <c r="BL642"/>
    </row>
    <row r="643" spans="62:64" hidden="1">
      <c r="BJ643"/>
      <c r="BK643"/>
      <c r="BL643"/>
    </row>
    <row r="644" spans="62:64" hidden="1">
      <c r="BJ644"/>
      <c r="BK644"/>
      <c r="BL644"/>
    </row>
    <row r="645" spans="62:64" hidden="1">
      <c r="BJ645"/>
      <c r="BK645"/>
      <c r="BL645"/>
    </row>
    <row r="646" spans="62:64" hidden="1">
      <c r="BJ646"/>
      <c r="BK646"/>
      <c r="BL646"/>
    </row>
    <row r="647" spans="62:64" hidden="1">
      <c r="BJ647"/>
      <c r="BK647"/>
      <c r="BL647"/>
    </row>
    <row r="648" spans="62:64" hidden="1">
      <c r="BJ648"/>
      <c r="BK648"/>
      <c r="BL648"/>
    </row>
    <row r="649" spans="62:64" hidden="1">
      <c r="BJ649"/>
      <c r="BK649"/>
      <c r="BL649"/>
    </row>
    <row r="650" spans="62:64" hidden="1">
      <c r="BJ650"/>
      <c r="BK650"/>
      <c r="BL650"/>
    </row>
    <row r="651" spans="62:64" hidden="1">
      <c r="BJ651"/>
      <c r="BK651"/>
      <c r="BL651"/>
    </row>
    <row r="652" spans="62:64" hidden="1">
      <c r="BJ652"/>
      <c r="BK652"/>
      <c r="BL652"/>
    </row>
    <row r="653" spans="62:64" hidden="1">
      <c r="BJ653"/>
      <c r="BK653"/>
      <c r="BL653"/>
    </row>
    <row r="654" spans="62:64" hidden="1">
      <c r="BJ654"/>
      <c r="BK654"/>
      <c r="BL654"/>
    </row>
    <row r="655" spans="62:64" hidden="1">
      <c r="BJ655"/>
      <c r="BK655"/>
      <c r="BL655"/>
    </row>
    <row r="656" spans="62:64" hidden="1">
      <c r="BJ656"/>
      <c r="BK656"/>
      <c r="BL656"/>
    </row>
    <row r="657" spans="62:64" hidden="1">
      <c r="BJ657"/>
      <c r="BK657"/>
      <c r="BL657"/>
    </row>
    <row r="658" spans="62:64" hidden="1">
      <c r="BJ658"/>
      <c r="BK658"/>
      <c r="BL658"/>
    </row>
    <row r="659" spans="62:64" hidden="1">
      <c r="BJ659"/>
      <c r="BK659"/>
      <c r="BL659"/>
    </row>
    <row r="660" spans="62:64" hidden="1">
      <c r="BJ660"/>
      <c r="BK660"/>
      <c r="BL660"/>
    </row>
    <row r="661" spans="62:64" hidden="1">
      <c r="BJ661"/>
      <c r="BK661"/>
      <c r="BL661"/>
    </row>
    <row r="662" spans="62:64" hidden="1">
      <c r="BJ662"/>
      <c r="BK662"/>
      <c r="BL662"/>
    </row>
    <row r="663" spans="62:64" hidden="1">
      <c r="BJ663"/>
      <c r="BK663"/>
      <c r="BL663"/>
    </row>
    <row r="664" spans="62:64" hidden="1">
      <c r="BJ664"/>
      <c r="BK664"/>
      <c r="BL664"/>
    </row>
    <row r="665" spans="62:64" hidden="1">
      <c r="BJ665"/>
      <c r="BK665"/>
      <c r="BL665"/>
    </row>
    <row r="666" spans="62:64" hidden="1">
      <c r="BJ666"/>
      <c r="BK666"/>
      <c r="BL666"/>
    </row>
    <row r="667" spans="62:64" hidden="1">
      <c r="BJ667"/>
      <c r="BK667"/>
      <c r="BL667"/>
    </row>
    <row r="668" spans="62:64" hidden="1">
      <c r="BJ668"/>
      <c r="BK668"/>
      <c r="BL668"/>
    </row>
    <row r="669" spans="62:64" hidden="1">
      <c r="BJ669"/>
      <c r="BK669"/>
      <c r="BL669"/>
    </row>
    <row r="670" spans="62:64" hidden="1">
      <c r="BJ670"/>
      <c r="BK670"/>
      <c r="BL670"/>
    </row>
    <row r="671" spans="62:64" hidden="1">
      <c r="BJ671"/>
      <c r="BK671"/>
      <c r="BL671"/>
    </row>
  </sheetData>
  <conditionalFormatting sqref="D7">
    <cfRule type="cellIs" dxfId="329" priority="1" operator="equal">
      <formula>"#GETTINGDATA"</formula>
    </cfRule>
  </conditionalFormatting>
  <pageMargins left="0.70866141732283472" right="0.70866141732283472" top="0.74803149606299213" bottom="0.74803149606299213" header="0.31496062992125984" footer="0.31496062992125984"/>
  <pageSetup paperSize="9" scale="42" orientation="landscape" r:id="rId3"/>
  <headerFooter>
    <oddHeader>&amp;RPage &amp;P&amp;C&amp;A</oddHeader>
    <oddFooter>&amp;CPage &amp;P of &amp;N</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pageSetUpPr fitToPage="1"/>
  </sheetPr>
  <dimension ref="A1:AJ38"/>
  <sheetViews>
    <sheetView showGridLines="0" showRowColHeaders="0" zoomScale="90" zoomScaleNormal="90" workbookViewId="0">
      <pane xSplit="1" ySplit="9" topLeftCell="B20" activePane="bottomRight" state="frozen"/>
      <selection activeCell="A3" sqref="A3"/>
      <selection pane="topRight" activeCell="B3" sqref="B3"/>
      <selection pane="bottomLeft" activeCell="A10" sqref="A10"/>
      <selection pane="bottomRight" activeCell="A4" sqref="A4"/>
    </sheetView>
  </sheetViews>
  <sheetFormatPr defaultColWidth="0" defaultRowHeight="19.5" customHeight="1" zeroHeight="1"/>
  <cols>
    <col min="1" max="1" width="0.90625" style="23" customWidth="1"/>
    <col min="2" max="2" width="26" style="23" bestFit="1" customWidth="1"/>
    <col min="3" max="6" width="12.81640625" style="23" customWidth="1"/>
    <col min="7" max="15" width="8.90625" style="23" customWidth="1"/>
    <col min="16" max="17" width="8.90625" style="71" customWidth="1"/>
    <col min="18" max="25" width="8.90625" style="23" hidden="1" customWidth="1"/>
    <col min="26" max="26" width="25.1796875" style="23" hidden="1" customWidth="1"/>
    <col min="27" max="27" width="23.1796875" style="23" hidden="1" customWidth="1"/>
    <col min="28" max="28" width="18.54296875" style="23" hidden="1" customWidth="1"/>
    <col min="29" max="29" width="8.90625" style="23" hidden="1" customWidth="1"/>
    <col min="30" max="30" width="23.1796875" style="23" hidden="1" customWidth="1"/>
    <col min="31" max="31" width="18.54296875" style="23" hidden="1" customWidth="1"/>
    <col min="32" max="33" width="8.90625" style="23" hidden="1" customWidth="1"/>
    <col min="34" max="34" width="18.54296875" style="23" hidden="1" customWidth="1"/>
    <col min="35" max="35" width="23.1796875" style="23" hidden="1" customWidth="1"/>
    <col min="36" max="16384" width="8.90625" style="23" hidden="1"/>
  </cols>
  <sheetData>
    <row r="1" spans="2:36" ht="19.5" hidden="1" customHeight="1">
      <c r="P1" s="23"/>
      <c r="Q1" s="23"/>
    </row>
    <row r="2" spans="2:36" ht="19.5" hidden="1" customHeight="1">
      <c r="P2" s="23"/>
      <c r="Q2" s="23"/>
    </row>
    <row r="3" spans="2:36" ht="19.5" hidden="1" customHeight="1">
      <c r="B3" s="71"/>
      <c r="C3" s="71"/>
      <c r="D3" s="71"/>
      <c r="E3" s="71"/>
      <c r="F3" s="71"/>
      <c r="G3" s="71"/>
      <c r="H3" s="71"/>
      <c r="I3" s="71"/>
      <c r="J3" s="71"/>
      <c r="K3" s="71"/>
      <c r="L3" s="71"/>
      <c r="M3" s="71"/>
      <c r="N3" s="71"/>
      <c r="O3" s="71"/>
    </row>
    <row r="4" spans="2:36" ht="19.5" customHeight="1">
      <c r="B4" s="133"/>
      <c r="C4" s="133"/>
      <c r="D4" s="133"/>
      <c r="E4" s="133"/>
      <c r="F4" s="133"/>
      <c r="G4" s="133"/>
      <c r="H4" s="133"/>
      <c r="I4" s="133"/>
      <c r="J4" s="133"/>
      <c r="K4" s="133"/>
      <c r="L4" s="133"/>
      <c r="M4" s="133"/>
      <c r="N4" s="133"/>
      <c r="O4" s="133"/>
      <c r="P4" s="133"/>
    </row>
    <row r="5" spans="2:36" ht="19.5" customHeight="1">
      <c r="B5" s="133"/>
      <c r="C5" s="133"/>
      <c r="D5" s="133"/>
      <c r="E5" s="133"/>
      <c r="F5" s="133"/>
      <c r="G5" s="133"/>
      <c r="H5" s="133"/>
      <c r="I5" s="133"/>
      <c r="J5" s="133"/>
      <c r="K5" s="133"/>
      <c r="L5" s="133"/>
      <c r="M5" s="133"/>
      <c r="N5" s="133"/>
      <c r="O5" s="133"/>
      <c r="P5" s="133"/>
    </row>
    <row r="6" spans="2:36" ht="19.5" customHeight="1">
      <c r="B6" s="133"/>
      <c r="C6" s="133"/>
      <c r="D6" s="133"/>
      <c r="E6" s="133"/>
      <c r="F6" s="133"/>
      <c r="G6" s="133"/>
      <c r="H6" s="133"/>
      <c r="I6" s="133"/>
      <c r="J6" s="133"/>
      <c r="K6" s="133"/>
      <c r="L6" s="133"/>
      <c r="M6" s="133"/>
      <c r="N6" s="133"/>
      <c r="O6" s="133"/>
      <c r="P6" s="133"/>
      <c r="AD6" s="23" t="s">
        <v>3</v>
      </c>
      <c r="AE6" s="23" t="str" vm="949">
        <f>'Enter Parameters'!D18</f>
        <v>2016-17</v>
      </c>
      <c r="AH6" s="2" t="s">
        <v>0</v>
      </c>
      <c r="AI6" t="s" vm="958">
        <v>444</v>
      </c>
    </row>
    <row r="7" spans="2:36" ht="19.5" customHeight="1">
      <c r="B7" s="133"/>
      <c r="C7" s="133"/>
      <c r="D7" s="133"/>
      <c r="E7" s="133"/>
      <c r="F7" s="133"/>
      <c r="G7" s="133"/>
      <c r="H7" s="133"/>
      <c r="I7" s="133"/>
      <c r="J7" s="133"/>
      <c r="K7" s="133"/>
      <c r="L7" s="133"/>
      <c r="M7" s="133"/>
      <c r="N7" s="133"/>
      <c r="O7" s="133"/>
      <c r="P7" s="133"/>
      <c r="AD7" s="23" t="s">
        <v>21</v>
      </c>
      <c r="AE7" s="23" t="str" vm="941">
        <f>'Enter Parameters'!D19</f>
        <v>All</v>
      </c>
    </row>
    <row r="8" spans="2:36" ht="19.5" customHeight="1">
      <c r="B8" s="133"/>
      <c r="C8" s="133"/>
      <c r="D8" s="133"/>
      <c r="E8" s="133"/>
      <c r="F8" s="133"/>
      <c r="G8" s="133"/>
      <c r="H8" s="133"/>
      <c r="I8" s="133"/>
      <c r="J8" s="133"/>
      <c r="K8" s="133"/>
      <c r="L8" s="133"/>
      <c r="M8" s="133"/>
      <c r="N8" s="133"/>
      <c r="O8" s="133"/>
      <c r="P8" s="133"/>
      <c r="AD8" s="23" t="s">
        <v>4</v>
      </c>
      <c r="AE8" s="23" t="str" vm="959">
        <f>'Enter Parameters'!D17</f>
        <v>York (member)</v>
      </c>
      <c r="AH8" t="s">
        <v>6</v>
      </c>
      <c r="AI8" t="s">
        <v>443</v>
      </c>
      <c r="AJ8"/>
    </row>
    <row r="9" spans="2:36" ht="19.5" customHeight="1">
      <c r="B9" s="133"/>
      <c r="C9" s="133"/>
      <c r="D9" s="133"/>
      <c r="E9" s="133"/>
      <c r="F9" s="133"/>
      <c r="G9" s="133"/>
      <c r="H9" s="133"/>
      <c r="I9" s="133"/>
      <c r="J9" s="133"/>
      <c r="K9" s="133"/>
      <c r="L9" s="133"/>
      <c r="M9" s="133"/>
      <c r="N9" s="133"/>
      <c r="O9" s="133"/>
      <c r="P9" s="133"/>
      <c r="AD9" s="23" t="s">
        <v>0</v>
      </c>
      <c r="AE9" s="23" t="str" vm="957">
        <f>CUBESET("cabcrmsqlrs1 CABReportingCubes Local Advice Event","{[Advice Event Type].[Advice Event Type].&amp;[Gateway AIC Creation],[Advice Event Type].[Advice Event Type].&amp;[Enquiry AIC/Outcome Creation]}","(Multiple Items)")</f>
        <v>(Multiple Items)</v>
      </c>
      <c r="AH9" s="4">
        <v>1</v>
      </c>
      <c r="AI9" s="4">
        <v>1321159</v>
      </c>
      <c r="AJ9"/>
    </row>
    <row r="10" spans="2:36" ht="19.5" customHeight="1">
      <c r="B10" s="133"/>
      <c r="C10" s="133"/>
      <c r="D10" s="133"/>
      <c r="E10" s="133"/>
      <c r="F10" s="133"/>
      <c r="G10" s="133"/>
      <c r="H10" s="133"/>
      <c r="I10" s="133"/>
      <c r="J10" s="133"/>
      <c r="K10" s="133"/>
      <c r="L10" s="133"/>
      <c r="M10" s="133"/>
      <c r="N10" s="133"/>
      <c r="O10" s="133"/>
      <c r="P10" s="133"/>
      <c r="Q10" s="23"/>
      <c r="AH10"/>
      <c r="AI10"/>
      <c r="AJ10"/>
    </row>
    <row r="11" spans="2:36" ht="19.5" hidden="1" customHeight="1">
      <c r="B11" s="133"/>
      <c r="C11" s="133"/>
      <c r="D11" s="133"/>
      <c r="E11" s="133"/>
      <c r="F11" s="133"/>
      <c r="G11" s="133"/>
      <c r="H11" s="133"/>
      <c r="I11" s="133"/>
      <c r="J11" s="133"/>
      <c r="K11" s="133"/>
      <c r="L11" s="133"/>
      <c r="M11" s="133"/>
      <c r="N11" s="133"/>
      <c r="O11" s="133"/>
      <c r="P11" s="133"/>
      <c r="Q11" s="23"/>
      <c r="Z11" s="152" t="s">
        <v>3</v>
      </c>
      <c r="AA11" s="152" t="str" vm="949">
        <f>C14</f>
        <v>2016-17</v>
      </c>
      <c r="AB11" s="152"/>
      <c r="AD11" s="23" t="str" vm="15">
        <f>CUBEMEMBER("cabcrmsqlrs1 CABReportingCubes Local Advice Event","[Measures].[Number of Advice Events]")</f>
        <v>Number of Advice Events</v>
      </c>
      <c r="AE11" s="23" t="str" vm="7">
        <f>CUBEMEMBER("cabcrmsqlrs1 CABReportingCubes Local Advice Event","[Measures].[Unique Client Count]")</f>
        <v>Unique Client Count</v>
      </c>
      <c r="AH11"/>
      <c r="AI11"/>
      <c r="AJ11"/>
    </row>
    <row r="12" spans="2:36" ht="19.5" hidden="1" customHeight="1">
      <c r="B12" s="133"/>
      <c r="C12" s="133"/>
      <c r="D12" s="133"/>
      <c r="E12" s="133"/>
      <c r="F12" s="133"/>
      <c r="G12" s="133"/>
      <c r="H12" s="133"/>
      <c r="I12" s="133"/>
      <c r="J12" s="133"/>
      <c r="K12" s="133"/>
      <c r="L12" s="133"/>
      <c r="M12" s="133"/>
      <c r="N12" s="133"/>
      <c r="O12" s="133"/>
      <c r="P12" s="133"/>
      <c r="Q12" s="23"/>
      <c r="Z12" s="152" t="s">
        <v>21</v>
      </c>
      <c r="AA12" s="152" t="str" vm="941">
        <f>C16</f>
        <v>All</v>
      </c>
      <c r="AB12" s="152"/>
      <c r="AD12" s="23" vm="968">
        <f>CUBEVALUE("cabcrmsqlrs1 CABReportingCubes Local Advice Event",$AE$6,$AE$7,$AE$8,$AE$9,AD$11)</f>
        <v>12818</v>
      </c>
      <c r="AE12" s="23" vm="964">
        <f>CUBEVALUE("cabcrmsqlrs1 CABReportingCubes Local Advice Event",$AE$6,$AE$7,$AE$8,$AE$9,AE$11)</f>
        <v>3746</v>
      </c>
      <c r="AH12"/>
      <c r="AI12"/>
      <c r="AJ12"/>
    </row>
    <row r="13" spans="2:36" ht="15" hidden="1">
      <c r="B13" s="282" t="s">
        <v>0</v>
      </c>
      <c r="C13" s="283" t="s" vm="1">
        <v>2</v>
      </c>
      <c r="D13" s="71"/>
      <c r="E13" s="71"/>
      <c r="F13" s="71"/>
      <c r="G13" s="71"/>
      <c r="H13" s="71"/>
      <c r="I13" s="71"/>
      <c r="J13" s="71"/>
      <c r="K13" s="71"/>
      <c r="L13" s="71"/>
      <c r="M13" s="71"/>
      <c r="N13" s="71"/>
      <c r="O13" s="71"/>
      <c r="Q13" s="23"/>
      <c r="Z13" s="152" t="s">
        <v>4</v>
      </c>
      <c r="AA13" s="152" t="str" vm="959">
        <f>C15</f>
        <v>York (member)</v>
      </c>
      <c r="AB13" s="152"/>
      <c r="AH13"/>
      <c r="AI13"/>
      <c r="AJ13"/>
    </row>
    <row r="14" spans="2:36" ht="15" hidden="1">
      <c r="B14" s="282" t="s">
        <v>3</v>
      </c>
      <c r="C14" s="283" t="s" vm="949">
        <v>405</v>
      </c>
      <c r="D14" s="71"/>
      <c r="E14" s="71"/>
      <c r="F14" s="71"/>
      <c r="G14" s="71"/>
      <c r="H14" s="71"/>
      <c r="I14" s="71"/>
      <c r="J14" s="71"/>
      <c r="K14" s="71"/>
      <c r="L14" s="71"/>
      <c r="M14" s="71"/>
      <c r="N14" s="71"/>
      <c r="O14" s="71"/>
      <c r="Q14" s="23"/>
      <c r="Z14" s="152"/>
      <c r="AA14" s="152"/>
      <c r="AB14" s="152"/>
      <c r="AH14"/>
      <c r="AI14"/>
      <c r="AJ14"/>
    </row>
    <row r="15" spans="2:36" ht="15" hidden="1">
      <c r="B15" s="225" t="s">
        <v>143</v>
      </c>
      <c r="C15" s="226" t="s" vm="959">
        <v>516</v>
      </c>
      <c r="D15" s="71"/>
      <c r="E15" s="71"/>
      <c r="F15" s="71"/>
      <c r="G15" s="71"/>
      <c r="H15" s="71"/>
      <c r="I15" s="71"/>
      <c r="J15" s="71"/>
      <c r="K15" s="71"/>
      <c r="L15" s="71"/>
      <c r="M15" s="71"/>
      <c r="N15" s="71"/>
      <c r="O15" s="71"/>
      <c r="Q15" s="23"/>
      <c r="Z15" s="152" t="s">
        <v>46</v>
      </c>
      <c r="AA15" s="152" t="str" vm="15">
        <f>CUBEMEMBER("cabcrmsqlrs1 CABReportingCubes Local Advice Event","[Measures].[Number of Advice Events]")</f>
        <v>Number of Advice Events</v>
      </c>
      <c r="AB15" s="152" t="str" vm="7">
        <f>CUBEMEMBER("cabcrmsqlrs1 CABReportingCubes Local Advice Event","[Measures].[Unique Client Count]")</f>
        <v>Unique Client Count</v>
      </c>
      <c r="AH15"/>
      <c r="AI15"/>
      <c r="AJ15"/>
    </row>
    <row r="16" spans="2:36" ht="15" hidden="1">
      <c r="B16" s="225" t="s">
        <v>21</v>
      </c>
      <c r="C16" s="226" t="s" vm="941">
        <v>1</v>
      </c>
      <c r="D16" s="71"/>
      <c r="E16" s="71"/>
      <c r="F16" s="71"/>
      <c r="G16" s="71"/>
      <c r="H16" s="71"/>
      <c r="I16" s="71"/>
      <c r="J16" s="71"/>
      <c r="K16" s="71"/>
      <c r="L16" s="71"/>
      <c r="M16" s="71"/>
      <c r="N16" s="71"/>
      <c r="O16" s="71"/>
      <c r="Z16" s="153" t="str" vm="953">
        <f>CUBEMEMBER("cabcrmsqlrs1 CABReportingCubes Local Advice Event","[Advice Event Type].[Advice Event Type].&amp;[Day sheet AIC Creation]")</f>
        <v>Day sheet AIC Creation</v>
      </c>
      <c r="AA16" s="152" vm="970">
        <f t="shared" ref="AA16:AB19" si="0">CUBEVALUE("cabcrmsqlrs1 CABReportingCubes Local Advice Event",$AA$11,$AA$12,$AA$13,$Z16,AA$15)</f>
        <v>1553</v>
      </c>
      <c r="AB16" s="152" vm="978">
        <f t="shared" si="0"/>
        <v>1</v>
      </c>
      <c r="AH16"/>
      <c r="AI16"/>
      <c r="AJ16"/>
    </row>
    <row r="17" spans="2:36" ht="19.5" hidden="1" customHeight="1">
      <c r="B17" s="127"/>
      <c r="D17" s="71"/>
      <c r="E17" s="71"/>
      <c r="F17" s="71"/>
      <c r="G17" s="71"/>
      <c r="H17" s="71"/>
      <c r="I17" s="71"/>
      <c r="J17" s="71"/>
      <c r="K17" s="71"/>
      <c r="L17" s="71"/>
      <c r="M17" s="71"/>
      <c r="N17" s="71"/>
      <c r="O17" s="71"/>
      <c r="Z17" s="153" t="str" vm="878">
        <f>CUBEMEMBER("cabcrmsqlrs1 CABReportingCubes Local Advice Event","[Advice Event Type].[Advice Event Type].&amp;[Enquiry AIC/Outcome Creation]")</f>
        <v>Enquiry AIC/Outcome Creation</v>
      </c>
      <c r="AA17" s="152" vm="962">
        <f t="shared" si="0"/>
        <v>10804</v>
      </c>
      <c r="AB17" s="152" vm="974">
        <f t="shared" si="0"/>
        <v>2925</v>
      </c>
      <c r="AH17"/>
      <c r="AI17"/>
      <c r="AJ17"/>
    </row>
    <row r="18" spans="2:36" ht="19.5" hidden="1" customHeight="1">
      <c r="B18" s="127"/>
      <c r="D18" s="71"/>
      <c r="E18" s="71"/>
      <c r="F18" s="71"/>
      <c r="G18" s="71"/>
      <c r="H18" s="71"/>
      <c r="I18" s="71"/>
      <c r="J18" s="71"/>
      <c r="K18" s="71"/>
      <c r="L18" s="71"/>
      <c r="M18" s="71"/>
      <c r="N18" s="71"/>
      <c r="O18" s="71"/>
      <c r="Z18" s="153" t="str" vm="952">
        <f>CUBEMEMBER("cabcrmsqlrs1 CABReportingCubes Local Advice Event","[Advice Event Type].[Advice Event Type].&amp;[Gateway AIC Creation]")</f>
        <v>Gateway AIC Creation</v>
      </c>
      <c r="AA18" s="152" vm="961">
        <f t="shared" si="0"/>
        <v>2014</v>
      </c>
      <c r="AB18" s="152" vm="963">
        <f t="shared" si="0"/>
        <v>1280</v>
      </c>
      <c r="AH18"/>
      <c r="AI18"/>
      <c r="AJ18"/>
    </row>
    <row r="19" spans="2:36" ht="19.5" hidden="1" customHeight="1">
      <c r="B19" s="154"/>
      <c r="C19" s="155" t="str" vm="15">
        <f>CUBEMEMBER("cabcrmsqlrs1 CABReportingCubes Local Advice Event","[Measures].[Number of Advice Events]")</f>
        <v>Number of Advice Events</v>
      </c>
      <c r="D19" s="71"/>
      <c r="E19" s="71"/>
      <c r="F19" s="71"/>
      <c r="G19" s="71"/>
      <c r="H19" s="71"/>
      <c r="I19" s="71"/>
      <c r="J19" s="71"/>
      <c r="K19" s="71"/>
      <c r="L19" s="71"/>
      <c r="M19" s="71"/>
      <c r="N19" s="71"/>
      <c r="O19" s="71"/>
      <c r="Z19" s="153" t="str" vm="954">
        <f>CUBESET("cabcrmsqlrs1 CABReportingCubes Local Advice Event",($Z$18,$Z$17,$Z$16),"Grand Total")</f>
        <v>Grand Total</v>
      </c>
      <c r="AA19" s="152" vm="969">
        <f t="shared" si="0"/>
        <v>14371</v>
      </c>
      <c r="AB19" s="152" vm="973">
        <f t="shared" si="0"/>
        <v>3747</v>
      </c>
      <c r="AH19"/>
      <c r="AI19"/>
      <c r="AJ19"/>
    </row>
    <row r="20" spans="2:36" s="157" customFormat="1" ht="19.5" customHeight="1">
      <c r="B20" s="161" t="s">
        <v>5</v>
      </c>
      <c r="C20" s="160" t="s">
        <v>110</v>
      </c>
      <c r="D20" s="160" t="s">
        <v>129</v>
      </c>
      <c r="E20" s="160" t="str" vm="7">
        <f>CUBEMEMBER("cabcrmsqlrs1 CABReportingCubes Local Advice Event","[Measures].[Unique Client Count]")</f>
        <v>Unique Client Count</v>
      </c>
      <c r="F20" s="160" t="s">
        <v>130</v>
      </c>
      <c r="G20" s="156"/>
      <c r="H20" s="156"/>
      <c r="I20" s="156"/>
      <c r="J20" s="156"/>
      <c r="K20" s="156"/>
      <c r="L20" s="156"/>
      <c r="M20" s="156"/>
      <c r="N20" s="156"/>
      <c r="O20" s="156"/>
      <c r="P20" s="156"/>
      <c r="Q20" s="156"/>
      <c r="Z20" s="23"/>
      <c r="AA20" s="23"/>
      <c r="AB20" s="23"/>
      <c r="AD20" s="23"/>
      <c r="AE20" s="23"/>
      <c r="AF20" s="23"/>
      <c r="AH20"/>
      <c r="AI20"/>
      <c r="AJ20"/>
    </row>
    <row r="21" spans="2:36" ht="19.5" customHeight="1">
      <c r="B21" s="146" t="str" vm="20">
        <f>CUBEMEMBER("cabcrmsqlrs1 CABReportingCubes Local Advice Event","[AIC Outcome].[AIC Part1].&amp;[Benefits &amp; tax credits]")</f>
        <v>Benefits &amp; tax credits</v>
      </c>
      <c r="C21" s="147" vm="1229">
        <f>CUBEVALUE("cabcrmsqlrs1 CABReportingCubes Local Advice Event",$C$13,$C$14,$C$15,$C$16,$B21,C$19)</f>
        <v>5259</v>
      </c>
      <c r="D21" s="158">
        <f>IF(ISERROR(C21/$C$37),0,C21/$C$37)</f>
        <v>0.36594530652007518</v>
      </c>
      <c r="E21" s="147" vm="1205">
        <f>CUBEVALUE("cabcrmsqlrs1 CABReportingCubes Local Advice Event",$C$13,$C$14,$C$15,$C$16,$B21,E$20)</f>
        <v>1779</v>
      </c>
      <c r="F21" s="159">
        <f>IF(ISERROR(C21/E21),0,C21/E21)</f>
        <v>2.9561551433389543</v>
      </c>
      <c r="G21" s="71"/>
      <c r="I21" s="71"/>
      <c r="J21" s="71"/>
      <c r="K21" s="71"/>
      <c r="L21" s="71"/>
      <c r="M21" s="71"/>
      <c r="N21" s="71"/>
      <c r="O21" s="71"/>
      <c r="AH21"/>
      <c r="AI21"/>
      <c r="AJ21"/>
    </row>
    <row r="22" spans="2:36" ht="19.5" customHeight="1">
      <c r="B22" s="146" t="str" vm="12">
        <f>CUBEMEMBER("cabcrmsqlrs1 CABReportingCubes Local Advice Event","[AIC Outcome].[AIC Part1].&amp;[Consumer goods &amp; services]")</f>
        <v>Consumer goods &amp; services</v>
      </c>
      <c r="C22" s="147" vm="986">
        <f>CUBEVALUE("cabcrmsqlrs1 CABReportingCubes Local Advice Event",$C$13,$C$14,$C$15,$C$16,$B22,C$19)</f>
        <v>339</v>
      </c>
      <c r="D22" s="158">
        <f t="shared" ref="D22:D35" si="1">IF(ISERROR(C22/$C$37),0,C22/$C$37)</f>
        <v>2.3589172639343122E-2</v>
      </c>
      <c r="E22" s="147" vm="1054">
        <f>CUBEVALUE("cabcrmsqlrs1 CABReportingCubes Local Advice Event",$C$13,$C$14,$C$15,$C$16,$B22,E$20)</f>
        <v>169</v>
      </c>
      <c r="F22" s="159">
        <f t="shared" ref="F22:F35" si="2">IF(ISERROR(C22/E22),0,C22/E22)</f>
        <v>2.0059171597633134</v>
      </c>
      <c r="G22" s="71"/>
      <c r="H22" s="71"/>
      <c r="I22" s="71"/>
      <c r="J22" s="71"/>
      <c r="K22" s="71"/>
      <c r="L22" s="71"/>
      <c r="M22" s="71"/>
      <c r="N22" s="71"/>
      <c r="O22" s="71"/>
      <c r="AH22"/>
      <c r="AI22"/>
      <c r="AJ22"/>
    </row>
    <row r="23" spans="2:36" ht="19.5" customHeight="1">
      <c r="B23" s="146" t="str" vm="10">
        <f>CUBEMEMBER("cabcrmsqlrs1 CABReportingCubes Local Advice Event","[AIC Outcome].[AIC Part1].&amp;[Debt]")</f>
        <v>Debt</v>
      </c>
      <c r="C23" s="147" vm="1174">
        <f>CUBEVALUE("cabcrmsqlrs1 CABReportingCubes Local Advice Event",$C$13,$C$14,$C$15,$C$16,$B23,C$19)</f>
        <v>3634</v>
      </c>
      <c r="D23" s="158">
        <f t="shared" si="1"/>
        <v>0.25287036392735368</v>
      </c>
      <c r="E23" s="147" vm="1215">
        <f>CUBEVALUE("cabcrmsqlrs1 CABReportingCubes Local Advice Event",$C$13,$C$14,$C$15,$C$16,$B23,E$20)</f>
        <v>932</v>
      </c>
      <c r="F23" s="159">
        <f t="shared" si="2"/>
        <v>3.8991416309012874</v>
      </c>
      <c r="G23" s="71"/>
      <c r="H23" s="71"/>
      <c r="I23" s="71"/>
      <c r="J23" s="71"/>
      <c r="K23" s="71"/>
      <c r="L23" s="71"/>
      <c r="M23" s="71"/>
      <c r="N23" s="71"/>
      <c r="O23" s="71"/>
      <c r="AH23"/>
      <c r="AI23"/>
      <c r="AJ23"/>
    </row>
    <row r="24" spans="2:36" ht="19.5" customHeight="1">
      <c r="B24" s="146" t="str" vm="6">
        <f>CUBEMEMBER("cabcrmsqlrs1 CABReportingCubes Local Advice Event","[AIC Outcome].[AIC Part1].&amp;[Education]")</f>
        <v>Education</v>
      </c>
      <c r="C24" s="147" vm="1061">
        <f t="shared" ref="C24:C36" si="3">CUBEVALUE("cabcrmsqlrs1 CABReportingCubes Local Advice Event",$C$13,$C$14,$C$15,$C$16,$B24,C$19)</f>
        <v>42</v>
      </c>
      <c r="D24" s="158">
        <f t="shared" si="1"/>
        <v>2.9225523623964927E-3</v>
      </c>
      <c r="E24" s="147" vm="1003">
        <f>CUBEVALUE("cabcrmsqlrs1 CABReportingCubes Local Advice Event",$C$13,$C$14,$C$15,$C$16,$B24,E$20)</f>
        <v>31</v>
      </c>
      <c r="F24" s="159">
        <f t="shared" si="2"/>
        <v>1.3548387096774193</v>
      </c>
      <c r="G24" s="71"/>
      <c r="H24" s="71"/>
      <c r="I24" s="71"/>
      <c r="J24" s="71"/>
      <c r="K24" s="71"/>
      <c r="L24" s="71"/>
      <c r="M24" s="71"/>
      <c r="N24" s="71"/>
      <c r="O24" s="71"/>
      <c r="AH24"/>
      <c r="AI24"/>
      <c r="AJ24"/>
    </row>
    <row r="25" spans="2:36" ht="19.5" customHeight="1">
      <c r="B25" s="146" t="str" vm="13">
        <f>CUBEMEMBER("cabcrmsqlrs1 CABReportingCubes Local Advice Event","[AIC Outcome].[AIC Part1].&amp;[Employment]")</f>
        <v>Employment</v>
      </c>
      <c r="C25" s="147" vm="1060">
        <f t="shared" si="3"/>
        <v>948</v>
      </c>
      <c r="D25" s="158">
        <f t="shared" si="1"/>
        <v>6.5966181894092271E-2</v>
      </c>
      <c r="E25" s="147" vm="1335">
        <f t="shared" ref="E25:E36" si="4">CUBEVALUE("cabcrmsqlrs1 CABReportingCubes Local Advice Event",$C$13,$C$14,$C$15,$C$16,$B25,E$20)</f>
        <v>481</v>
      </c>
      <c r="F25" s="159">
        <f t="shared" si="2"/>
        <v>1.970893970893971</v>
      </c>
      <c r="G25" s="71"/>
      <c r="H25" s="71"/>
      <c r="I25" s="71"/>
      <c r="J25" s="71"/>
      <c r="K25" s="71"/>
      <c r="L25" s="71"/>
      <c r="M25" s="71"/>
      <c r="N25" s="71"/>
      <c r="O25" s="71"/>
      <c r="AH25"/>
      <c r="AI25"/>
      <c r="AJ25"/>
    </row>
    <row r="26" spans="2:36" ht="19.5" customHeight="1">
      <c r="B26" s="146" t="str" vm="18">
        <f>CUBEMEMBER("cabcrmsqlrs1 CABReportingCubes Local Advice Event","[AIC Outcome].[AIC Part1].&amp;[Financial services &amp; capability]")</f>
        <v>Financial services &amp; capability</v>
      </c>
      <c r="C26" s="147" vm="1317">
        <f t="shared" si="3"/>
        <v>404</v>
      </c>
      <c r="D26" s="158">
        <f t="shared" si="1"/>
        <v>2.8112170343051978E-2</v>
      </c>
      <c r="E26" s="147" vm="1063">
        <f t="shared" si="4"/>
        <v>268</v>
      </c>
      <c r="F26" s="159">
        <f t="shared" si="2"/>
        <v>1.5074626865671641</v>
      </c>
      <c r="G26" s="71"/>
      <c r="H26" s="71"/>
      <c r="I26" s="71"/>
      <c r="J26" s="71"/>
      <c r="K26" s="71"/>
      <c r="L26" s="71"/>
      <c r="M26" s="71"/>
      <c r="N26" s="71"/>
      <c r="O26" s="71"/>
    </row>
    <row r="27" spans="2:36" ht="19.5" customHeight="1">
      <c r="B27" s="146" t="str" vm="14">
        <f>CUBEMEMBER("cabcrmsqlrs1 CABReportingCubes Local Advice Event","[AIC Outcome].[AIC Part1].&amp;[Health &amp; community care]")</f>
        <v>Health &amp; community care</v>
      </c>
      <c r="C27" s="147" vm="1332">
        <f t="shared" si="3"/>
        <v>202</v>
      </c>
      <c r="D27" s="158">
        <f t="shared" si="1"/>
        <v>1.4056085171525989E-2</v>
      </c>
      <c r="E27" s="147" vm="990">
        <f t="shared" si="4"/>
        <v>137</v>
      </c>
      <c r="F27" s="159">
        <f t="shared" si="2"/>
        <v>1.4744525547445255</v>
      </c>
      <c r="G27" s="71"/>
      <c r="H27" s="71"/>
      <c r="I27" s="71"/>
      <c r="J27" s="71"/>
      <c r="K27" s="71"/>
      <c r="L27" s="71"/>
      <c r="M27" s="71"/>
      <c r="N27" s="71"/>
      <c r="O27" s="71"/>
    </row>
    <row r="28" spans="2:36" ht="19.5" customHeight="1">
      <c r="B28" s="146" t="str" vm="5">
        <f>CUBEMEMBER("cabcrmsqlrs1 CABReportingCubes Local Advice Event","[AIC Outcome].[AIC Part1].&amp;[Housing]")</f>
        <v>Housing</v>
      </c>
      <c r="C28" s="147" vm="1066">
        <f t="shared" si="3"/>
        <v>908</v>
      </c>
      <c r="D28" s="158">
        <f t="shared" si="1"/>
        <v>6.3182798691809899E-2</v>
      </c>
      <c r="E28" s="147" vm="1323">
        <f t="shared" si="4"/>
        <v>494</v>
      </c>
      <c r="F28" s="159">
        <f t="shared" si="2"/>
        <v>1.8380566801619433</v>
      </c>
      <c r="G28" s="71"/>
      <c r="H28" s="71"/>
      <c r="I28" s="71"/>
      <c r="J28" s="71"/>
      <c r="K28" s="71"/>
      <c r="L28" s="71"/>
      <c r="M28" s="71"/>
      <c r="N28" s="71"/>
      <c r="O28" s="71"/>
    </row>
    <row r="29" spans="2:36" ht="19.5" customHeight="1">
      <c r="B29" s="146" t="str" vm="17">
        <f>CUBEMEMBER("cabcrmsqlrs1 CABReportingCubes Local Advice Event","[AIC Outcome].[AIC Part1].&amp;[Immigration &amp; asylum]")</f>
        <v>Immigration &amp; asylum</v>
      </c>
      <c r="C29" s="147" vm="1227">
        <f t="shared" si="3"/>
        <v>299</v>
      </c>
      <c r="D29" s="158">
        <f t="shared" si="1"/>
        <v>2.0805789437060747E-2</v>
      </c>
      <c r="E29" s="147" vm="1002">
        <f t="shared" si="4"/>
        <v>143</v>
      </c>
      <c r="F29" s="159">
        <f t="shared" si="2"/>
        <v>2.0909090909090908</v>
      </c>
      <c r="G29" s="71"/>
      <c r="H29" s="71"/>
      <c r="I29" s="71"/>
      <c r="J29" s="71"/>
      <c r="K29" s="71"/>
      <c r="L29" s="71"/>
      <c r="M29" s="71"/>
      <c r="N29" s="71"/>
      <c r="O29" s="71"/>
    </row>
    <row r="30" spans="2:36" ht="19.5" customHeight="1">
      <c r="B30" s="146" t="str" vm="16">
        <f>CUBEMEMBER("cabcrmsqlrs1 CABReportingCubes Local Advice Event","[AIC Outcome].[AIC Part1].&amp;[Legal]")</f>
        <v>Legal</v>
      </c>
      <c r="C30" s="147" vm="1137">
        <f t="shared" si="3"/>
        <v>538</v>
      </c>
      <c r="D30" s="158">
        <f t="shared" si="1"/>
        <v>3.7436504070697936E-2</v>
      </c>
      <c r="E30" s="147" vm="1213">
        <f t="shared" si="4"/>
        <v>262</v>
      </c>
      <c r="F30" s="159">
        <f t="shared" si="2"/>
        <v>2.053435114503817</v>
      </c>
      <c r="G30" s="71"/>
      <c r="H30" s="71"/>
      <c r="I30" s="71"/>
      <c r="J30" s="71"/>
      <c r="K30" s="71"/>
      <c r="L30" s="71"/>
      <c r="M30" s="71"/>
      <c r="N30" s="71"/>
      <c r="O30" s="71"/>
    </row>
    <row r="31" spans="2:36" ht="19.5" customHeight="1">
      <c r="B31" s="146" t="str" vm="9">
        <f>CUBEMEMBER("cabcrmsqlrs1 CABReportingCubes Local Advice Event","[AIC Outcome].[AIC Part1].&amp;[Other]")</f>
        <v>Other</v>
      </c>
      <c r="C31" s="147" vm="1278">
        <f t="shared" si="3"/>
        <v>611</v>
      </c>
      <c r="D31" s="158">
        <f t="shared" si="1"/>
        <v>4.2516178414863263E-2</v>
      </c>
      <c r="E31" s="147" vm="1015">
        <f t="shared" si="4"/>
        <v>268</v>
      </c>
      <c r="F31" s="159">
        <f t="shared" si="2"/>
        <v>2.2798507462686568</v>
      </c>
      <c r="G31" s="71"/>
      <c r="H31" s="71"/>
      <c r="I31" s="71"/>
      <c r="J31" s="71"/>
      <c r="K31" s="71"/>
      <c r="L31" s="71"/>
      <c r="M31" s="71"/>
      <c r="N31" s="71"/>
      <c r="O31" s="71"/>
    </row>
    <row r="32" spans="2:36" ht="19.5" customHeight="1">
      <c r="B32" s="146" t="str" vm="4">
        <f>CUBEMEMBER("cabcrmsqlrs1 CABReportingCubes Local Advice Event","[AIC Outcome].[AIC Part1].&amp;[Relationships &amp; family]")</f>
        <v>Relationships &amp; family</v>
      </c>
      <c r="C32" s="147" vm="985">
        <f t="shared" si="3"/>
        <v>608</v>
      </c>
      <c r="D32" s="158">
        <f t="shared" si="1"/>
        <v>4.230742467469209E-2</v>
      </c>
      <c r="E32" s="147" vm="988">
        <f t="shared" si="4"/>
        <v>360</v>
      </c>
      <c r="F32" s="159">
        <f t="shared" si="2"/>
        <v>1.6888888888888889</v>
      </c>
      <c r="G32" s="71"/>
      <c r="H32" s="71"/>
      <c r="I32" s="71"/>
      <c r="J32" s="71"/>
      <c r="K32" s="71"/>
      <c r="L32" s="71"/>
      <c r="M32" s="71"/>
      <c r="N32" s="71"/>
      <c r="O32" s="71"/>
    </row>
    <row r="33" spans="1:15" ht="19.5" customHeight="1">
      <c r="B33" s="146" t="str" vm="19">
        <f>CUBEMEMBER("cabcrmsqlrs1 CABReportingCubes Local Advice Event","[AIC Outcome].[AIC Part1].&amp;[Tax]")</f>
        <v>Tax</v>
      </c>
      <c r="C33" s="147" vm="987">
        <f t="shared" si="3"/>
        <v>146</v>
      </c>
      <c r="D33" s="158">
        <f t="shared" si="1"/>
        <v>1.0159348688330665E-2</v>
      </c>
      <c r="E33" s="147" vm="984">
        <f t="shared" si="4"/>
        <v>100</v>
      </c>
      <c r="F33" s="159">
        <f t="shared" si="2"/>
        <v>1.46</v>
      </c>
      <c r="G33" s="71"/>
      <c r="H33" s="71"/>
      <c r="I33" s="71"/>
      <c r="J33" s="71"/>
      <c r="K33" s="71"/>
      <c r="L33" s="71"/>
      <c r="M33" s="71"/>
      <c r="N33" s="71"/>
      <c r="O33" s="71"/>
    </row>
    <row r="34" spans="1:15" ht="19.5" customHeight="1">
      <c r="A34" s="71"/>
      <c r="B34" s="146" t="str" vm="11">
        <f>CUBEMEMBER("cabcrmsqlrs1 CABReportingCubes Local Advice Event","[AIC Outcome].[AIC Part1].&amp;[Travel &amp; transport]")</f>
        <v>Travel &amp; transport</v>
      </c>
      <c r="C34" s="147" vm="1004">
        <f t="shared" si="3"/>
        <v>47</v>
      </c>
      <c r="D34" s="158">
        <f t="shared" si="1"/>
        <v>3.2704752626817896E-3</v>
      </c>
      <c r="E34" s="147" vm="1122">
        <f t="shared" si="4"/>
        <v>32</v>
      </c>
      <c r="F34" s="159">
        <f t="shared" si="2"/>
        <v>1.46875</v>
      </c>
      <c r="G34" s="71"/>
      <c r="H34" s="71"/>
      <c r="I34" s="71"/>
      <c r="J34" s="71"/>
      <c r="K34" s="71"/>
      <c r="L34" s="71"/>
      <c r="M34" s="71"/>
      <c r="N34" s="71"/>
      <c r="O34" s="71"/>
    </row>
    <row r="35" spans="1:15" ht="19.5" customHeight="1">
      <c r="A35" s="71"/>
      <c r="B35" s="146" t="str" vm="8">
        <f>CUBEMEMBER("cabcrmsqlrs1 CABReportingCubes Local Advice Event","[AIC Outcome].[AIC Part1].&amp;[Utilities &amp; communications]")</f>
        <v>Utilities &amp; communications</v>
      </c>
      <c r="C35" s="147" vm="1177">
        <f t="shared" si="3"/>
        <v>328</v>
      </c>
      <c r="D35" s="158">
        <f t="shared" si="1"/>
        <v>2.282374225871547E-2</v>
      </c>
      <c r="E35" s="147" vm="1334">
        <f t="shared" si="4"/>
        <v>186</v>
      </c>
      <c r="F35" s="159">
        <f t="shared" si="2"/>
        <v>1.7634408602150538</v>
      </c>
      <c r="G35" s="71"/>
      <c r="H35" s="71"/>
      <c r="I35" s="71"/>
      <c r="J35" s="71"/>
      <c r="K35" s="71"/>
      <c r="L35" s="71"/>
      <c r="M35" s="71"/>
      <c r="N35" s="71"/>
      <c r="O35" s="71"/>
    </row>
    <row r="36" spans="1:15" ht="19.5" customHeight="1">
      <c r="A36" s="71"/>
      <c r="B36" s="146" t="s">
        <v>257</v>
      </c>
      <c r="C36" s="147" vm="1348">
        <f t="shared" si="3"/>
        <v>58</v>
      </c>
      <c r="D36" s="158">
        <f t="shared" ref="D36" si="5">IF(ISERROR(C36/$C$37),0,C36/$C$37)</f>
        <v>4.0359056433094424E-3</v>
      </c>
      <c r="E36" s="147" vm="1393">
        <f t="shared" si="4"/>
        <v>44</v>
      </c>
      <c r="F36" s="159">
        <f t="shared" ref="F36" si="6">IF(ISERROR(C36/E36),0,C36/E36)</f>
        <v>1.3181818181818181</v>
      </c>
      <c r="G36" s="71"/>
      <c r="H36" s="71"/>
      <c r="I36" s="71"/>
      <c r="J36" s="71"/>
      <c r="K36" s="71"/>
      <c r="L36" s="71"/>
      <c r="M36" s="71"/>
      <c r="N36" s="71"/>
      <c r="O36" s="71"/>
    </row>
    <row r="37" spans="1:15" ht="19.5" customHeight="1">
      <c r="B37" s="162" t="str" vm="3">
        <f>CUBEMEMBER("cabcrmsqlrs1 CABReportingCubes Local Advice Event","[AIC Outcome].[AIC Part1].[All]","Grand Total")</f>
        <v>Grand Total</v>
      </c>
      <c r="C37" s="163" vm="1001">
        <f>IF(CUBEVALUE("cabcrmsqlrs1 CABReportingCubes Local Advice Event",$C$13,$C$14,$C$15,$C$16,$B37,C$19)="",0,CUBEVALUE("cabcrmsqlrs1 CABReportingCubes Local Advice Event",$C$13,$C$14,$C$15,$C$16,$B37,C$19))</f>
        <v>14371</v>
      </c>
      <c r="D37" s="164">
        <f>IF(ISERROR(SUM(D21:D35)),0,SUM(D21:D35))</f>
        <v>0.99596409435669053</v>
      </c>
      <c r="E37" s="163" vm="1344">
        <f>CUBEVALUE("cabcrmsqlrs1 CABReportingCubes Local Advice Event",$C$13,$C$14,$C$15,$C$16,$B37,E$20)</f>
        <v>3747</v>
      </c>
      <c r="F37" s="165">
        <f>IF(ISERROR(C37/E37),0,C37/E37)</f>
        <v>3.8353349346143584</v>
      </c>
    </row>
    <row r="38" spans="1:15" ht="19.5" customHeight="1"/>
  </sheetData>
  <sheetProtection pivotTables="0"/>
  <pageMargins left="0.70866141732283472" right="0.70866141732283472" top="0.74803149606299213" bottom="0.74803149606299213" header="0.31496062992125984" footer="0.31496062992125984"/>
  <pageSetup paperSize="9" scale="62" orientation="landscape" r:id="rId3"/>
  <headerFooter>
    <oddHeader>&amp;RPage &amp;P&amp;C&amp;A</oddHeader>
    <oddFooter>&amp;CPage &amp;P of &amp;N</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B1:O433"/>
  <sheetViews>
    <sheetView showGridLines="0" showRowColHeaders="0" topLeftCell="A3" zoomScale="90" zoomScaleNormal="90" zoomScaleSheetLayoutView="70" workbookViewId="0">
      <pane xSplit="1" ySplit="7" topLeftCell="B10" activePane="bottomRight" state="frozen"/>
      <selection activeCell="A3" sqref="A3"/>
      <selection pane="topRight" activeCell="B3" sqref="B3"/>
      <selection pane="bottomLeft" activeCell="A10" sqref="A10"/>
      <selection pane="bottomRight" activeCell="B22" sqref="B22"/>
    </sheetView>
  </sheetViews>
  <sheetFormatPr defaultColWidth="0" defaultRowHeight="15" zeroHeight="1"/>
  <cols>
    <col min="1" max="1" width="1.36328125" style="23" customWidth="1"/>
    <col min="2" max="2" width="33.1796875" style="23" bestFit="1" customWidth="1"/>
    <col min="3" max="3" width="66.6328125" style="23" customWidth="1"/>
    <col min="4" max="4" width="19.453125" style="145" customWidth="1"/>
    <col min="5" max="5" width="19.81640625" style="166" customWidth="1"/>
    <col min="6" max="6" width="19.1796875" style="23" customWidth="1"/>
    <col min="7" max="7" width="3" style="23" customWidth="1"/>
    <col min="8" max="8" width="5" style="23" hidden="1" customWidth="1"/>
    <col min="9" max="13" width="10" style="23" hidden="1" customWidth="1"/>
    <col min="14" max="14" width="3.81640625" style="23" hidden="1" customWidth="1"/>
    <col min="15" max="15" width="8.90625" style="23" hidden="1" customWidth="1"/>
    <col min="16" max="16384" width="0" style="23" hidden="1"/>
  </cols>
  <sheetData>
    <row r="1" spans="2:14" hidden="1"/>
    <row r="2" spans="2:14" hidden="1"/>
    <row r="3" spans="2:14" ht="10.5" customHeight="1"/>
    <row r="4" spans="2:14" ht="10.5" customHeight="1">
      <c r="B4" s="133"/>
      <c r="C4" s="133"/>
      <c r="D4" s="167"/>
      <c r="E4" s="168"/>
      <c r="F4" s="133"/>
      <c r="G4" s="133"/>
      <c r="H4" s="133"/>
      <c r="I4" s="133"/>
      <c r="J4" s="131"/>
      <c r="K4" s="131"/>
      <c r="L4" s="131"/>
      <c r="M4" s="131"/>
      <c r="N4" s="132"/>
    </row>
    <row r="5" spans="2:14">
      <c r="B5" s="133"/>
      <c r="C5" s="133"/>
      <c r="D5" s="167"/>
      <c r="E5" s="168"/>
      <c r="F5" s="133"/>
      <c r="G5" s="133"/>
      <c r="H5" s="133"/>
      <c r="I5" s="133"/>
      <c r="J5" s="133"/>
      <c r="K5" s="133"/>
      <c r="L5" s="133"/>
      <c r="M5" s="133"/>
      <c r="N5" s="134"/>
    </row>
    <row r="6" spans="2:14">
      <c r="B6" s="133"/>
      <c r="C6" s="133"/>
      <c r="D6" s="167"/>
      <c r="E6" s="168"/>
      <c r="F6" s="133"/>
      <c r="G6" s="133"/>
      <c r="H6" s="133"/>
      <c r="I6" s="133"/>
      <c r="J6" s="133"/>
      <c r="K6" s="133"/>
      <c r="L6" s="133"/>
      <c r="M6" s="133"/>
      <c r="N6" s="134"/>
    </row>
    <row r="7" spans="2:14">
      <c r="B7" s="133"/>
      <c r="C7" s="133"/>
      <c r="D7" s="167"/>
      <c r="E7" s="168"/>
      <c r="F7" s="133"/>
      <c r="G7" s="133"/>
      <c r="H7" s="133"/>
      <c r="I7" s="133"/>
      <c r="J7" s="133"/>
      <c r="K7" s="133"/>
      <c r="L7" s="133"/>
      <c r="M7" s="133"/>
      <c r="N7" s="134"/>
    </row>
    <row r="8" spans="2:14">
      <c r="B8" s="133"/>
      <c r="C8" s="133"/>
      <c r="D8" s="167"/>
      <c r="E8" s="168"/>
      <c r="F8" s="133"/>
      <c r="G8" s="133"/>
      <c r="H8" s="133"/>
      <c r="I8" s="133"/>
      <c r="J8" s="133"/>
      <c r="K8" s="133"/>
      <c r="L8" s="133"/>
      <c r="M8" s="133"/>
      <c r="N8" s="134"/>
    </row>
    <row r="9" spans="2:14">
      <c r="B9" s="133"/>
      <c r="C9" s="133"/>
      <c r="D9" s="167"/>
      <c r="E9" s="168"/>
      <c r="F9" s="133"/>
      <c r="G9" s="133"/>
      <c r="H9" s="133"/>
      <c r="I9" s="133"/>
      <c r="J9" s="133"/>
      <c r="K9" s="133"/>
      <c r="L9" s="133"/>
      <c r="M9" s="133"/>
      <c r="N9" s="134"/>
    </row>
    <row r="10" spans="2:14" ht="9" customHeight="1">
      <c r="B10" s="133"/>
      <c r="C10" s="133"/>
      <c r="D10" s="167"/>
      <c r="E10" s="168"/>
      <c r="F10" s="133"/>
      <c r="G10" s="133"/>
      <c r="H10" s="133"/>
      <c r="I10" s="133"/>
      <c r="J10" s="133"/>
      <c r="K10" s="133"/>
      <c r="L10" s="133"/>
      <c r="M10" s="133"/>
      <c r="N10" s="134"/>
    </row>
    <row r="11" spans="2:14" hidden="1">
      <c r="B11" s="133"/>
      <c r="C11" s="133"/>
      <c r="D11" s="167"/>
      <c r="E11" s="168"/>
      <c r="F11" s="133"/>
      <c r="G11" s="133"/>
      <c r="H11" s="133"/>
      <c r="I11" s="133"/>
      <c r="J11" s="133"/>
      <c r="K11" s="133"/>
      <c r="L11" s="133"/>
      <c r="M11" s="133"/>
      <c r="N11" s="134"/>
    </row>
    <row r="12" spans="2:14" hidden="1">
      <c r="B12" s="133"/>
      <c r="C12" s="133"/>
      <c r="D12" s="167"/>
      <c r="E12" s="168"/>
      <c r="F12" s="133"/>
      <c r="G12" s="133"/>
      <c r="H12" s="133"/>
      <c r="I12" s="133"/>
      <c r="J12" s="138"/>
      <c r="K12" s="138"/>
      <c r="L12" s="138"/>
      <c r="M12" s="138"/>
      <c r="N12" s="139"/>
    </row>
    <row r="13" spans="2:14" hidden="1"/>
    <row r="14" spans="2:14" hidden="1"/>
    <row r="15" spans="2:14" hidden="1"/>
    <row r="16" spans="2:14" hidden="1">
      <c r="B16" s="249" t="s">
        <v>0</v>
      </c>
      <c r="C16" s="250" t="s" vm="1">
        <v>2</v>
      </c>
      <c r="D16" s="130"/>
    </row>
    <row r="17" spans="2:6" s="157" customFormat="1" hidden="1">
      <c r="B17" s="249" t="s">
        <v>143</v>
      </c>
      <c r="C17" s="250" t="s" vm="959">
        <v>516</v>
      </c>
      <c r="D17" s="130"/>
      <c r="E17" s="166"/>
    </row>
    <row r="18" spans="2:6" hidden="1">
      <c r="B18" s="249" t="s">
        <v>3</v>
      </c>
      <c r="C18" s="250" t="s" vm="949">
        <v>405</v>
      </c>
      <c r="D18" s="130"/>
    </row>
    <row r="19" spans="2:6" hidden="1">
      <c r="B19" s="249" t="s">
        <v>21</v>
      </c>
      <c r="C19" s="250" t="s" vm="941">
        <v>1</v>
      </c>
      <c r="D19" s="130"/>
    </row>
    <row r="20" spans="2:6" ht="10.5" customHeight="1">
      <c r="D20" s="130"/>
    </row>
    <row r="21" spans="2:6" s="157" customFormat="1">
      <c r="B21" s="253" t="s">
        <v>16</v>
      </c>
      <c r="C21" s="253" t="s">
        <v>17</v>
      </c>
      <c r="D21" s="254" t="s">
        <v>110</v>
      </c>
      <c r="E21" s="255" t="s">
        <v>136</v>
      </c>
      <c r="F21" s="254" t="s">
        <v>6</v>
      </c>
    </row>
    <row r="22" spans="2:6">
      <c r="B22" s="250" t="s">
        <v>7</v>
      </c>
      <c r="C22" s="250" t="s">
        <v>258</v>
      </c>
      <c r="D22" s="251">
        <v>88</v>
      </c>
      <c r="E22" s="252">
        <v>1.6733219243202129E-2</v>
      </c>
      <c r="F22" s="251">
        <v>75</v>
      </c>
    </row>
    <row r="23" spans="2:6">
      <c r="B23" s="250" t="s">
        <v>7</v>
      </c>
      <c r="C23" s="250" t="s">
        <v>517</v>
      </c>
      <c r="D23" s="251">
        <v>87</v>
      </c>
      <c r="E23" s="252">
        <v>1.6543069024529379E-2</v>
      </c>
      <c r="F23" s="251">
        <v>60</v>
      </c>
    </row>
    <row r="24" spans="2:6">
      <c r="B24" s="250" t="s">
        <v>7</v>
      </c>
      <c r="C24" s="250" t="s">
        <v>474</v>
      </c>
      <c r="D24" s="251">
        <v>11</v>
      </c>
      <c r="E24" s="252">
        <v>2.0916524054002661E-3</v>
      </c>
      <c r="F24" s="251">
        <v>10</v>
      </c>
    </row>
    <row r="25" spans="2:6">
      <c r="B25" s="250" t="s">
        <v>7</v>
      </c>
      <c r="C25" s="250" t="s">
        <v>518</v>
      </c>
      <c r="D25" s="251">
        <v>449</v>
      </c>
      <c r="E25" s="252">
        <v>8.537744818406541E-2</v>
      </c>
      <c r="F25" s="251">
        <v>337</v>
      </c>
    </row>
    <row r="26" spans="2:6">
      <c r="B26" s="250" t="s">
        <v>7</v>
      </c>
      <c r="C26" s="250" t="s">
        <v>519</v>
      </c>
      <c r="D26" s="251">
        <v>87</v>
      </c>
      <c r="E26" s="252">
        <v>1.6543069024529379E-2</v>
      </c>
      <c r="F26" s="251">
        <v>72</v>
      </c>
    </row>
    <row r="27" spans="2:6">
      <c r="B27" s="250" t="s">
        <v>7</v>
      </c>
      <c r="C27" s="250" t="s">
        <v>520</v>
      </c>
      <c r="D27" s="251">
        <v>492</v>
      </c>
      <c r="E27" s="252">
        <v>9.3553907586993723E-2</v>
      </c>
      <c r="F27" s="251">
        <v>339</v>
      </c>
    </row>
    <row r="28" spans="2:6">
      <c r="B28" s="250" t="s">
        <v>7</v>
      </c>
      <c r="C28" s="250" t="s">
        <v>305</v>
      </c>
      <c r="D28" s="251">
        <v>169</v>
      </c>
      <c r="E28" s="252">
        <v>3.2135386955694997E-2</v>
      </c>
      <c r="F28" s="251">
        <v>137</v>
      </c>
    </row>
    <row r="29" spans="2:6">
      <c r="B29" s="250" t="s">
        <v>7</v>
      </c>
      <c r="C29" s="250" t="s">
        <v>521</v>
      </c>
      <c r="D29" s="251">
        <v>15</v>
      </c>
      <c r="E29" s="252">
        <v>2.8522532800912721E-3</v>
      </c>
      <c r="F29" s="251">
        <v>12</v>
      </c>
    </row>
    <row r="30" spans="2:6">
      <c r="B30" s="250" t="s">
        <v>7</v>
      </c>
      <c r="C30" s="250" t="s">
        <v>522</v>
      </c>
      <c r="D30" s="251">
        <v>44</v>
      </c>
      <c r="E30" s="252">
        <v>8.3666096216010646E-3</v>
      </c>
      <c r="F30" s="251">
        <v>34</v>
      </c>
    </row>
    <row r="31" spans="2:6">
      <c r="B31" s="250" t="s">
        <v>7</v>
      </c>
      <c r="C31" s="250" t="s">
        <v>462</v>
      </c>
      <c r="D31" s="251">
        <v>2</v>
      </c>
      <c r="E31" s="252">
        <v>3.8030043734550294E-4</v>
      </c>
      <c r="F31" s="251">
        <v>2</v>
      </c>
    </row>
    <row r="32" spans="2:6">
      <c r="B32" s="250" t="s">
        <v>7</v>
      </c>
      <c r="C32" s="250" t="s">
        <v>523</v>
      </c>
      <c r="D32" s="251">
        <v>97</v>
      </c>
      <c r="E32" s="252">
        <v>1.8444571211256894E-2</v>
      </c>
      <c r="F32" s="251">
        <v>54</v>
      </c>
    </row>
    <row r="33" spans="2:6">
      <c r="B33" s="250" t="s">
        <v>7</v>
      </c>
      <c r="C33" s="250" t="s">
        <v>524</v>
      </c>
      <c r="D33" s="251">
        <v>44</v>
      </c>
      <c r="E33" s="252">
        <v>8.3666096216010646E-3</v>
      </c>
      <c r="F33" s="251">
        <v>29</v>
      </c>
    </row>
    <row r="34" spans="2:6">
      <c r="B34" s="250" t="s">
        <v>7</v>
      </c>
      <c r="C34" s="250" t="s">
        <v>525</v>
      </c>
      <c r="D34" s="251">
        <v>88</v>
      </c>
      <c r="E34" s="252">
        <v>1.6733219243202129E-2</v>
      </c>
      <c r="F34" s="251">
        <v>74</v>
      </c>
    </row>
    <row r="35" spans="2:6">
      <c r="B35" s="250" t="s">
        <v>7</v>
      </c>
      <c r="C35" s="250" t="s">
        <v>526</v>
      </c>
      <c r="D35" s="251">
        <v>875</v>
      </c>
      <c r="E35" s="252">
        <v>0.16638144133865754</v>
      </c>
      <c r="F35" s="251">
        <v>516</v>
      </c>
    </row>
    <row r="36" spans="2:6">
      <c r="B36" s="250" t="s">
        <v>7</v>
      </c>
      <c r="C36" s="250" t="s">
        <v>527</v>
      </c>
      <c r="D36" s="251">
        <v>105</v>
      </c>
      <c r="E36" s="252">
        <v>1.9965772960638905E-2</v>
      </c>
      <c r="F36" s="251">
        <v>76</v>
      </c>
    </row>
    <row r="37" spans="2:6">
      <c r="B37" s="250" t="s">
        <v>7</v>
      </c>
      <c r="C37" s="250" t="s">
        <v>475</v>
      </c>
      <c r="D37" s="251">
        <v>1288</v>
      </c>
      <c r="E37" s="252">
        <v>0.24491348165050389</v>
      </c>
      <c r="F37" s="251">
        <v>556</v>
      </c>
    </row>
    <row r="38" spans="2:6">
      <c r="B38" s="250" t="s">
        <v>7</v>
      </c>
      <c r="C38" s="250" t="s">
        <v>528</v>
      </c>
      <c r="D38" s="251">
        <v>50</v>
      </c>
      <c r="E38" s="252">
        <v>9.5075109336375738E-3</v>
      </c>
      <c r="F38" s="251">
        <v>42</v>
      </c>
    </row>
    <row r="39" spans="2:6">
      <c r="B39" s="250" t="s">
        <v>7</v>
      </c>
      <c r="C39" s="250" t="s">
        <v>529</v>
      </c>
      <c r="D39" s="251">
        <v>221</v>
      </c>
      <c r="E39" s="252">
        <v>4.2023198326678078E-2</v>
      </c>
      <c r="F39" s="251">
        <v>183</v>
      </c>
    </row>
    <row r="40" spans="2:6">
      <c r="B40" s="250" t="s">
        <v>7</v>
      </c>
      <c r="C40" s="250" t="s">
        <v>530</v>
      </c>
      <c r="D40" s="251">
        <v>5</v>
      </c>
      <c r="E40" s="252">
        <v>9.5075109336375738E-4</v>
      </c>
      <c r="F40" s="251">
        <v>5</v>
      </c>
    </row>
    <row r="41" spans="2:6">
      <c r="B41" s="250" t="s">
        <v>7</v>
      </c>
      <c r="C41" s="250" t="s">
        <v>531</v>
      </c>
      <c r="D41" s="251">
        <v>4</v>
      </c>
      <c r="E41" s="252">
        <v>7.6060087469100588E-4</v>
      </c>
      <c r="F41" s="251">
        <v>4</v>
      </c>
    </row>
    <row r="42" spans="2:6">
      <c r="B42" s="250" t="s">
        <v>7</v>
      </c>
      <c r="C42" s="250" t="s">
        <v>532</v>
      </c>
      <c r="D42" s="251">
        <v>34</v>
      </c>
      <c r="E42" s="252">
        <v>6.4651074348735498E-3</v>
      </c>
      <c r="F42" s="251">
        <v>22</v>
      </c>
    </row>
    <row r="43" spans="2:6">
      <c r="B43" s="250" t="s">
        <v>7</v>
      </c>
      <c r="C43" s="250" t="s">
        <v>476</v>
      </c>
      <c r="D43" s="251">
        <v>570</v>
      </c>
      <c r="E43" s="252">
        <v>0.10838562464346833</v>
      </c>
      <c r="F43" s="251">
        <v>505</v>
      </c>
    </row>
    <row r="44" spans="2:6">
      <c r="B44" s="250" t="s">
        <v>7</v>
      </c>
      <c r="C44" s="250" t="s">
        <v>14</v>
      </c>
      <c r="D44" s="251">
        <v>434</v>
      </c>
      <c r="E44" s="252">
        <v>8.2525194903974142E-2</v>
      </c>
      <c r="F44" s="251">
        <v>3</v>
      </c>
    </row>
    <row r="45" spans="2:6">
      <c r="B45" s="250" t="s">
        <v>131</v>
      </c>
      <c r="C45" s="250"/>
      <c r="D45" s="251">
        <v>5259</v>
      </c>
      <c r="E45" s="252">
        <v>1</v>
      </c>
      <c r="F45" s="251">
        <v>1779</v>
      </c>
    </row>
    <row r="46" spans="2:6">
      <c r="B46" s="250" t="s">
        <v>8</v>
      </c>
      <c r="C46" s="250" t="s">
        <v>533</v>
      </c>
      <c r="D46" s="251">
        <v>8</v>
      </c>
      <c r="E46" s="252">
        <v>2.359882005899705E-2</v>
      </c>
      <c r="F46" s="251">
        <v>7</v>
      </c>
    </row>
    <row r="47" spans="2:6">
      <c r="B47" s="250" t="s">
        <v>8</v>
      </c>
      <c r="C47" s="250" t="s">
        <v>534</v>
      </c>
      <c r="D47" s="251">
        <v>38</v>
      </c>
      <c r="E47" s="252">
        <v>0.11209439528023599</v>
      </c>
      <c r="F47" s="251">
        <v>23</v>
      </c>
    </row>
    <row r="48" spans="2:6">
      <c r="B48" s="250" t="s">
        <v>8</v>
      </c>
      <c r="C48" s="250" t="s">
        <v>535</v>
      </c>
      <c r="D48" s="251">
        <v>4</v>
      </c>
      <c r="E48" s="252">
        <v>1.1799410029498525E-2</v>
      </c>
      <c r="F48" s="251">
        <v>4</v>
      </c>
    </row>
    <row r="49" spans="2:6">
      <c r="B49" s="250" t="s">
        <v>8</v>
      </c>
      <c r="C49" s="250" t="s">
        <v>536</v>
      </c>
      <c r="D49" s="251">
        <v>16</v>
      </c>
      <c r="E49" s="252">
        <v>4.71976401179941E-2</v>
      </c>
      <c r="F49" s="251">
        <v>11</v>
      </c>
    </row>
    <row r="50" spans="2:6">
      <c r="B50" s="250" t="s">
        <v>8</v>
      </c>
      <c r="C50" s="250" t="s">
        <v>537</v>
      </c>
      <c r="D50" s="251">
        <v>11</v>
      </c>
      <c r="E50" s="252">
        <v>3.2448377581120944E-2</v>
      </c>
      <c r="F50" s="251">
        <v>8</v>
      </c>
    </row>
    <row r="51" spans="2:6">
      <c r="B51" s="250" t="s">
        <v>8</v>
      </c>
      <c r="C51" s="250" t="s">
        <v>420</v>
      </c>
      <c r="D51" s="251">
        <v>4</v>
      </c>
      <c r="E51" s="252">
        <v>1.1799410029498525E-2</v>
      </c>
      <c r="F51" s="251">
        <v>2</v>
      </c>
    </row>
    <row r="52" spans="2:6">
      <c r="B52" s="250" t="s">
        <v>8</v>
      </c>
      <c r="C52" s="250" t="s">
        <v>538</v>
      </c>
      <c r="D52" s="251">
        <v>5</v>
      </c>
      <c r="E52" s="252">
        <v>1.4749262536873156E-2</v>
      </c>
      <c r="F52" s="251">
        <v>2</v>
      </c>
    </row>
    <row r="53" spans="2:6">
      <c r="B53" s="250" t="s">
        <v>8</v>
      </c>
      <c r="C53" s="250" t="s">
        <v>539</v>
      </c>
      <c r="D53" s="251">
        <v>3</v>
      </c>
      <c r="E53" s="252">
        <v>8.8495575221238937E-3</v>
      </c>
      <c r="F53" s="251">
        <v>3</v>
      </c>
    </row>
    <row r="54" spans="2:6">
      <c r="B54" s="250" t="s">
        <v>8</v>
      </c>
      <c r="C54" s="250" t="s">
        <v>540</v>
      </c>
      <c r="D54" s="251">
        <v>26</v>
      </c>
      <c r="E54" s="252">
        <v>7.6696165191740412E-2</v>
      </c>
      <c r="F54" s="251">
        <v>19</v>
      </c>
    </row>
    <row r="55" spans="2:6">
      <c r="B55" s="250" t="s">
        <v>8</v>
      </c>
      <c r="C55" s="250" t="s">
        <v>541</v>
      </c>
      <c r="D55" s="251">
        <v>4</v>
      </c>
      <c r="E55" s="252">
        <v>1.1799410029498525E-2</v>
      </c>
      <c r="F55" s="251">
        <v>3</v>
      </c>
    </row>
    <row r="56" spans="2:6">
      <c r="B56" s="250" t="s">
        <v>8</v>
      </c>
      <c r="C56" s="250" t="s">
        <v>542</v>
      </c>
      <c r="D56" s="251">
        <v>2</v>
      </c>
      <c r="E56" s="252">
        <v>5.8997050147492625E-3</v>
      </c>
      <c r="F56" s="251">
        <v>2</v>
      </c>
    </row>
    <row r="57" spans="2:6">
      <c r="B57" s="250" t="s">
        <v>8</v>
      </c>
      <c r="C57" s="250" t="s">
        <v>543</v>
      </c>
      <c r="D57" s="251">
        <v>2</v>
      </c>
      <c r="E57" s="252">
        <v>5.8997050147492625E-3</v>
      </c>
      <c r="F57" s="251">
        <v>1</v>
      </c>
    </row>
    <row r="58" spans="2:6">
      <c r="B58" s="250" t="s">
        <v>8</v>
      </c>
      <c r="C58" s="250" t="s">
        <v>544</v>
      </c>
      <c r="D58" s="251">
        <v>20</v>
      </c>
      <c r="E58" s="252">
        <v>5.8997050147492625E-2</v>
      </c>
      <c r="F58" s="251">
        <v>17</v>
      </c>
    </row>
    <row r="59" spans="2:6">
      <c r="B59" s="250" t="s">
        <v>8</v>
      </c>
      <c r="C59" s="250" t="s">
        <v>545</v>
      </c>
      <c r="D59" s="251">
        <v>3</v>
      </c>
      <c r="E59" s="252">
        <v>8.8495575221238937E-3</v>
      </c>
      <c r="F59" s="251">
        <v>3</v>
      </c>
    </row>
    <row r="60" spans="2:6">
      <c r="B60" s="250" t="s">
        <v>8</v>
      </c>
      <c r="C60" s="250" t="s">
        <v>546</v>
      </c>
      <c r="D60" s="251">
        <v>4</v>
      </c>
      <c r="E60" s="252">
        <v>1.1799410029498525E-2</v>
      </c>
      <c r="F60" s="251">
        <v>4</v>
      </c>
    </row>
    <row r="61" spans="2:6">
      <c r="B61" s="250" t="s">
        <v>8</v>
      </c>
      <c r="C61" s="250" t="s">
        <v>547</v>
      </c>
      <c r="D61" s="251">
        <v>8</v>
      </c>
      <c r="E61" s="252">
        <v>2.359882005899705E-2</v>
      </c>
      <c r="F61" s="251">
        <v>7</v>
      </c>
    </row>
    <row r="62" spans="2:6">
      <c r="B62" s="250" t="s">
        <v>8</v>
      </c>
      <c r="C62" s="250" t="s">
        <v>548</v>
      </c>
      <c r="D62" s="251">
        <v>3</v>
      </c>
      <c r="E62" s="252">
        <v>8.8495575221238937E-3</v>
      </c>
      <c r="F62" s="251">
        <v>3</v>
      </c>
    </row>
    <row r="63" spans="2:6">
      <c r="B63" s="250" t="s">
        <v>8</v>
      </c>
      <c r="C63" s="250" t="s">
        <v>549</v>
      </c>
      <c r="D63" s="251">
        <v>2</v>
      </c>
      <c r="E63" s="252">
        <v>5.8997050147492625E-3</v>
      </c>
      <c r="F63" s="251">
        <v>2</v>
      </c>
    </row>
    <row r="64" spans="2:6">
      <c r="B64" s="250" t="s">
        <v>8</v>
      </c>
      <c r="C64" s="250" t="s">
        <v>550</v>
      </c>
      <c r="D64" s="251">
        <v>59</v>
      </c>
      <c r="E64" s="252">
        <v>0.17404129793510326</v>
      </c>
      <c r="F64" s="251">
        <v>59</v>
      </c>
    </row>
    <row r="65" spans="2:6">
      <c r="B65" s="250" t="s">
        <v>8</v>
      </c>
      <c r="C65" s="250" t="s">
        <v>14</v>
      </c>
      <c r="D65" s="251">
        <v>117</v>
      </c>
      <c r="E65" s="252">
        <v>0.34513274336283184</v>
      </c>
      <c r="F65" s="251">
        <v>2</v>
      </c>
    </row>
    <row r="66" spans="2:6">
      <c r="B66" s="250" t="s">
        <v>132</v>
      </c>
      <c r="C66" s="250"/>
      <c r="D66" s="251">
        <v>339</v>
      </c>
      <c r="E66" s="252">
        <v>1</v>
      </c>
      <c r="F66" s="251">
        <v>169</v>
      </c>
    </row>
    <row r="67" spans="2:6">
      <c r="B67" s="250" t="s">
        <v>9</v>
      </c>
      <c r="C67" s="250" t="s">
        <v>477</v>
      </c>
      <c r="D67" s="251">
        <v>51</v>
      </c>
      <c r="E67" s="252">
        <v>1.403412217941662E-2</v>
      </c>
      <c r="F67" s="251">
        <v>28</v>
      </c>
    </row>
    <row r="68" spans="2:6">
      <c r="B68" s="250" t="s">
        <v>9</v>
      </c>
      <c r="C68" s="250" t="s">
        <v>551</v>
      </c>
      <c r="D68" s="251">
        <v>12</v>
      </c>
      <c r="E68" s="252">
        <v>3.3021463951568518E-3</v>
      </c>
      <c r="F68" s="251">
        <v>9</v>
      </c>
    </row>
    <row r="69" spans="2:6">
      <c r="B69" s="250" t="s">
        <v>9</v>
      </c>
      <c r="C69" s="250" t="s">
        <v>15</v>
      </c>
      <c r="D69" s="251">
        <v>206</v>
      </c>
      <c r="E69" s="252">
        <v>5.6686846450192625E-2</v>
      </c>
      <c r="F69" s="251">
        <v>128</v>
      </c>
    </row>
    <row r="70" spans="2:6">
      <c r="B70" s="250" t="s">
        <v>9</v>
      </c>
      <c r="C70" s="250" t="s">
        <v>478</v>
      </c>
      <c r="D70" s="251">
        <v>546</v>
      </c>
      <c r="E70" s="252">
        <v>0.15024766097963677</v>
      </c>
      <c r="F70" s="251">
        <v>282</v>
      </c>
    </row>
    <row r="71" spans="2:6">
      <c r="B71" s="250" t="s">
        <v>9</v>
      </c>
      <c r="C71" s="250" t="s">
        <v>552</v>
      </c>
      <c r="D71" s="251">
        <v>98</v>
      </c>
      <c r="E71" s="252">
        <v>2.6967528893780957E-2</v>
      </c>
      <c r="F71" s="251">
        <v>61</v>
      </c>
    </row>
    <row r="72" spans="2:6">
      <c r="B72" s="250" t="s">
        <v>9</v>
      </c>
      <c r="C72" s="250" t="s">
        <v>553</v>
      </c>
      <c r="D72" s="251">
        <v>68</v>
      </c>
      <c r="E72" s="252">
        <v>1.8712162905888827E-2</v>
      </c>
      <c r="F72" s="251">
        <v>43</v>
      </c>
    </row>
    <row r="73" spans="2:6">
      <c r="B73" s="250" t="s">
        <v>9</v>
      </c>
      <c r="C73" s="250" t="s">
        <v>253</v>
      </c>
      <c r="D73" s="251">
        <v>449</v>
      </c>
      <c r="E73" s="252">
        <v>0.12355531095211887</v>
      </c>
      <c r="F73" s="251">
        <v>253</v>
      </c>
    </row>
    <row r="74" spans="2:6">
      <c r="B74" s="250" t="s">
        <v>9</v>
      </c>
      <c r="C74" s="250" t="s">
        <v>554</v>
      </c>
      <c r="D74" s="251">
        <v>54</v>
      </c>
      <c r="E74" s="252">
        <v>1.4859658778205834E-2</v>
      </c>
      <c r="F74" s="251">
        <v>32</v>
      </c>
    </row>
    <row r="75" spans="2:6">
      <c r="B75" s="250" t="s">
        <v>9</v>
      </c>
      <c r="C75" s="250" t="s">
        <v>555</v>
      </c>
      <c r="D75" s="251">
        <v>10</v>
      </c>
      <c r="E75" s="252">
        <v>2.7517886626307101E-3</v>
      </c>
      <c r="F75" s="251">
        <v>5</v>
      </c>
    </row>
    <row r="76" spans="2:6">
      <c r="B76" s="250" t="s">
        <v>9</v>
      </c>
      <c r="C76" s="250" t="s">
        <v>479</v>
      </c>
      <c r="D76" s="251">
        <v>101</v>
      </c>
      <c r="E76" s="252">
        <v>2.7793065492570171E-2</v>
      </c>
      <c r="F76" s="251">
        <v>66</v>
      </c>
    </row>
    <row r="77" spans="2:6">
      <c r="B77" s="250" t="s">
        <v>9</v>
      </c>
      <c r="C77" s="250" t="s">
        <v>556</v>
      </c>
      <c r="D77" s="251">
        <v>257</v>
      </c>
      <c r="E77" s="252">
        <v>7.0720968629609249E-2</v>
      </c>
      <c r="F77" s="251">
        <v>168</v>
      </c>
    </row>
    <row r="78" spans="2:6">
      <c r="B78" s="250" t="s">
        <v>9</v>
      </c>
      <c r="C78" s="250" t="s">
        <v>557</v>
      </c>
      <c r="D78" s="251">
        <v>254</v>
      </c>
      <c r="E78" s="252">
        <v>6.9895432030820034E-2</v>
      </c>
      <c r="F78" s="251">
        <v>147</v>
      </c>
    </row>
    <row r="79" spans="2:6">
      <c r="B79" s="250" t="s">
        <v>9</v>
      </c>
      <c r="C79" s="250" t="s">
        <v>558</v>
      </c>
      <c r="D79" s="251">
        <v>106</v>
      </c>
      <c r="E79" s="252">
        <v>2.9168959823885527E-2</v>
      </c>
      <c r="F79" s="251">
        <v>67</v>
      </c>
    </row>
    <row r="80" spans="2:6">
      <c r="B80" s="250" t="s">
        <v>9</v>
      </c>
      <c r="C80" s="250" t="s">
        <v>559</v>
      </c>
      <c r="D80" s="251">
        <v>189</v>
      </c>
      <c r="E80" s="252">
        <v>5.2008805723720415E-2</v>
      </c>
      <c r="F80" s="251">
        <v>127</v>
      </c>
    </row>
    <row r="81" spans="2:6">
      <c r="B81" s="250" t="s">
        <v>9</v>
      </c>
      <c r="C81" s="250" t="s">
        <v>560</v>
      </c>
      <c r="D81" s="251">
        <v>18</v>
      </c>
      <c r="E81" s="252">
        <v>4.9532195927352776E-3</v>
      </c>
      <c r="F81" s="251">
        <v>11</v>
      </c>
    </row>
    <row r="82" spans="2:6">
      <c r="B82" s="250" t="s">
        <v>9</v>
      </c>
      <c r="C82" s="250" t="s">
        <v>561</v>
      </c>
      <c r="D82" s="251">
        <v>106</v>
      </c>
      <c r="E82" s="252">
        <v>2.9168959823885527E-2</v>
      </c>
      <c r="F82" s="251">
        <v>69</v>
      </c>
    </row>
    <row r="83" spans="2:6">
      <c r="B83" s="250" t="s">
        <v>9</v>
      </c>
      <c r="C83" s="250" t="s">
        <v>562</v>
      </c>
      <c r="D83" s="251">
        <v>36</v>
      </c>
      <c r="E83" s="252">
        <v>9.9064391854705551E-3</v>
      </c>
      <c r="F83" s="251">
        <v>20</v>
      </c>
    </row>
    <row r="84" spans="2:6">
      <c r="B84" s="250" t="s">
        <v>9</v>
      </c>
      <c r="C84" s="250" t="s">
        <v>563</v>
      </c>
      <c r="D84" s="251">
        <v>80</v>
      </c>
      <c r="E84" s="252">
        <v>2.2014309301045681E-2</v>
      </c>
      <c r="F84" s="251">
        <v>57</v>
      </c>
    </row>
    <row r="85" spans="2:6">
      <c r="B85" s="250" t="s">
        <v>9</v>
      </c>
      <c r="C85" s="250" t="s">
        <v>564</v>
      </c>
      <c r="D85" s="251">
        <v>43</v>
      </c>
      <c r="E85" s="252">
        <v>1.1832691249312053E-2</v>
      </c>
      <c r="F85" s="251">
        <v>27</v>
      </c>
    </row>
    <row r="86" spans="2:6">
      <c r="B86" s="250" t="s">
        <v>9</v>
      </c>
      <c r="C86" s="250" t="s">
        <v>565</v>
      </c>
      <c r="D86" s="251">
        <v>45</v>
      </c>
      <c r="E86" s="252">
        <v>1.2383048981838195E-2</v>
      </c>
      <c r="F86" s="251">
        <v>29</v>
      </c>
    </row>
    <row r="87" spans="2:6">
      <c r="B87" s="250" t="s">
        <v>9</v>
      </c>
      <c r="C87" s="250" t="s">
        <v>566</v>
      </c>
      <c r="D87" s="251">
        <v>1</v>
      </c>
      <c r="E87" s="252">
        <v>2.7517886626307099E-4</v>
      </c>
      <c r="F87" s="251">
        <v>1</v>
      </c>
    </row>
    <row r="88" spans="2:6">
      <c r="B88" s="250" t="s">
        <v>9</v>
      </c>
      <c r="C88" s="250" t="s">
        <v>567</v>
      </c>
      <c r="D88" s="251">
        <v>30</v>
      </c>
      <c r="E88" s="252">
        <v>8.2553659878921298E-3</v>
      </c>
      <c r="F88" s="251">
        <v>15</v>
      </c>
    </row>
    <row r="89" spans="2:6">
      <c r="B89" s="250" t="s">
        <v>9</v>
      </c>
      <c r="C89" s="250" t="s">
        <v>568</v>
      </c>
      <c r="D89" s="251">
        <v>1</v>
      </c>
      <c r="E89" s="252">
        <v>2.7517886626307099E-4</v>
      </c>
      <c r="F89" s="251">
        <v>1</v>
      </c>
    </row>
    <row r="90" spans="2:6">
      <c r="B90" s="250" t="s">
        <v>9</v>
      </c>
      <c r="C90" s="250" t="s">
        <v>569</v>
      </c>
      <c r="D90" s="251">
        <v>25</v>
      </c>
      <c r="E90" s="252">
        <v>6.8794716565767746E-3</v>
      </c>
      <c r="F90" s="251">
        <v>19</v>
      </c>
    </row>
    <row r="91" spans="2:6">
      <c r="B91" s="250" t="s">
        <v>9</v>
      </c>
      <c r="C91" s="250" t="s">
        <v>570</v>
      </c>
      <c r="D91" s="251">
        <v>2</v>
      </c>
      <c r="E91" s="252">
        <v>5.5035773252614197E-4</v>
      </c>
      <c r="F91" s="251">
        <v>1</v>
      </c>
    </row>
    <row r="92" spans="2:6">
      <c r="B92" s="250" t="s">
        <v>9</v>
      </c>
      <c r="C92" s="250" t="s">
        <v>571</v>
      </c>
      <c r="D92" s="251">
        <v>71</v>
      </c>
      <c r="E92" s="252">
        <v>1.9537699504678041E-2</v>
      </c>
      <c r="F92" s="251">
        <v>48</v>
      </c>
    </row>
    <row r="93" spans="2:6">
      <c r="B93" s="250" t="s">
        <v>9</v>
      </c>
      <c r="C93" s="250" t="s">
        <v>480</v>
      </c>
      <c r="D93" s="251">
        <v>42</v>
      </c>
      <c r="E93" s="252">
        <v>1.1557512383048982E-2</v>
      </c>
      <c r="F93" s="251">
        <v>29</v>
      </c>
    </row>
    <row r="94" spans="2:6">
      <c r="B94" s="250" t="s">
        <v>9</v>
      </c>
      <c r="C94" s="250" t="s">
        <v>572</v>
      </c>
      <c r="D94" s="251">
        <v>16</v>
      </c>
      <c r="E94" s="252">
        <v>4.4028618602091358E-3</v>
      </c>
      <c r="F94" s="251">
        <v>13</v>
      </c>
    </row>
    <row r="95" spans="2:6">
      <c r="B95" s="250" t="s">
        <v>9</v>
      </c>
      <c r="C95" s="250" t="s">
        <v>573</v>
      </c>
      <c r="D95" s="251">
        <v>23</v>
      </c>
      <c r="E95" s="252">
        <v>6.3291139240506328E-3</v>
      </c>
      <c r="F95" s="251">
        <v>18</v>
      </c>
    </row>
    <row r="96" spans="2:6">
      <c r="B96" s="250" t="s">
        <v>9</v>
      </c>
      <c r="C96" s="250" t="s">
        <v>574</v>
      </c>
      <c r="D96" s="251">
        <v>27</v>
      </c>
      <c r="E96" s="252">
        <v>7.4298293891029172E-3</v>
      </c>
      <c r="F96" s="251">
        <v>22</v>
      </c>
    </row>
    <row r="97" spans="2:6">
      <c r="B97" s="250" t="s">
        <v>9</v>
      </c>
      <c r="C97" s="250" t="s">
        <v>481</v>
      </c>
      <c r="D97" s="251">
        <v>394</v>
      </c>
      <c r="E97" s="252">
        <v>0.10842047330764998</v>
      </c>
      <c r="F97" s="251">
        <v>200</v>
      </c>
    </row>
    <row r="98" spans="2:6">
      <c r="B98" s="250" t="s">
        <v>9</v>
      </c>
      <c r="C98" s="250" t="s">
        <v>575</v>
      </c>
      <c r="D98" s="251">
        <v>56</v>
      </c>
      <c r="E98" s="252">
        <v>1.5410016510731976E-2</v>
      </c>
      <c r="F98" s="251">
        <v>31</v>
      </c>
    </row>
    <row r="99" spans="2:6">
      <c r="B99" s="250" t="s">
        <v>9</v>
      </c>
      <c r="C99" s="250" t="s">
        <v>306</v>
      </c>
      <c r="D99" s="251">
        <v>129</v>
      </c>
      <c r="E99" s="252">
        <v>3.5498073747936155E-2</v>
      </c>
      <c r="F99" s="251">
        <v>115</v>
      </c>
    </row>
    <row r="100" spans="2:6">
      <c r="B100" s="250" t="s">
        <v>9</v>
      </c>
      <c r="C100" s="250" t="s">
        <v>14</v>
      </c>
      <c r="D100" s="251">
        <v>88</v>
      </c>
      <c r="E100" s="252">
        <v>2.4215740231150248E-2</v>
      </c>
      <c r="F100" s="251">
        <v>1</v>
      </c>
    </row>
    <row r="101" spans="2:6">
      <c r="B101" s="250" t="s">
        <v>133</v>
      </c>
      <c r="C101" s="250"/>
      <c r="D101" s="251">
        <v>3634</v>
      </c>
      <c r="E101" s="252">
        <v>1</v>
      </c>
      <c r="F101" s="251">
        <v>932</v>
      </c>
    </row>
    <row r="102" spans="2:6">
      <c r="B102" s="250" t="s">
        <v>257</v>
      </c>
      <c r="C102" s="250" t="s">
        <v>576</v>
      </c>
      <c r="D102" s="251">
        <v>3</v>
      </c>
      <c r="E102" s="252">
        <v>5.1724137931034482E-2</v>
      </c>
      <c r="F102" s="251">
        <v>3</v>
      </c>
    </row>
    <row r="103" spans="2:6">
      <c r="B103" s="250" t="s">
        <v>257</v>
      </c>
      <c r="C103" s="250" t="s">
        <v>577</v>
      </c>
      <c r="D103" s="251">
        <v>21</v>
      </c>
      <c r="E103" s="252">
        <v>0.36206896551724138</v>
      </c>
      <c r="F103" s="251">
        <v>17</v>
      </c>
    </row>
    <row r="104" spans="2:6">
      <c r="B104" s="250" t="s">
        <v>257</v>
      </c>
      <c r="C104" s="250" t="s">
        <v>578</v>
      </c>
      <c r="D104" s="251">
        <v>10</v>
      </c>
      <c r="E104" s="252">
        <v>0.17241379310344829</v>
      </c>
      <c r="F104" s="251">
        <v>8</v>
      </c>
    </row>
    <row r="105" spans="2:6">
      <c r="B105" s="250" t="s">
        <v>257</v>
      </c>
      <c r="C105" s="250" t="s">
        <v>579</v>
      </c>
      <c r="D105" s="251">
        <v>11</v>
      </c>
      <c r="E105" s="252">
        <v>0.18965517241379309</v>
      </c>
      <c r="F105" s="251">
        <v>10</v>
      </c>
    </row>
    <row r="106" spans="2:6">
      <c r="B106" s="250" t="s">
        <v>257</v>
      </c>
      <c r="C106" s="250" t="s">
        <v>433</v>
      </c>
      <c r="D106" s="251">
        <v>2</v>
      </c>
      <c r="E106" s="252">
        <v>3.4482758620689655E-2</v>
      </c>
      <c r="F106" s="251">
        <v>2</v>
      </c>
    </row>
    <row r="107" spans="2:6">
      <c r="B107" s="250" t="s">
        <v>257</v>
      </c>
      <c r="C107" s="250" t="s">
        <v>580</v>
      </c>
      <c r="D107" s="251">
        <v>5</v>
      </c>
      <c r="E107" s="252">
        <v>8.6206896551724144E-2</v>
      </c>
      <c r="F107" s="251">
        <v>5</v>
      </c>
    </row>
    <row r="108" spans="2:6">
      <c r="B108" s="250" t="s">
        <v>257</v>
      </c>
      <c r="C108" s="250" t="s">
        <v>581</v>
      </c>
      <c r="D108" s="251">
        <v>2</v>
      </c>
      <c r="E108" s="252">
        <v>3.4482758620689655E-2</v>
      </c>
      <c r="F108" s="251">
        <v>1</v>
      </c>
    </row>
    <row r="109" spans="2:6">
      <c r="B109" s="250" t="s">
        <v>257</v>
      </c>
      <c r="C109" s="250" t="s">
        <v>582</v>
      </c>
      <c r="D109" s="251">
        <v>3</v>
      </c>
      <c r="E109" s="252">
        <v>5.1724137931034482E-2</v>
      </c>
      <c r="F109" s="251">
        <v>2</v>
      </c>
    </row>
    <row r="110" spans="2:6">
      <c r="B110" s="250" t="s">
        <v>257</v>
      </c>
      <c r="C110" s="250" t="s">
        <v>583</v>
      </c>
      <c r="D110" s="251">
        <v>1</v>
      </c>
      <c r="E110" s="252">
        <v>1.7241379310344827E-2</v>
      </c>
      <c r="F110" s="251">
        <v>1</v>
      </c>
    </row>
    <row r="111" spans="2:6">
      <c r="B111" s="250" t="s">
        <v>403</v>
      </c>
      <c r="C111" s="250"/>
      <c r="D111" s="251">
        <v>58</v>
      </c>
      <c r="E111" s="252">
        <v>1</v>
      </c>
      <c r="F111" s="251">
        <v>44</v>
      </c>
    </row>
    <row r="112" spans="2:6">
      <c r="B112" s="250" t="s">
        <v>259</v>
      </c>
      <c r="C112" s="250" t="s">
        <v>584</v>
      </c>
      <c r="D112" s="251">
        <v>1</v>
      </c>
      <c r="E112" s="252">
        <v>2.3809523809523808E-2</v>
      </c>
      <c r="F112" s="251">
        <v>1</v>
      </c>
    </row>
    <row r="113" spans="2:6">
      <c r="B113" s="250" t="s">
        <v>259</v>
      </c>
      <c r="C113" s="250" t="s">
        <v>585</v>
      </c>
      <c r="D113" s="251">
        <v>8</v>
      </c>
      <c r="E113" s="252">
        <v>0.19047619047619047</v>
      </c>
      <c r="F113" s="251">
        <v>8</v>
      </c>
    </row>
    <row r="114" spans="2:6">
      <c r="B114" s="250" t="s">
        <v>259</v>
      </c>
      <c r="C114" s="250" t="s">
        <v>586</v>
      </c>
      <c r="D114" s="251">
        <v>5</v>
      </c>
      <c r="E114" s="252">
        <v>0.11904761904761904</v>
      </c>
      <c r="F114" s="251">
        <v>5</v>
      </c>
    </row>
    <row r="115" spans="2:6">
      <c r="B115" s="250" t="s">
        <v>259</v>
      </c>
      <c r="C115" s="250" t="s">
        <v>463</v>
      </c>
      <c r="D115" s="251">
        <v>11</v>
      </c>
      <c r="E115" s="252">
        <v>0.26190476190476192</v>
      </c>
      <c r="F115" s="251">
        <v>10</v>
      </c>
    </row>
    <row r="116" spans="2:6">
      <c r="B116" s="250" t="s">
        <v>259</v>
      </c>
      <c r="C116" s="250" t="s">
        <v>260</v>
      </c>
      <c r="D116" s="251">
        <v>6</v>
      </c>
      <c r="E116" s="252">
        <v>0.14285714285714285</v>
      </c>
      <c r="F116" s="251">
        <v>5</v>
      </c>
    </row>
    <row r="117" spans="2:6">
      <c r="B117" s="250" t="s">
        <v>259</v>
      </c>
      <c r="C117" s="250" t="s">
        <v>421</v>
      </c>
      <c r="D117" s="251">
        <v>4</v>
      </c>
      <c r="E117" s="252">
        <v>9.5238095238095233E-2</v>
      </c>
      <c r="F117" s="251">
        <v>4</v>
      </c>
    </row>
    <row r="118" spans="2:6">
      <c r="B118" s="250" t="s">
        <v>259</v>
      </c>
      <c r="C118" s="250" t="s">
        <v>14</v>
      </c>
      <c r="D118" s="251">
        <v>7</v>
      </c>
      <c r="E118" s="252">
        <v>0.16666666666666666</v>
      </c>
      <c r="F118" s="251">
        <v>1</v>
      </c>
    </row>
    <row r="119" spans="2:6">
      <c r="B119" s="250" t="s">
        <v>261</v>
      </c>
      <c r="C119" s="250"/>
      <c r="D119" s="251">
        <v>42</v>
      </c>
      <c r="E119" s="252">
        <v>1</v>
      </c>
      <c r="F119" s="251">
        <v>31</v>
      </c>
    </row>
    <row r="120" spans="2:6">
      <c r="B120" s="250" t="s">
        <v>10</v>
      </c>
      <c r="C120" s="250" t="s">
        <v>587</v>
      </c>
      <c r="D120" s="251">
        <v>40</v>
      </c>
      <c r="E120" s="252">
        <v>4.2194092827004218E-2</v>
      </c>
      <c r="F120" s="251">
        <v>33</v>
      </c>
    </row>
    <row r="121" spans="2:6">
      <c r="B121" s="250" t="s">
        <v>10</v>
      </c>
      <c r="C121" s="250" t="s">
        <v>588</v>
      </c>
      <c r="D121" s="251">
        <v>9</v>
      </c>
      <c r="E121" s="252">
        <v>9.4936708860759497E-3</v>
      </c>
      <c r="F121" s="251">
        <v>9</v>
      </c>
    </row>
    <row r="122" spans="2:6">
      <c r="B122" s="250" t="s">
        <v>10</v>
      </c>
      <c r="C122" s="250" t="s">
        <v>589</v>
      </c>
      <c r="D122" s="251">
        <v>93</v>
      </c>
      <c r="E122" s="252">
        <v>9.8101265822784806E-2</v>
      </c>
      <c r="F122" s="251">
        <v>83</v>
      </c>
    </row>
    <row r="123" spans="2:6">
      <c r="B123" s="250" t="s">
        <v>10</v>
      </c>
      <c r="C123" s="250" t="s">
        <v>590</v>
      </c>
      <c r="D123" s="251">
        <v>211</v>
      </c>
      <c r="E123" s="252">
        <v>0.22257383966244726</v>
      </c>
      <c r="F123" s="251">
        <v>164</v>
      </c>
    </row>
    <row r="124" spans="2:6">
      <c r="B124" s="250" t="s">
        <v>10</v>
      </c>
      <c r="C124" s="250" t="s">
        <v>591</v>
      </c>
      <c r="D124" s="251">
        <v>38</v>
      </c>
      <c r="E124" s="252">
        <v>4.0084388185654012E-2</v>
      </c>
      <c r="F124" s="251">
        <v>30</v>
      </c>
    </row>
    <row r="125" spans="2:6">
      <c r="B125" s="250" t="s">
        <v>10</v>
      </c>
      <c r="C125" s="250" t="s">
        <v>592</v>
      </c>
      <c r="D125" s="251">
        <v>121</v>
      </c>
      <c r="E125" s="252">
        <v>0.12763713080168776</v>
      </c>
      <c r="F125" s="251">
        <v>105</v>
      </c>
    </row>
    <row r="126" spans="2:6">
      <c r="B126" s="250" t="s">
        <v>10</v>
      </c>
      <c r="C126" s="250" t="s">
        <v>593</v>
      </c>
      <c r="D126" s="251">
        <v>30</v>
      </c>
      <c r="E126" s="252">
        <v>3.1645569620253167E-2</v>
      </c>
      <c r="F126" s="251">
        <v>25</v>
      </c>
    </row>
    <row r="127" spans="2:6">
      <c r="B127" s="250" t="s">
        <v>10</v>
      </c>
      <c r="C127" s="250" t="s">
        <v>307</v>
      </c>
      <c r="D127" s="251">
        <v>126</v>
      </c>
      <c r="E127" s="252">
        <v>0.13291139240506328</v>
      </c>
      <c r="F127" s="251">
        <v>101</v>
      </c>
    </row>
    <row r="128" spans="2:6">
      <c r="B128" s="250" t="s">
        <v>10</v>
      </c>
      <c r="C128" s="250" t="s">
        <v>594</v>
      </c>
      <c r="D128" s="251">
        <v>63</v>
      </c>
      <c r="E128" s="252">
        <v>6.6455696202531639E-2</v>
      </c>
      <c r="F128" s="251">
        <v>49</v>
      </c>
    </row>
    <row r="129" spans="2:6">
      <c r="B129" s="250" t="s">
        <v>10</v>
      </c>
      <c r="C129" s="250" t="s">
        <v>595</v>
      </c>
      <c r="D129" s="251">
        <v>21</v>
      </c>
      <c r="E129" s="252">
        <v>2.2151898734177215E-2</v>
      </c>
      <c r="F129" s="251">
        <v>18</v>
      </c>
    </row>
    <row r="130" spans="2:6">
      <c r="B130" s="250" t="s">
        <v>10</v>
      </c>
      <c r="C130" s="250" t="s">
        <v>596</v>
      </c>
      <c r="D130" s="251">
        <v>5</v>
      </c>
      <c r="E130" s="252">
        <v>5.2742616033755272E-3</v>
      </c>
      <c r="F130" s="251">
        <v>5</v>
      </c>
    </row>
    <row r="131" spans="2:6">
      <c r="B131" s="250" t="s">
        <v>10</v>
      </c>
      <c r="C131" s="250" t="s">
        <v>306</v>
      </c>
      <c r="D131" s="251">
        <v>30</v>
      </c>
      <c r="E131" s="252">
        <v>3.1645569620253167E-2</v>
      </c>
      <c r="F131" s="251">
        <v>29</v>
      </c>
    </row>
    <row r="132" spans="2:6">
      <c r="B132" s="250" t="s">
        <v>10</v>
      </c>
      <c r="C132" s="250" t="s">
        <v>14</v>
      </c>
      <c r="D132" s="251">
        <v>161</v>
      </c>
      <c r="E132" s="252">
        <v>0.16983122362869199</v>
      </c>
      <c r="F132" s="251">
        <v>1</v>
      </c>
    </row>
    <row r="133" spans="2:6">
      <c r="B133" s="250" t="s">
        <v>262</v>
      </c>
      <c r="C133" s="250"/>
      <c r="D133" s="251">
        <v>948</v>
      </c>
      <c r="E133" s="252">
        <v>1</v>
      </c>
      <c r="F133" s="251">
        <v>481</v>
      </c>
    </row>
    <row r="134" spans="2:6">
      <c r="B134" s="250" t="s">
        <v>597</v>
      </c>
      <c r="C134" s="250" t="s">
        <v>598</v>
      </c>
      <c r="D134" s="251">
        <v>18</v>
      </c>
      <c r="E134" s="252">
        <v>4.4554455445544552E-2</v>
      </c>
      <c r="F134" s="251">
        <v>15</v>
      </c>
    </row>
    <row r="135" spans="2:6">
      <c r="B135" s="250" t="s">
        <v>597</v>
      </c>
      <c r="C135" s="250" t="s">
        <v>599</v>
      </c>
      <c r="D135" s="251">
        <v>2</v>
      </c>
      <c r="E135" s="252">
        <v>4.9504950495049506E-3</v>
      </c>
      <c r="F135" s="251">
        <v>2</v>
      </c>
    </row>
    <row r="136" spans="2:6">
      <c r="B136" s="250" t="s">
        <v>597</v>
      </c>
      <c r="C136" s="250" t="s">
        <v>600</v>
      </c>
      <c r="D136" s="251">
        <v>10</v>
      </c>
      <c r="E136" s="252">
        <v>2.4752475247524754E-2</v>
      </c>
      <c r="F136" s="251">
        <v>10</v>
      </c>
    </row>
    <row r="137" spans="2:6">
      <c r="B137" s="250" t="s">
        <v>597</v>
      </c>
      <c r="C137" s="250" t="s">
        <v>601</v>
      </c>
      <c r="D137" s="251">
        <v>3</v>
      </c>
      <c r="E137" s="252">
        <v>7.4257425742574254E-3</v>
      </c>
      <c r="F137" s="251">
        <v>3</v>
      </c>
    </row>
    <row r="138" spans="2:6">
      <c r="B138" s="250" t="s">
        <v>597</v>
      </c>
      <c r="C138" s="250" t="s">
        <v>602</v>
      </c>
      <c r="D138" s="251">
        <v>17</v>
      </c>
      <c r="E138" s="252">
        <v>4.2079207920792082E-2</v>
      </c>
      <c r="F138" s="251">
        <v>10</v>
      </c>
    </row>
    <row r="139" spans="2:6">
      <c r="B139" s="250" t="s">
        <v>597</v>
      </c>
      <c r="C139" s="250" t="s">
        <v>603</v>
      </c>
      <c r="D139" s="251">
        <v>4</v>
      </c>
      <c r="E139" s="252">
        <v>9.9009900990099011E-3</v>
      </c>
      <c r="F139" s="251">
        <v>2</v>
      </c>
    </row>
    <row r="140" spans="2:6">
      <c r="B140" s="250" t="s">
        <v>597</v>
      </c>
      <c r="C140" s="250" t="s">
        <v>604</v>
      </c>
      <c r="D140" s="251">
        <v>4</v>
      </c>
      <c r="E140" s="252">
        <v>9.9009900990099011E-3</v>
      </c>
      <c r="F140" s="251">
        <v>4</v>
      </c>
    </row>
    <row r="141" spans="2:6">
      <c r="B141" s="250" t="s">
        <v>597</v>
      </c>
      <c r="C141" s="250" t="s">
        <v>605</v>
      </c>
      <c r="D141" s="251">
        <v>6</v>
      </c>
      <c r="E141" s="252">
        <v>1.4851485148514851E-2</v>
      </c>
      <c r="F141" s="251">
        <v>3</v>
      </c>
    </row>
    <row r="142" spans="2:6">
      <c r="B142" s="250" t="s">
        <v>597</v>
      </c>
      <c r="C142" s="250" t="s">
        <v>606</v>
      </c>
      <c r="D142" s="251">
        <v>3</v>
      </c>
      <c r="E142" s="252">
        <v>7.4257425742574254E-3</v>
      </c>
      <c r="F142" s="251">
        <v>3</v>
      </c>
    </row>
    <row r="143" spans="2:6">
      <c r="B143" s="250" t="s">
        <v>597</v>
      </c>
      <c r="C143" s="250" t="s">
        <v>607</v>
      </c>
      <c r="D143" s="251">
        <v>6</v>
      </c>
      <c r="E143" s="252">
        <v>1.4851485148514851E-2</v>
      </c>
      <c r="F143" s="251">
        <v>5</v>
      </c>
    </row>
    <row r="144" spans="2:6">
      <c r="B144" s="250" t="s">
        <v>597</v>
      </c>
      <c r="C144" s="250" t="s">
        <v>608</v>
      </c>
      <c r="D144" s="251">
        <v>18</v>
      </c>
      <c r="E144" s="252">
        <v>4.4554455445544552E-2</v>
      </c>
      <c r="F144" s="251">
        <v>16</v>
      </c>
    </row>
    <row r="145" spans="2:6">
      <c r="B145" s="250" t="s">
        <v>597</v>
      </c>
      <c r="C145" s="250" t="s">
        <v>609</v>
      </c>
      <c r="D145" s="251">
        <v>1</v>
      </c>
      <c r="E145" s="252">
        <v>2.4752475247524753E-3</v>
      </c>
      <c r="F145" s="251">
        <v>1</v>
      </c>
    </row>
    <row r="146" spans="2:6">
      <c r="B146" s="250" t="s">
        <v>597</v>
      </c>
      <c r="C146" s="250" t="s">
        <v>610</v>
      </c>
      <c r="D146" s="251">
        <v>266</v>
      </c>
      <c r="E146" s="252">
        <v>0.65841584158415845</v>
      </c>
      <c r="F146" s="251">
        <v>190</v>
      </c>
    </row>
    <row r="147" spans="2:6">
      <c r="B147" s="250" t="s">
        <v>597</v>
      </c>
      <c r="C147" s="250" t="s">
        <v>611</v>
      </c>
      <c r="D147" s="251">
        <v>4</v>
      </c>
      <c r="E147" s="252">
        <v>9.9009900990099011E-3</v>
      </c>
      <c r="F147" s="251">
        <v>3</v>
      </c>
    </row>
    <row r="148" spans="2:6">
      <c r="B148" s="250" t="s">
        <v>597</v>
      </c>
      <c r="C148" s="250" t="s">
        <v>612</v>
      </c>
      <c r="D148" s="251">
        <v>2</v>
      </c>
      <c r="E148" s="252">
        <v>4.9504950495049506E-3</v>
      </c>
      <c r="F148" s="251">
        <v>2</v>
      </c>
    </row>
    <row r="149" spans="2:6">
      <c r="B149" s="250" t="s">
        <v>597</v>
      </c>
      <c r="C149" s="250" t="s">
        <v>613</v>
      </c>
      <c r="D149" s="251">
        <v>12</v>
      </c>
      <c r="E149" s="252">
        <v>2.9702970297029702E-2</v>
      </c>
      <c r="F149" s="251">
        <v>12</v>
      </c>
    </row>
    <row r="150" spans="2:6">
      <c r="B150" s="250" t="s">
        <v>597</v>
      </c>
      <c r="C150" s="250" t="s">
        <v>14</v>
      </c>
      <c r="D150" s="251">
        <v>28</v>
      </c>
      <c r="E150" s="252">
        <v>6.9306930693069313E-2</v>
      </c>
      <c r="F150" s="251">
        <v>1</v>
      </c>
    </row>
    <row r="151" spans="2:6">
      <c r="B151" s="250" t="s">
        <v>614</v>
      </c>
      <c r="C151" s="250"/>
      <c r="D151" s="251">
        <v>404</v>
      </c>
      <c r="E151" s="252">
        <v>1</v>
      </c>
      <c r="F151" s="251">
        <v>268</v>
      </c>
    </row>
    <row r="152" spans="2:6">
      <c r="B152" s="250" t="s">
        <v>615</v>
      </c>
      <c r="C152" s="250" t="s">
        <v>616</v>
      </c>
      <c r="D152" s="251">
        <v>8</v>
      </c>
      <c r="E152" s="252">
        <v>3.9603960396039604E-2</v>
      </c>
      <c r="F152" s="251">
        <v>6</v>
      </c>
    </row>
    <row r="153" spans="2:6">
      <c r="B153" s="250" t="s">
        <v>615</v>
      </c>
      <c r="C153" s="250" t="s">
        <v>617</v>
      </c>
      <c r="D153" s="251">
        <v>5</v>
      </c>
      <c r="E153" s="252">
        <v>2.4752475247524754E-2</v>
      </c>
      <c r="F153" s="251">
        <v>3</v>
      </c>
    </row>
    <row r="154" spans="2:6">
      <c r="B154" s="250" t="s">
        <v>615</v>
      </c>
      <c r="C154" s="250" t="s">
        <v>618</v>
      </c>
      <c r="D154" s="251">
        <v>15</v>
      </c>
      <c r="E154" s="252">
        <v>7.4257425742574254E-2</v>
      </c>
      <c r="F154" s="251">
        <v>14</v>
      </c>
    </row>
    <row r="155" spans="2:6">
      <c r="B155" s="250" t="s">
        <v>615</v>
      </c>
      <c r="C155" s="250" t="s">
        <v>619</v>
      </c>
      <c r="D155" s="251">
        <v>11</v>
      </c>
      <c r="E155" s="252">
        <v>5.4455445544554455E-2</v>
      </c>
      <c r="F155" s="251">
        <v>10</v>
      </c>
    </row>
    <row r="156" spans="2:6">
      <c r="B156" s="250" t="s">
        <v>615</v>
      </c>
      <c r="C156" s="250" t="s">
        <v>620</v>
      </c>
      <c r="D156" s="251">
        <v>24</v>
      </c>
      <c r="E156" s="252">
        <v>0.11881188118811881</v>
      </c>
      <c r="F156" s="251">
        <v>18</v>
      </c>
    </row>
    <row r="157" spans="2:6">
      <c r="B157" s="250" t="s">
        <v>615</v>
      </c>
      <c r="C157" s="250" t="s">
        <v>621</v>
      </c>
      <c r="D157" s="251">
        <v>41</v>
      </c>
      <c r="E157" s="252">
        <v>0.20297029702970298</v>
      </c>
      <c r="F157" s="251">
        <v>35</v>
      </c>
    </row>
    <row r="158" spans="2:6">
      <c r="B158" s="250" t="s">
        <v>615</v>
      </c>
      <c r="C158" s="250" t="s">
        <v>622</v>
      </c>
      <c r="D158" s="251">
        <v>6</v>
      </c>
      <c r="E158" s="252">
        <v>2.9702970297029702E-2</v>
      </c>
      <c r="F158" s="251">
        <v>6</v>
      </c>
    </row>
    <row r="159" spans="2:6">
      <c r="B159" s="250" t="s">
        <v>615</v>
      </c>
      <c r="C159" s="250" t="s">
        <v>623</v>
      </c>
      <c r="D159" s="251">
        <v>26</v>
      </c>
      <c r="E159" s="252">
        <v>0.12871287128712872</v>
      </c>
      <c r="F159" s="251">
        <v>22</v>
      </c>
    </row>
    <row r="160" spans="2:6">
      <c r="B160" s="250" t="s">
        <v>615</v>
      </c>
      <c r="C160" s="250" t="s">
        <v>624</v>
      </c>
      <c r="D160" s="251">
        <v>1</v>
      </c>
      <c r="E160" s="252">
        <v>4.9504950495049506E-3</v>
      </c>
      <c r="F160" s="251">
        <v>1</v>
      </c>
    </row>
    <row r="161" spans="2:6">
      <c r="B161" s="250" t="s">
        <v>615</v>
      </c>
      <c r="C161" s="250" t="s">
        <v>625</v>
      </c>
      <c r="D161" s="251">
        <v>1</v>
      </c>
      <c r="E161" s="252">
        <v>4.9504950495049506E-3</v>
      </c>
      <c r="F161" s="251">
        <v>1</v>
      </c>
    </row>
    <row r="162" spans="2:6">
      <c r="B162" s="250" t="s">
        <v>615</v>
      </c>
      <c r="C162" s="250" t="s">
        <v>626</v>
      </c>
      <c r="D162" s="251">
        <v>9</v>
      </c>
      <c r="E162" s="252">
        <v>4.4554455445544552E-2</v>
      </c>
      <c r="F162" s="251">
        <v>9</v>
      </c>
    </row>
    <row r="163" spans="2:6">
      <c r="B163" s="250" t="s">
        <v>615</v>
      </c>
      <c r="C163" s="250" t="s">
        <v>627</v>
      </c>
      <c r="D163" s="251">
        <v>1</v>
      </c>
      <c r="E163" s="252">
        <v>4.9504950495049506E-3</v>
      </c>
      <c r="F163" s="251">
        <v>1</v>
      </c>
    </row>
    <row r="164" spans="2:6">
      <c r="B164" s="250" t="s">
        <v>615</v>
      </c>
      <c r="C164" s="250" t="s">
        <v>628</v>
      </c>
      <c r="D164" s="251">
        <v>5</v>
      </c>
      <c r="E164" s="252">
        <v>2.4752475247524754E-2</v>
      </c>
      <c r="F164" s="251">
        <v>3</v>
      </c>
    </row>
    <row r="165" spans="2:6">
      <c r="B165" s="250" t="s">
        <v>615</v>
      </c>
      <c r="C165" s="250" t="s">
        <v>629</v>
      </c>
      <c r="D165" s="251">
        <v>25</v>
      </c>
      <c r="E165" s="252">
        <v>0.12376237623762376</v>
      </c>
      <c r="F165" s="251">
        <v>24</v>
      </c>
    </row>
    <row r="166" spans="2:6">
      <c r="B166" s="250" t="s">
        <v>615</v>
      </c>
      <c r="C166" s="250" t="s">
        <v>14</v>
      </c>
      <c r="D166" s="251">
        <v>24</v>
      </c>
      <c r="E166" s="252">
        <v>0.11881188118811881</v>
      </c>
      <c r="F166" s="251">
        <v>1</v>
      </c>
    </row>
    <row r="167" spans="2:6">
      <c r="B167" s="250" t="s">
        <v>630</v>
      </c>
      <c r="C167" s="250"/>
      <c r="D167" s="251">
        <v>202</v>
      </c>
      <c r="E167" s="252">
        <v>1</v>
      </c>
      <c r="F167" s="251">
        <v>137</v>
      </c>
    </row>
    <row r="168" spans="2:6">
      <c r="B168" s="250" t="s">
        <v>11</v>
      </c>
      <c r="C168" s="250" t="s">
        <v>631</v>
      </c>
      <c r="D168" s="251">
        <v>40</v>
      </c>
      <c r="E168" s="252">
        <v>4.405286343612335E-2</v>
      </c>
      <c r="F168" s="251">
        <v>34</v>
      </c>
    </row>
    <row r="169" spans="2:6">
      <c r="B169" s="250" t="s">
        <v>11</v>
      </c>
      <c r="C169" s="250" t="s">
        <v>632</v>
      </c>
      <c r="D169" s="251">
        <v>68</v>
      </c>
      <c r="E169" s="252">
        <v>7.4889867841409691E-2</v>
      </c>
      <c r="F169" s="251">
        <v>63</v>
      </c>
    </row>
    <row r="170" spans="2:6">
      <c r="B170" s="250" t="s">
        <v>11</v>
      </c>
      <c r="C170" s="250" t="s">
        <v>633</v>
      </c>
      <c r="D170" s="251">
        <v>25</v>
      </c>
      <c r="E170" s="252">
        <v>2.7533039647577091E-2</v>
      </c>
      <c r="F170" s="251">
        <v>23</v>
      </c>
    </row>
    <row r="171" spans="2:6">
      <c r="B171" s="250" t="s">
        <v>11</v>
      </c>
      <c r="C171" s="250" t="s">
        <v>634</v>
      </c>
      <c r="D171" s="251">
        <v>73</v>
      </c>
      <c r="E171" s="252">
        <v>8.039647577092511E-2</v>
      </c>
      <c r="F171" s="251">
        <v>59</v>
      </c>
    </row>
    <row r="172" spans="2:6">
      <c r="B172" s="250" t="s">
        <v>11</v>
      </c>
      <c r="C172" s="250" t="s">
        <v>635</v>
      </c>
      <c r="D172" s="251">
        <v>191</v>
      </c>
      <c r="E172" s="252">
        <v>0.21035242290748898</v>
      </c>
      <c r="F172" s="251">
        <v>159</v>
      </c>
    </row>
    <row r="173" spans="2:6">
      <c r="B173" s="250" t="s">
        <v>11</v>
      </c>
      <c r="C173" s="250" t="s">
        <v>636</v>
      </c>
      <c r="D173" s="251">
        <v>41</v>
      </c>
      <c r="E173" s="252">
        <v>4.5154185022026429E-2</v>
      </c>
      <c r="F173" s="251">
        <v>34</v>
      </c>
    </row>
    <row r="174" spans="2:6">
      <c r="B174" s="250" t="s">
        <v>11</v>
      </c>
      <c r="C174" s="250" t="s">
        <v>637</v>
      </c>
      <c r="D174" s="251">
        <v>176</v>
      </c>
      <c r="E174" s="252">
        <v>0.19383259911894274</v>
      </c>
      <c r="F174" s="251">
        <v>119</v>
      </c>
    </row>
    <row r="175" spans="2:6">
      <c r="B175" s="250" t="s">
        <v>11</v>
      </c>
      <c r="C175" s="250" t="s">
        <v>638</v>
      </c>
      <c r="D175" s="251">
        <v>32</v>
      </c>
      <c r="E175" s="252">
        <v>3.5242290748898682E-2</v>
      </c>
      <c r="F175" s="251">
        <v>32</v>
      </c>
    </row>
    <row r="176" spans="2:6">
      <c r="B176" s="250" t="s">
        <v>11</v>
      </c>
      <c r="C176" s="250" t="s">
        <v>639</v>
      </c>
      <c r="D176" s="251">
        <v>30</v>
      </c>
      <c r="E176" s="252">
        <v>3.3039647577092511E-2</v>
      </c>
      <c r="F176" s="251">
        <v>30</v>
      </c>
    </row>
    <row r="177" spans="2:6">
      <c r="B177" s="250" t="s">
        <v>11</v>
      </c>
      <c r="C177" s="250" t="s">
        <v>640</v>
      </c>
      <c r="D177" s="251">
        <v>40</v>
      </c>
      <c r="E177" s="252">
        <v>4.405286343612335E-2</v>
      </c>
      <c r="F177" s="251">
        <v>39</v>
      </c>
    </row>
    <row r="178" spans="2:6">
      <c r="B178" s="250" t="s">
        <v>11</v>
      </c>
      <c r="C178" s="250" t="s">
        <v>14</v>
      </c>
      <c r="D178" s="251">
        <v>192</v>
      </c>
      <c r="E178" s="252">
        <v>0.21145374449339208</v>
      </c>
      <c r="F178" s="251">
        <v>1</v>
      </c>
    </row>
    <row r="179" spans="2:6">
      <c r="B179" s="250" t="s">
        <v>134</v>
      </c>
      <c r="C179" s="250"/>
      <c r="D179" s="251">
        <v>908</v>
      </c>
      <c r="E179" s="252">
        <v>1</v>
      </c>
      <c r="F179" s="251">
        <v>494</v>
      </c>
    </row>
    <row r="180" spans="2:6">
      <c r="B180" s="250" t="s">
        <v>12</v>
      </c>
      <c r="C180" s="250" t="s">
        <v>641</v>
      </c>
      <c r="D180" s="251">
        <v>9</v>
      </c>
      <c r="E180" s="252">
        <v>3.0100334448160536E-2</v>
      </c>
      <c r="F180" s="251">
        <v>6</v>
      </c>
    </row>
    <row r="181" spans="2:6">
      <c r="B181" s="250" t="s">
        <v>12</v>
      </c>
      <c r="C181" s="250" t="s">
        <v>642</v>
      </c>
      <c r="D181" s="251">
        <v>81</v>
      </c>
      <c r="E181" s="252">
        <v>0.2709030100334448</v>
      </c>
      <c r="F181" s="251">
        <v>57</v>
      </c>
    </row>
    <row r="182" spans="2:6">
      <c r="B182" s="250" t="s">
        <v>12</v>
      </c>
      <c r="C182" s="250" t="s">
        <v>643</v>
      </c>
      <c r="D182" s="251">
        <v>8</v>
      </c>
      <c r="E182" s="252">
        <v>2.6755852842809364E-2</v>
      </c>
      <c r="F182" s="251">
        <v>6</v>
      </c>
    </row>
    <row r="183" spans="2:6">
      <c r="B183" s="250" t="s">
        <v>12</v>
      </c>
      <c r="C183" s="250" t="s">
        <v>644</v>
      </c>
      <c r="D183" s="251">
        <v>20</v>
      </c>
      <c r="E183" s="252">
        <v>6.6889632107023408E-2</v>
      </c>
      <c r="F183" s="251">
        <v>17</v>
      </c>
    </row>
    <row r="184" spans="2:6">
      <c r="B184" s="250" t="s">
        <v>12</v>
      </c>
      <c r="C184" s="250" t="s">
        <v>645</v>
      </c>
      <c r="D184" s="251">
        <v>6</v>
      </c>
      <c r="E184" s="252">
        <v>2.0066889632107024E-2</v>
      </c>
      <c r="F184" s="251">
        <v>5</v>
      </c>
    </row>
    <row r="185" spans="2:6">
      <c r="B185" s="250" t="s">
        <v>12</v>
      </c>
      <c r="C185" s="250" t="s">
        <v>646</v>
      </c>
      <c r="D185" s="251">
        <v>102</v>
      </c>
      <c r="E185" s="252">
        <v>0.34113712374581939</v>
      </c>
      <c r="F185" s="251">
        <v>63</v>
      </c>
    </row>
    <row r="186" spans="2:6">
      <c r="B186" s="250" t="s">
        <v>12</v>
      </c>
      <c r="C186" s="250" t="s">
        <v>647</v>
      </c>
      <c r="D186" s="251">
        <v>3</v>
      </c>
      <c r="E186" s="252">
        <v>1.0033444816053512E-2</v>
      </c>
      <c r="F186" s="251">
        <v>1</v>
      </c>
    </row>
    <row r="187" spans="2:6">
      <c r="B187" s="250" t="s">
        <v>12</v>
      </c>
      <c r="C187" s="250" t="s">
        <v>648</v>
      </c>
      <c r="D187" s="251">
        <v>15</v>
      </c>
      <c r="E187" s="252">
        <v>5.016722408026756E-2</v>
      </c>
      <c r="F187" s="251">
        <v>15</v>
      </c>
    </row>
    <row r="188" spans="2:6">
      <c r="B188" s="250" t="s">
        <v>12</v>
      </c>
      <c r="C188" s="250" t="s">
        <v>14</v>
      </c>
      <c r="D188" s="251">
        <v>55</v>
      </c>
      <c r="E188" s="252">
        <v>0.18394648829431437</v>
      </c>
      <c r="F188" s="251">
        <v>1</v>
      </c>
    </row>
    <row r="189" spans="2:6">
      <c r="B189" s="250" t="s">
        <v>135</v>
      </c>
      <c r="C189" s="250"/>
      <c r="D189" s="251">
        <v>299</v>
      </c>
      <c r="E189" s="252">
        <v>1</v>
      </c>
      <c r="F189" s="251">
        <v>143</v>
      </c>
    </row>
    <row r="190" spans="2:6">
      <c r="B190" s="250" t="s">
        <v>308</v>
      </c>
      <c r="C190" s="250" t="s">
        <v>649</v>
      </c>
      <c r="D190" s="251">
        <v>23</v>
      </c>
      <c r="E190" s="252">
        <v>4.2750929368029739E-2</v>
      </c>
      <c r="F190" s="251">
        <v>20</v>
      </c>
    </row>
    <row r="191" spans="2:6">
      <c r="B191" s="250" t="s">
        <v>308</v>
      </c>
      <c r="C191" s="250" t="s">
        <v>650</v>
      </c>
      <c r="D191" s="251">
        <v>77</v>
      </c>
      <c r="E191" s="252">
        <v>0.14312267657992564</v>
      </c>
      <c r="F191" s="251">
        <v>69</v>
      </c>
    </row>
    <row r="192" spans="2:6">
      <c r="B192" s="250" t="s">
        <v>308</v>
      </c>
      <c r="C192" s="250" t="s">
        <v>651</v>
      </c>
      <c r="D192" s="251">
        <v>18</v>
      </c>
      <c r="E192" s="252">
        <v>3.3457249070631967E-2</v>
      </c>
      <c r="F192" s="251">
        <v>17</v>
      </c>
    </row>
    <row r="193" spans="2:6">
      <c r="B193" s="250" t="s">
        <v>308</v>
      </c>
      <c r="C193" s="250" t="s">
        <v>652</v>
      </c>
      <c r="D193" s="251">
        <v>46</v>
      </c>
      <c r="E193" s="252">
        <v>8.5501858736059477E-2</v>
      </c>
      <c r="F193" s="251">
        <v>45</v>
      </c>
    </row>
    <row r="194" spans="2:6">
      <c r="B194" s="250" t="s">
        <v>308</v>
      </c>
      <c r="C194" s="250" t="s">
        <v>653</v>
      </c>
      <c r="D194" s="251">
        <v>8</v>
      </c>
      <c r="E194" s="252">
        <v>1.4869888475836431E-2</v>
      </c>
      <c r="F194" s="251">
        <v>8</v>
      </c>
    </row>
    <row r="195" spans="2:6">
      <c r="B195" s="250" t="s">
        <v>308</v>
      </c>
      <c r="C195" s="250" t="s">
        <v>654</v>
      </c>
      <c r="D195" s="251">
        <v>8</v>
      </c>
      <c r="E195" s="252">
        <v>1.4869888475836431E-2</v>
      </c>
      <c r="F195" s="251">
        <v>8</v>
      </c>
    </row>
    <row r="196" spans="2:6">
      <c r="B196" s="250" t="s">
        <v>308</v>
      </c>
      <c r="C196" s="250" t="s">
        <v>655</v>
      </c>
      <c r="D196" s="251">
        <v>19</v>
      </c>
      <c r="E196" s="252">
        <v>3.5315985130111527E-2</v>
      </c>
      <c r="F196" s="251">
        <v>18</v>
      </c>
    </row>
    <row r="197" spans="2:6">
      <c r="B197" s="250" t="s">
        <v>308</v>
      </c>
      <c r="C197" s="250" t="s">
        <v>656</v>
      </c>
      <c r="D197" s="251">
        <v>14</v>
      </c>
      <c r="E197" s="252">
        <v>2.6022304832713755E-2</v>
      </c>
      <c r="F197" s="251">
        <v>12</v>
      </c>
    </row>
    <row r="198" spans="2:6">
      <c r="B198" s="250" t="s">
        <v>308</v>
      </c>
      <c r="C198" s="250" t="s">
        <v>306</v>
      </c>
      <c r="D198" s="251">
        <v>82</v>
      </c>
      <c r="E198" s="252">
        <v>0.15241635687732341</v>
      </c>
      <c r="F198" s="251">
        <v>82</v>
      </c>
    </row>
    <row r="199" spans="2:6">
      <c r="B199" s="250" t="s">
        <v>308</v>
      </c>
      <c r="C199" s="250" t="s">
        <v>14</v>
      </c>
      <c r="D199" s="251">
        <v>243</v>
      </c>
      <c r="E199" s="252">
        <v>0.45167286245353161</v>
      </c>
      <c r="F199" s="251">
        <v>1</v>
      </c>
    </row>
    <row r="200" spans="2:6">
      <c r="B200" s="250" t="s">
        <v>309</v>
      </c>
      <c r="C200" s="250"/>
      <c r="D200" s="251">
        <v>538</v>
      </c>
      <c r="E200" s="252">
        <v>1</v>
      </c>
      <c r="F200" s="251">
        <v>262</v>
      </c>
    </row>
    <row r="201" spans="2:6">
      <c r="B201" s="250" t="s">
        <v>13</v>
      </c>
      <c r="C201" s="250" t="s">
        <v>657</v>
      </c>
      <c r="D201" s="251">
        <v>502</v>
      </c>
      <c r="E201" s="252">
        <v>0.82160392798690673</v>
      </c>
      <c r="F201" s="251">
        <v>239</v>
      </c>
    </row>
    <row r="202" spans="2:6">
      <c r="B202" s="250" t="s">
        <v>13</v>
      </c>
      <c r="C202" s="250" t="s">
        <v>306</v>
      </c>
      <c r="D202" s="251">
        <v>34</v>
      </c>
      <c r="E202" s="252">
        <v>5.5646481178396073E-2</v>
      </c>
      <c r="F202" s="251">
        <v>34</v>
      </c>
    </row>
    <row r="203" spans="2:6">
      <c r="B203" s="250" t="s">
        <v>13</v>
      </c>
      <c r="C203" s="250" t="s">
        <v>14</v>
      </c>
      <c r="D203" s="251">
        <v>75</v>
      </c>
      <c r="E203" s="252">
        <v>0.12274959083469722</v>
      </c>
      <c r="F203" s="251">
        <v>1</v>
      </c>
    </row>
    <row r="204" spans="2:6">
      <c r="B204" s="250" t="s">
        <v>482</v>
      </c>
      <c r="C204" s="250"/>
      <c r="D204" s="251">
        <v>611</v>
      </c>
      <c r="E204" s="252">
        <v>1</v>
      </c>
      <c r="F204" s="251">
        <v>268</v>
      </c>
    </row>
    <row r="205" spans="2:6">
      <c r="B205" s="250" t="s">
        <v>310</v>
      </c>
      <c r="C205" s="250" t="s">
        <v>658</v>
      </c>
      <c r="D205" s="251">
        <v>28</v>
      </c>
      <c r="E205" s="252">
        <v>4.6052631578947366E-2</v>
      </c>
      <c r="F205" s="251">
        <v>27</v>
      </c>
    </row>
    <row r="206" spans="2:6">
      <c r="B206" s="250" t="s">
        <v>310</v>
      </c>
      <c r="C206" s="250" t="s">
        <v>659</v>
      </c>
      <c r="D206" s="251">
        <v>11</v>
      </c>
      <c r="E206" s="252">
        <v>1.8092105263157895E-2</v>
      </c>
      <c r="F206" s="251">
        <v>11</v>
      </c>
    </row>
    <row r="207" spans="2:6">
      <c r="B207" s="250" t="s">
        <v>310</v>
      </c>
      <c r="C207" s="250" t="s">
        <v>660</v>
      </c>
      <c r="D207" s="251">
        <v>225</v>
      </c>
      <c r="E207" s="252">
        <v>0.37006578947368424</v>
      </c>
      <c r="F207" s="251">
        <v>156</v>
      </c>
    </row>
    <row r="208" spans="2:6">
      <c r="B208" s="250" t="s">
        <v>310</v>
      </c>
      <c r="C208" s="250" t="s">
        <v>661</v>
      </c>
      <c r="D208" s="251">
        <v>136</v>
      </c>
      <c r="E208" s="252">
        <v>0.22368421052631579</v>
      </c>
      <c r="F208" s="251">
        <v>116</v>
      </c>
    </row>
    <row r="209" spans="2:6">
      <c r="B209" s="250" t="s">
        <v>310</v>
      </c>
      <c r="C209" s="250" t="s">
        <v>662</v>
      </c>
      <c r="D209" s="251">
        <v>35</v>
      </c>
      <c r="E209" s="252">
        <v>5.7565789473684209E-2</v>
      </c>
      <c r="F209" s="251">
        <v>32</v>
      </c>
    </row>
    <row r="210" spans="2:6">
      <c r="B210" s="250" t="s">
        <v>310</v>
      </c>
      <c r="C210" s="250" t="s">
        <v>663</v>
      </c>
      <c r="D210" s="251">
        <v>30</v>
      </c>
      <c r="E210" s="252">
        <v>4.9342105263157895E-2</v>
      </c>
      <c r="F210" s="251">
        <v>27</v>
      </c>
    </row>
    <row r="211" spans="2:6">
      <c r="B211" s="250" t="s">
        <v>310</v>
      </c>
      <c r="C211" s="250" t="s">
        <v>664</v>
      </c>
      <c r="D211" s="251">
        <v>32</v>
      </c>
      <c r="E211" s="252">
        <v>5.2631578947368418E-2</v>
      </c>
      <c r="F211" s="251">
        <v>30</v>
      </c>
    </row>
    <row r="212" spans="2:6">
      <c r="B212" s="250" t="s">
        <v>310</v>
      </c>
      <c r="C212" s="250" t="s">
        <v>665</v>
      </c>
      <c r="D212" s="251">
        <v>5</v>
      </c>
      <c r="E212" s="252">
        <v>8.2236842105263153E-3</v>
      </c>
      <c r="F212" s="251">
        <v>5</v>
      </c>
    </row>
    <row r="213" spans="2:6">
      <c r="B213" s="250" t="s">
        <v>310</v>
      </c>
      <c r="C213" s="250" t="s">
        <v>306</v>
      </c>
      <c r="D213" s="251">
        <v>23</v>
      </c>
      <c r="E213" s="252">
        <v>3.7828947368421052E-2</v>
      </c>
      <c r="F213" s="251">
        <v>23</v>
      </c>
    </row>
    <row r="214" spans="2:6">
      <c r="B214" s="250" t="s">
        <v>310</v>
      </c>
      <c r="C214" s="250" t="s">
        <v>14</v>
      </c>
      <c r="D214" s="251">
        <v>83</v>
      </c>
      <c r="E214" s="252">
        <v>0.13651315789473684</v>
      </c>
      <c r="F214" s="251">
        <v>1</v>
      </c>
    </row>
    <row r="215" spans="2:6">
      <c r="B215" s="250" t="s">
        <v>311</v>
      </c>
      <c r="C215" s="250"/>
      <c r="D215" s="251">
        <v>608</v>
      </c>
      <c r="E215" s="252">
        <v>1</v>
      </c>
      <c r="F215" s="251">
        <v>360</v>
      </c>
    </row>
    <row r="216" spans="2:6">
      <c r="B216" s="250" t="s">
        <v>422</v>
      </c>
      <c r="C216" s="250" t="s">
        <v>666</v>
      </c>
      <c r="D216" s="251">
        <v>83</v>
      </c>
      <c r="E216" s="252">
        <v>0.56849315068493156</v>
      </c>
      <c r="F216" s="251">
        <v>60</v>
      </c>
    </row>
    <row r="217" spans="2:6">
      <c r="B217" s="250" t="s">
        <v>422</v>
      </c>
      <c r="C217" s="250" t="s">
        <v>667</v>
      </c>
      <c r="D217" s="251">
        <v>33</v>
      </c>
      <c r="E217" s="252">
        <v>0.22602739726027396</v>
      </c>
      <c r="F217" s="251">
        <v>32</v>
      </c>
    </row>
    <row r="218" spans="2:6">
      <c r="B218" s="250" t="s">
        <v>422</v>
      </c>
      <c r="C218" s="250" t="s">
        <v>423</v>
      </c>
      <c r="D218" s="251">
        <v>11</v>
      </c>
      <c r="E218" s="252">
        <v>7.5342465753424653E-2</v>
      </c>
      <c r="F218" s="251">
        <v>11</v>
      </c>
    </row>
    <row r="219" spans="2:6">
      <c r="B219" s="250" t="s">
        <v>422</v>
      </c>
      <c r="C219" s="250" t="s">
        <v>14</v>
      </c>
      <c r="D219" s="251">
        <v>19</v>
      </c>
      <c r="E219" s="252">
        <v>0.13013698630136986</v>
      </c>
      <c r="F219" s="251">
        <v>1</v>
      </c>
    </row>
    <row r="220" spans="2:6">
      <c r="B220" s="250" t="s">
        <v>424</v>
      </c>
      <c r="C220" s="250"/>
      <c r="D220" s="251">
        <v>146</v>
      </c>
      <c r="E220" s="252">
        <v>1</v>
      </c>
      <c r="F220" s="251">
        <v>100</v>
      </c>
    </row>
    <row r="221" spans="2:6">
      <c r="B221" s="250" t="s">
        <v>668</v>
      </c>
      <c r="C221" s="250" t="s">
        <v>669</v>
      </c>
      <c r="D221" s="251">
        <v>5</v>
      </c>
      <c r="E221" s="252">
        <v>0.10638297872340426</v>
      </c>
      <c r="F221" s="251">
        <v>5</v>
      </c>
    </row>
    <row r="222" spans="2:6">
      <c r="B222" s="250" t="s">
        <v>668</v>
      </c>
      <c r="C222" s="250" t="s">
        <v>670</v>
      </c>
      <c r="D222" s="251">
        <v>7</v>
      </c>
      <c r="E222" s="252">
        <v>0.14893617021276595</v>
      </c>
      <c r="F222" s="251">
        <v>5</v>
      </c>
    </row>
    <row r="223" spans="2:6">
      <c r="B223" s="250" t="s">
        <v>668</v>
      </c>
      <c r="C223" s="250" t="s">
        <v>671</v>
      </c>
      <c r="D223" s="251">
        <v>5</v>
      </c>
      <c r="E223" s="252">
        <v>0.10638297872340426</v>
      </c>
      <c r="F223" s="251">
        <v>3</v>
      </c>
    </row>
    <row r="224" spans="2:6">
      <c r="B224" s="250" t="s">
        <v>668</v>
      </c>
      <c r="C224" s="250" t="s">
        <v>672</v>
      </c>
      <c r="D224" s="251">
        <v>9</v>
      </c>
      <c r="E224" s="252">
        <v>0.19148936170212766</v>
      </c>
      <c r="F224" s="251">
        <v>8</v>
      </c>
    </row>
    <row r="225" spans="2:6">
      <c r="B225" s="250" t="s">
        <v>668</v>
      </c>
      <c r="C225" s="250" t="s">
        <v>673</v>
      </c>
      <c r="D225" s="251">
        <v>11</v>
      </c>
      <c r="E225" s="252">
        <v>0.23404255319148937</v>
      </c>
      <c r="F225" s="251">
        <v>9</v>
      </c>
    </row>
    <row r="226" spans="2:6">
      <c r="B226" s="250" t="s">
        <v>668</v>
      </c>
      <c r="C226" s="250" t="s">
        <v>674</v>
      </c>
      <c r="D226" s="251">
        <v>2</v>
      </c>
      <c r="E226" s="252">
        <v>4.2553191489361701E-2</v>
      </c>
      <c r="F226" s="251">
        <v>2</v>
      </c>
    </row>
    <row r="227" spans="2:6">
      <c r="B227" s="250" t="s">
        <v>668</v>
      </c>
      <c r="C227" s="250" t="s">
        <v>14</v>
      </c>
      <c r="D227" s="251">
        <v>8</v>
      </c>
      <c r="E227" s="252">
        <v>0.1702127659574468</v>
      </c>
      <c r="F227" s="251">
        <v>1</v>
      </c>
    </row>
    <row r="228" spans="2:6">
      <c r="B228" s="250" t="s">
        <v>675</v>
      </c>
      <c r="C228" s="250"/>
      <c r="D228" s="251">
        <v>47</v>
      </c>
      <c r="E228" s="252">
        <v>1</v>
      </c>
      <c r="F228" s="251">
        <v>32</v>
      </c>
    </row>
    <row r="229" spans="2:6">
      <c r="B229" s="250" t="s">
        <v>676</v>
      </c>
      <c r="C229" s="250" t="s">
        <v>677</v>
      </c>
      <c r="D229" s="251">
        <v>232</v>
      </c>
      <c r="E229" s="252">
        <v>0.70731707317073167</v>
      </c>
      <c r="F229" s="251">
        <v>149</v>
      </c>
    </row>
    <row r="230" spans="2:6">
      <c r="B230" s="250" t="s">
        <v>676</v>
      </c>
      <c r="C230" s="250" t="s">
        <v>678</v>
      </c>
      <c r="D230" s="251">
        <v>18</v>
      </c>
      <c r="E230" s="252">
        <v>5.4878048780487805E-2</v>
      </c>
      <c r="F230" s="251">
        <v>16</v>
      </c>
    </row>
    <row r="231" spans="2:6">
      <c r="B231" s="250" t="s">
        <v>676</v>
      </c>
      <c r="C231" s="250" t="s">
        <v>679</v>
      </c>
      <c r="D231" s="251">
        <v>19</v>
      </c>
      <c r="E231" s="252">
        <v>5.7926829268292686E-2</v>
      </c>
      <c r="F231" s="251">
        <v>6</v>
      </c>
    </row>
    <row r="232" spans="2:6">
      <c r="B232" s="250" t="s">
        <v>676</v>
      </c>
      <c r="C232" s="250" t="s">
        <v>680</v>
      </c>
      <c r="D232" s="251">
        <v>17</v>
      </c>
      <c r="E232" s="252">
        <v>5.1829268292682924E-2</v>
      </c>
      <c r="F232" s="251">
        <v>10</v>
      </c>
    </row>
    <row r="233" spans="2:6">
      <c r="B233" s="250" t="s">
        <v>676</v>
      </c>
      <c r="C233" s="250" t="s">
        <v>681</v>
      </c>
      <c r="D233" s="251">
        <v>3</v>
      </c>
      <c r="E233" s="252">
        <v>9.1463414634146336E-3</v>
      </c>
      <c r="F233" s="251">
        <v>3</v>
      </c>
    </row>
    <row r="234" spans="2:6">
      <c r="B234" s="250" t="s">
        <v>676</v>
      </c>
      <c r="C234" s="250" t="s">
        <v>682</v>
      </c>
      <c r="D234" s="251">
        <v>14</v>
      </c>
      <c r="E234" s="252">
        <v>4.2682926829268296E-2</v>
      </c>
      <c r="F234" s="251">
        <v>6</v>
      </c>
    </row>
    <row r="235" spans="2:6">
      <c r="B235" s="250" t="s">
        <v>676</v>
      </c>
      <c r="C235" s="250" t="s">
        <v>683</v>
      </c>
      <c r="D235" s="251">
        <v>1</v>
      </c>
      <c r="E235" s="252">
        <v>3.0487804878048782E-3</v>
      </c>
      <c r="F235" s="251">
        <v>1</v>
      </c>
    </row>
    <row r="236" spans="2:6">
      <c r="B236" s="250" t="s">
        <v>676</v>
      </c>
      <c r="C236" s="250" t="s">
        <v>684</v>
      </c>
      <c r="D236" s="251">
        <v>2</v>
      </c>
      <c r="E236" s="252">
        <v>6.0975609756097563E-3</v>
      </c>
      <c r="F236" s="251">
        <v>2</v>
      </c>
    </row>
    <row r="237" spans="2:6">
      <c r="B237" s="250" t="s">
        <v>676</v>
      </c>
      <c r="C237" s="250" t="s">
        <v>14</v>
      </c>
      <c r="D237" s="251">
        <v>22</v>
      </c>
      <c r="E237" s="252">
        <v>6.7073170731707321E-2</v>
      </c>
      <c r="F237" s="251">
        <v>1</v>
      </c>
    </row>
    <row r="238" spans="2:6">
      <c r="B238" s="250" t="s">
        <v>685</v>
      </c>
      <c r="C238" s="250"/>
      <c r="D238" s="251">
        <v>328</v>
      </c>
      <c r="E238" s="252">
        <v>1</v>
      </c>
      <c r="F238" s="251">
        <v>186</v>
      </c>
    </row>
    <row r="239" spans="2:6">
      <c r="B239" s="250" t="s">
        <v>34</v>
      </c>
      <c r="C239" s="250"/>
      <c r="D239" s="251">
        <v>14371</v>
      </c>
      <c r="E239" s="252"/>
      <c r="F239" s="251">
        <v>3747</v>
      </c>
    </row>
    <row r="240" spans="2:6">
      <c r="B240"/>
      <c r="C240"/>
      <c r="D240"/>
      <c r="E240"/>
      <c r="F240"/>
    </row>
    <row r="241" spans="2:6">
      <c r="B241"/>
      <c r="C241"/>
      <c r="D241"/>
      <c r="E241"/>
      <c r="F241"/>
    </row>
    <row r="242" spans="2:6">
      <c r="B242"/>
      <c r="C242"/>
      <c r="D242"/>
      <c r="E242"/>
      <c r="F242"/>
    </row>
    <row r="243" spans="2:6">
      <c r="B243"/>
      <c r="C243"/>
      <c r="D243"/>
      <c r="E243"/>
      <c r="F243"/>
    </row>
    <row r="244" spans="2:6">
      <c r="B244"/>
      <c r="C244"/>
      <c r="D244"/>
      <c r="E244"/>
      <c r="F244"/>
    </row>
    <row r="245" spans="2:6">
      <c r="B245"/>
      <c r="C245"/>
      <c r="D245"/>
      <c r="E245"/>
      <c r="F245"/>
    </row>
    <row r="246" spans="2:6">
      <c r="B246"/>
      <c r="C246"/>
      <c r="D246"/>
      <c r="E246"/>
      <c r="F246"/>
    </row>
    <row r="247" spans="2:6">
      <c r="B247"/>
      <c r="C247"/>
      <c r="D247"/>
      <c r="E247"/>
      <c r="F247"/>
    </row>
    <row r="248" spans="2:6">
      <c r="B248"/>
      <c r="C248"/>
      <c r="D248"/>
      <c r="E248"/>
      <c r="F248"/>
    </row>
    <row r="249" spans="2:6">
      <c r="B249"/>
      <c r="C249"/>
      <c r="D249"/>
      <c r="E249"/>
      <c r="F249"/>
    </row>
    <row r="250" spans="2:6">
      <c r="B250"/>
      <c r="C250"/>
      <c r="D250"/>
      <c r="E250"/>
      <c r="F250"/>
    </row>
    <row r="251" spans="2:6">
      <c r="B251"/>
      <c r="C251"/>
      <c r="D251"/>
      <c r="E251"/>
      <c r="F251"/>
    </row>
    <row r="252" spans="2:6">
      <c r="B252"/>
      <c r="C252"/>
      <c r="D252"/>
      <c r="E252"/>
      <c r="F252"/>
    </row>
    <row r="253" spans="2:6">
      <c r="B253"/>
      <c r="C253"/>
      <c r="D253"/>
      <c r="E253"/>
      <c r="F253"/>
    </row>
    <row r="254" spans="2:6">
      <c r="B254"/>
      <c r="C254"/>
      <c r="D254"/>
      <c r="E254"/>
      <c r="F254"/>
    </row>
    <row r="255" spans="2:6">
      <c r="B255"/>
      <c r="C255"/>
      <c r="D255"/>
      <c r="E255"/>
      <c r="F255"/>
    </row>
    <row r="256" spans="2:6">
      <c r="B256"/>
      <c r="C256"/>
      <c r="D256"/>
      <c r="E256"/>
      <c r="F256"/>
    </row>
    <row r="257" spans="2:6">
      <c r="B257"/>
      <c r="C257"/>
      <c r="D257"/>
      <c r="E257"/>
      <c r="F257"/>
    </row>
    <row r="258" spans="2:6">
      <c r="B258"/>
      <c r="C258"/>
      <c r="D258"/>
      <c r="E258"/>
      <c r="F258"/>
    </row>
    <row r="259" spans="2:6">
      <c r="B259"/>
      <c r="C259"/>
      <c r="D259"/>
      <c r="E259"/>
      <c r="F259"/>
    </row>
    <row r="260" spans="2:6">
      <c r="B260"/>
      <c r="C260"/>
      <c r="D260"/>
      <c r="E260"/>
      <c r="F260"/>
    </row>
    <row r="261" spans="2:6">
      <c r="B261"/>
      <c r="C261"/>
      <c r="D261"/>
      <c r="E261"/>
      <c r="F261"/>
    </row>
    <row r="262" spans="2:6">
      <c r="B262"/>
      <c r="C262"/>
      <c r="D262"/>
      <c r="E262"/>
      <c r="F262"/>
    </row>
    <row r="263" spans="2:6">
      <c r="B263"/>
      <c r="C263"/>
      <c r="D263"/>
      <c r="E263"/>
      <c r="F263"/>
    </row>
    <row r="264" spans="2:6">
      <c r="B264"/>
      <c r="C264"/>
      <c r="D264"/>
      <c r="E264"/>
      <c r="F264"/>
    </row>
    <row r="265" spans="2:6">
      <c r="B265"/>
      <c r="C265"/>
      <c r="D265"/>
      <c r="E265"/>
      <c r="F265"/>
    </row>
    <row r="266" spans="2:6">
      <c r="B266"/>
      <c r="C266"/>
      <c r="D266"/>
      <c r="E266"/>
      <c r="F266"/>
    </row>
    <row r="267" spans="2:6">
      <c r="B267"/>
      <c r="C267"/>
      <c r="D267"/>
      <c r="E267"/>
      <c r="F267"/>
    </row>
    <row r="268" spans="2:6">
      <c r="B268"/>
      <c r="C268"/>
      <c r="D268"/>
      <c r="E268"/>
      <c r="F268"/>
    </row>
    <row r="269" spans="2:6">
      <c r="B269"/>
      <c r="C269"/>
      <c r="D269"/>
      <c r="E269"/>
      <c r="F269"/>
    </row>
    <row r="270" spans="2:6">
      <c r="B270"/>
      <c r="C270"/>
      <c r="D270"/>
      <c r="E270"/>
      <c r="F270"/>
    </row>
    <row r="271" spans="2:6">
      <c r="B271"/>
      <c r="C271"/>
      <c r="D271"/>
      <c r="E271"/>
      <c r="F271"/>
    </row>
    <row r="272" spans="2:6">
      <c r="B272"/>
      <c r="C272"/>
      <c r="D272"/>
      <c r="E272"/>
      <c r="F272"/>
    </row>
    <row r="273" spans="2:6">
      <c r="B273"/>
      <c r="C273"/>
      <c r="D273"/>
      <c r="E273"/>
      <c r="F273"/>
    </row>
    <row r="274" spans="2:6">
      <c r="B274"/>
      <c r="C274"/>
      <c r="D274"/>
      <c r="E274"/>
      <c r="F274"/>
    </row>
    <row r="275" spans="2:6">
      <c r="B275"/>
      <c r="C275"/>
      <c r="D275"/>
      <c r="E275"/>
      <c r="F275"/>
    </row>
    <row r="276" spans="2:6">
      <c r="B276"/>
      <c r="C276"/>
      <c r="D276"/>
      <c r="E276"/>
      <c r="F276"/>
    </row>
    <row r="277" spans="2:6">
      <c r="B277"/>
      <c r="C277"/>
      <c r="D277"/>
      <c r="E277"/>
      <c r="F277"/>
    </row>
    <row r="278" spans="2:6">
      <c r="B278"/>
      <c r="C278"/>
      <c r="D278"/>
      <c r="E278"/>
      <c r="F278"/>
    </row>
    <row r="279" spans="2:6">
      <c r="B279"/>
      <c r="C279"/>
      <c r="D279"/>
      <c r="E279"/>
      <c r="F279"/>
    </row>
    <row r="280" spans="2:6">
      <c r="B280"/>
      <c r="C280"/>
      <c r="D280"/>
      <c r="E280"/>
      <c r="F280"/>
    </row>
    <row r="281" spans="2:6">
      <c r="B281"/>
      <c r="C281"/>
      <c r="D281"/>
      <c r="E281"/>
      <c r="F281"/>
    </row>
    <row r="282" spans="2:6">
      <c r="B282"/>
      <c r="C282"/>
      <c r="D282"/>
      <c r="E282"/>
      <c r="F282"/>
    </row>
    <row r="283" spans="2:6">
      <c r="B283"/>
      <c r="C283"/>
      <c r="D283"/>
      <c r="E283"/>
      <c r="F283"/>
    </row>
    <row r="284" spans="2:6">
      <c r="B284"/>
      <c r="C284"/>
      <c r="D284"/>
      <c r="E284"/>
      <c r="F284"/>
    </row>
    <row r="285" spans="2:6">
      <c r="B285"/>
      <c r="C285"/>
      <c r="D285"/>
      <c r="E285"/>
      <c r="F285"/>
    </row>
    <row r="286" spans="2:6">
      <c r="B286"/>
      <c r="C286"/>
      <c r="D286"/>
      <c r="E286"/>
      <c r="F286"/>
    </row>
    <row r="287" spans="2:6">
      <c r="B287"/>
      <c r="C287"/>
      <c r="D287"/>
      <c r="E287"/>
      <c r="F287"/>
    </row>
    <row r="288" spans="2:6">
      <c r="B288"/>
      <c r="C288"/>
      <c r="D288"/>
      <c r="E288"/>
      <c r="F288"/>
    </row>
    <row r="289" spans="2:6">
      <c r="B289"/>
      <c r="C289"/>
      <c r="D289"/>
      <c r="E289"/>
      <c r="F289"/>
    </row>
    <row r="290" spans="2:6">
      <c r="B290"/>
      <c r="C290"/>
      <c r="D290"/>
      <c r="E290"/>
      <c r="F290"/>
    </row>
    <row r="291" spans="2:6">
      <c r="B291"/>
      <c r="C291"/>
      <c r="D291"/>
      <c r="E291"/>
      <c r="F291"/>
    </row>
    <row r="292" spans="2:6">
      <c r="B292"/>
      <c r="C292"/>
      <c r="D292"/>
      <c r="E292"/>
      <c r="F292"/>
    </row>
    <row r="293" spans="2:6">
      <c r="B293"/>
      <c r="C293"/>
      <c r="D293"/>
      <c r="E293"/>
      <c r="F293"/>
    </row>
    <row r="294" spans="2:6">
      <c r="B294"/>
      <c r="C294"/>
      <c r="D294"/>
      <c r="E294"/>
      <c r="F294"/>
    </row>
    <row r="295" spans="2:6">
      <c r="B295"/>
      <c r="C295"/>
      <c r="D295"/>
      <c r="E295"/>
      <c r="F295"/>
    </row>
    <row r="296" spans="2:6">
      <c r="B296"/>
      <c r="C296"/>
      <c r="D296"/>
      <c r="E296"/>
      <c r="F296"/>
    </row>
    <row r="297" spans="2:6">
      <c r="B297"/>
      <c r="C297"/>
      <c r="D297"/>
      <c r="E297"/>
      <c r="F297"/>
    </row>
    <row r="298" spans="2:6">
      <c r="B298"/>
      <c r="C298"/>
      <c r="D298"/>
      <c r="E298"/>
      <c r="F298"/>
    </row>
    <row r="299" spans="2:6">
      <c r="B299"/>
      <c r="C299"/>
      <c r="D299"/>
      <c r="E299"/>
      <c r="F299"/>
    </row>
    <row r="300" spans="2:6">
      <c r="B300"/>
      <c r="C300"/>
      <c r="D300"/>
      <c r="E300"/>
      <c r="F300"/>
    </row>
    <row r="301" spans="2:6">
      <c r="B301"/>
      <c r="C301"/>
      <c r="D301"/>
      <c r="E301"/>
      <c r="F301"/>
    </row>
    <row r="302" spans="2:6">
      <c r="B302"/>
      <c r="C302"/>
      <c r="D302"/>
      <c r="E302"/>
      <c r="F302"/>
    </row>
    <row r="303" spans="2:6">
      <c r="B303"/>
      <c r="C303"/>
      <c r="D303"/>
      <c r="E303"/>
      <c r="F303"/>
    </row>
    <row r="304" spans="2:6">
      <c r="B304"/>
      <c r="C304"/>
      <c r="D304"/>
      <c r="E304"/>
      <c r="F304"/>
    </row>
    <row r="305" spans="2:6">
      <c r="B305"/>
      <c r="C305"/>
      <c r="D305"/>
      <c r="E305"/>
      <c r="F305"/>
    </row>
    <row r="306" spans="2:6">
      <c r="B306"/>
      <c r="C306"/>
      <c r="D306"/>
      <c r="E306"/>
      <c r="F306"/>
    </row>
    <row r="307" spans="2:6">
      <c r="B307"/>
      <c r="C307"/>
      <c r="D307"/>
      <c r="E307"/>
      <c r="F307"/>
    </row>
    <row r="308" spans="2:6">
      <c r="B308"/>
      <c r="C308"/>
      <c r="D308"/>
      <c r="E308"/>
      <c r="F308"/>
    </row>
    <row r="309" spans="2:6">
      <c r="B309"/>
      <c r="C309"/>
      <c r="D309"/>
      <c r="E309"/>
      <c r="F309"/>
    </row>
    <row r="310" spans="2:6">
      <c r="B310"/>
      <c r="C310"/>
      <c r="D310"/>
      <c r="E310"/>
      <c r="F310"/>
    </row>
    <row r="311" spans="2:6">
      <c r="B311"/>
      <c r="C311"/>
      <c r="D311"/>
      <c r="E311"/>
      <c r="F311"/>
    </row>
    <row r="312" spans="2:6">
      <c r="B312"/>
      <c r="C312"/>
      <c r="D312"/>
      <c r="E312"/>
      <c r="F312"/>
    </row>
    <row r="313" spans="2:6">
      <c r="B313"/>
      <c r="C313"/>
      <c r="D313"/>
      <c r="E313"/>
      <c r="F313"/>
    </row>
    <row r="314" spans="2:6">
      <c r="B314"/>
      <c r="C314"/>
      <c r="D314"/>
      <c r="E314"/>
      <c r="F314"/>
    </row>
    <row r="315" spans="2:6">
      <c r="B315"/>
      <c r="C315"/>
      <c r="D315"/>
      <c r="E315"/>
      <c r="F315"/>
    </row>
    <row r="316" spans="2:6">
      <c r="B316"/>
      <c r="C316"/>
      <c r="D316"/>
      <c r="E316"/>
      <c r="F316"/>
    </row>
    <row r="317" spans="2:6">
      <c r="B317"/>
      <c r="C317"/>
      <c r="D317"/>
      <c r="E317"/>
      <c r="F317"/>
    </row>
    <row r="318" spans="2:6">
      <c r="B318"/>
      <c r="C318"/>
      <c r="D318"/>
      <c r="E318"/>
      <c r="F318"/>
    </row>
    <row r="319" spans="2:6">
      <c r="B319"/>
      <c r="C319"/>
      <c r="D319"/>
      <c r="E319"/>
      <c r="F319"/>
    </row>
    <row r="320" spans="2:6">
      <c r="B320"/>
      <c r="C320"/>
      <c r="D320"/>
      <c r="E320"/>
      <c r="F320"/>
    </row>
    <row r="321" spans="2:6">
      <c r="B321"/>
      <c r="C321"/>
      <c r="D321"/>
      <c r="E321"/>
      <c r="F321"/>
    </row>
    <row r="322" spans="2:6">
      <c r="B322"/>
      <c r="C322"/>
      <c r="D322"/>
      <c r="E322"/>
      <c r="F322"/>
    </row>
    <row r="323" spans="2:6">
      <c r="B323"/>
      <c r="C323"/>
      <c r="D323"/>
      <c r="E323"/>
      <c r="F323"/>
    </row>
    <row r="324" spans="2:6">
      <c r="B324"/>
      <c r="C324"/>
      <c r="D324"/>
      <c r="E324"/>
      <c r="F324"/>
    </row>
    <row r="325" spans="2:6">
      <c r="B325"/>
      <c r="C325"/>
      <c r="D325"/>
      <c r="E325"/>
      <c r="F325"/>
    </row>
    <row r="326" spans="2:6">
      <c r="B326"/>
      <c r="C326"/>
      <c r="D326"/>
      <c r="E326"/>
      <c r="F326"/>
    </row>
    <row r="327" spans="2:6">
      <c r="B327"/>
      <c r="C327"/>
      <c r="D327"/>
      <c r="E327"/>
      <c r="F327"/>
    </row>
    <row r="328" spans="2:6">
      <c r="B328"/>
      <c r="C328"/>
      <c r="D328"/>
      <c r="E328"/>
      <c r="F328"/>
    </row>
    <row r="329" spans="2:6">
      <c r="B329"/>
      <c r="C329"/>
      <c r="D329"/>
      <c r="E329"/>
      <c r="F329"/>
    </row>
    <row r="330" spans="2:6">
      <c r="B330"/>
      <c r="C330"/>
      <c r="D330"/>
      <c r="E330"/>
      <c r="F330"/>
    </row>
    <row r="331" spans="2:6">
      <c r="B331"/>
      <c r="C331"/>
      <c r="D331"/>
      <c r="E331"/>
      <c r="F331"/>
    </row>
    <row r="332" spans="2:6">
      <c r="B332"/>
      <c r="C332"/>
      <c r="D332"/>
      <c r="E332"/>
      <c r="F332"/>
    </row>
    <row r="333" spans="2:6">
      <c r="B333"/>
      <c r="C333"/>
      <c r="D333"/>
      <c r="E333"/>
      <c r="F333"/>
    </row>
    <row r="334" spans="2:6">
      <c r="B334"/>
      <c r="C334"/>
      <c r="D334"/>
      <c r="E334"/>
      <c r="F334"/>
    </row>
    <row r="335" spans="2:6">
      <c r="B335"/>
      <c r="C335"/>
      <c r="D335"/>
      <c r="E335"/>
      <c r="F335"/>
    </row>
    <row r="336" spans="2:6">
      <c r="B336"/>
      <c r="C336"/>
      <c r="D336"/>
      <c r="E336"/>
      <c r="F336"/>
    </row>
    <row r="337" spans="2:6">
      <c r="B337"/>
      <c r="C337"/>
      <c r="D337"/>
      <c r="E337"/>
      <c r="F337"/>
    </row>
    <row r="338" spans="2:6">
      <c r="B338"/>
      <c r="C338"/>
      <c r="D338"/>
      <c r="E338"/>
      <c r="F338"/>
    </row>
    <row r="339" spans="2:6">
      <c r="B339"/>
      <c r="C339"/>
      <c r="D339"/>
      <c r="E339"/>
      <c r="F339"/>
    </row>
    <row r="340" spans="2:6">
      <c r="B340"/>
      <c r="C340"/>
      <c r="D340"/>
      <c r="E340"/>
      <c r="F340"/>
    </row>
    <row r="341" spans="2:6">
      <c r="B341"/>
      <c r="C341"/>
      <c r="D341"/>
      <c r="E341"/>
      <c r="F341"/>
    </row>
    <row r="342" spans="2:6">
      <c r="B342"/>
      <c r="C342"/>
      <c r="D342"/>
      <c r="E342"/>
      <c r="F342"/>
    </row>
    <row r="343" spans="2:6">
      <c r="B343"/>
      <c r="C343"/>
      <c r="D343"/>
      <c r="E343"/>
      <c r="F343"/>
    </row>
    <row r="344" spans="2:6">
      <c r="B344"/>
      <c r="C344"/>
      <c r="D344"/>
      <c r="E344"/>
      <c r="F344"/>
    </row>
    <row r="345" spans="2:6">
      <c r="B345"/>
      <c r="C345"/>
      <c r="D345"/>
      <c r="E345"/>
      <c r="F345"/>
    </row>
    <row r="346" spans="2:6">
      <c r="B346"/>
      <c r="C346"/>
      <c r="D346"/>
      <c r="E346"/>
      <c r="F346"/>
    </row>
    <row r="347" spans="2:6">
      <c r="B347"/>
      <c r="C347"/>
      <c r="D347"/>
      <c r="E347"/>
      <c r="F347"/>
    </row>
    <row r="348" spans="2:6">
      <c r="B348"/>
      <c r="C348"/>
      <c r="D348"/>
      <c r="E348"/>
      <c r="F348"/>
    </row>
    <row r="349" spans="2:6">
      <c r="B349"/>
      <c r="C349"/>
      <c r="D349"/>
      <c r="E349"/>
      <c r="F349"/>
    </row>
    <row r="350" spans="2:6">
      <c r="B350"/>
      <c r="C350"/>
      <c r="D350"/>
      <c r="E350"/>
      <c r="F350"/>
    </row>
    <row r="351" spans="2:6">
      <c r="B351"/>
      <c r="C351"/>
      <c r="D351"/>
      <c r="E351"/>
      <c r="F351"/>
    </row>
    <row r="352" spans="2:6">
      <c r="B352"/>
      <c r="C352"/>
      <c r="D352"/>
      <c r="E352"/>
      <c r="F352"/>
    </row>
    <row r="353" spans="2:6">
      <c r="B353"/>
      <c r="C353"/>
      <c r="D353"/>
      <c r="E353"/>
      <c r="F353"/>
    </row>
    <row r="354" spans="2:6">
      <c r="B354"/>
      <c r="C354"/>
      <c r="D354"/>
      <c r="E354"/>
      <c r="F354"/>
    </row>
    <row r="355" spans="2:6">
      <c r="B355"/>
      <c r="C355"/>
      <c r="D355"/>
      <c r="E355"/>
      <c r="F355"/>
    </row>
    <row r="356" spans="2:6">
      <c r="B356"/>
      <c r="C356"/>
      <c r="D356"/>
      <c r="E356"/>
      <c r="F356"/>
    </row>
    <row r="357" spans="2:6">
      <c r="B357"/>
      <c r="C357"/>
      <c r="D357"/>
      <c r="E357"/>
      <c r="F357"/>
    </row>
    <row r="358" spans="2:6">
      <c r="B358"/>
      <c r="C358"/>
      <c r="D358"/>
      <c r="E358"/>
      <c r="F358"/>
    </row>
    <row r="359" spans="2:6">
      <c r="B359"/>
      <c r="C359"/>
      <c r="D359"/>
      <c r="E359"/>
      <c r="F359"/>
    </row>
    <row r="360" spans="2:6">
      <c r="B360"/>
      <c r="C360"/>
      <c r="D360"/>
      <c r="E360"/>
      <c r="F360"/>
    </row>
    <row r="361" spans="2:6">
      <c r="B361"/>
      <c r="C361"/>
      <c r="D361"/>
      <c r="E361"/>
      <c r="F361"/>
    </row>
    <row r="362" spans="2:6">
      <c r="B362"/>
      <c r="C362"/>
      <c r="D362"/>
      <c r="E362"/>
      <c r="F362"/>
    </row>
    <row r="363" spans="2:6">
      <c r="B363"/>
      <c r="C363"/>
      <c r="D363"/>
      <c r="E363"/>
      <c r="F363"/>
    </row>
    <row r="364" spans="2:6">
      <c r="B364"/>
      <c r="C364"/>
      <c r="D364"/>
      <c r="E364"/>
      <c r="F364"/>
    </row>
    <row r="365" spans="2:6">
      <c r="B365"/>
      <c r="C365"/>
      <c r="D365"/>
      <c r="E365"/>
      <c r="F365"/>
    </row>
    <row r="366" spans="2:6">
      <c r="B366"/>
      <c r="C366"/>
      <c r="D366"/>
      <c r="E366"/>
      <c r="F366"/>
    </row>
    <row r="367" spans="2:6">
      <c r="B367"/>
      <c r="C367"/>
      <c r="D367"/>
      <c r="E367"/>
      <c r="F367"/>
    </row>
    <row r="368" spans="2:6">
      <c r="B368"/>
      <c r="C368"/>
      <c r="D368"/>
      <c r="E368"/>
      <c r="F368"/>
    </row>
    <row r="369" spans="2:6">
      <c r="B369"/>
      <c r="C369"/>
      <c r="D369"/>
      <c r="E369"/>
      <c r="F369"/>
    </row>
    <row r="370" spans="2:6">
      <c r="B370"/>
      <c r="C370"/>
      <c r="D370"/>
      <c r="E370"/>
      <c r="F370"/>
    </row>
    <row r="371" spans="2:6">
      <c r="B371"/>
      <c r="C371"/>
      <c r="D371"/>
      <c r="E371"/>
      <c r="F371"/>
    </row>
    <row r="372" spans="2:6">
      <c r="B372"/>
      <c r="C372"/>
      <c r="D372"/>
      <c r="E372"/>
      <c r="F372"/>
    </row>
    <row r="373" spans="2:6">
      <c r="B373"/>
      <c r="C373"/>
      <c r="D373"/>
      <c r="E373"/>
      <c r="F373"/>
    </row>
    <row r="374" spans="2:6">
      <c r="B374"/>
      <c r="C374"/>
      <c r="D374"/>
      <c r="E374"/>
      <c r="F374"/>
    </row>
    <row r="375" spans="2:6">
      <c r="B375"/>
      <c r="C375"/>
      <c r="D375"/>
      <c r="E375"/>
      <c r="F375"/>
    </row>
    <row r="376" spans="2:6">
      <c r="B376"/>
      <c r="C376"/>
      <c r="D376"/>
      <c r="E376"/>
      <c r="F376"/>
    </row>
    <row r="377" spans="2:6">
      <c r="B377"/>
      <c r="C377"/>
      <c r="D377"/>
      <c r="E377"/>
      <c r="F377"/>
    </row>
    <row r="378" spans="2:6">
      <c r="B378"/>
      <c r="C378"/>
      <c r="D378"/>
      <c r="E378"/>
      <c r="F378"/>
    </row>
    <row r="379" spans="2:6">
      <c r="B379"/>
      <c r="C379"/>
      <c r="D379"/>
      <c r="E379"/>
      <c r="F379"/>
    </row>
    <row r="380" spans="2:6">
      <c r="B380"/>
      <c r="C380"/>
      <c r="D380"/>
      <c r="E380"/>
      <c r="F380"/>
    </row>
    <row r="381" spans="2:6">
      <c r="B381"/>
      <c r="C381"/>
      <c r="D381"/>
      <c r="E381"/>
      <c r="F381"/>
    </row>
    <row r="382" spans="2:6">
      <c r="B382"/>
      <c r="C382"/>
      <c r="D382"/>
      <c r="E382"/>
      <c r="F382"/>
    </row>
    <row r="383" spans="2:6">
      <c r="B383"/>
      <c r="C383"/>
      <c r="D383"/>
      <c r="E383"/>
      <c r="F383"/>
    </row>
    <row r="384" spans="2:6">
      <c r="B384"/>
      <c r="C384"/>
      <c r="D384"/>
      <c r="E384"/>
      <c r="F384"/>
    </row>
    <row r="385" spans="2:6">
      <c r="B385"/>
      <c r="C385"/>
      <c r="D385"/>
      <c r="E385"/>
      <c r="F385"/>
    </row>
    <row r="386" spans="2:6">
      <c r="B386"/>
      <c r="C386"/>
      <c r="D386"/>
      <c r="E386"/>
      <c r="F386"/>
    </row>
    <row r="387" spans="2:6">
      <c r="B387"/>
      <c r="C387"/>
      <c r="D387"/>
      <c r="E387"/>
      <c r="F387"/>
    </row>
    <row r="388" spans="2:6">
      <c r="B388"/>
      <c r="C388"/>
      <c r="D388"/>
      <c r="E388"/>
      <c r="F388"/>
    </row>
    <row r="389" spans="2:6">
      <c r="B389"/>
      <c r="C389"/>
      <c r="D389"/>
      <c r="E389"/>
      <c r="F389"/>
    </row>
    <row r="390" spans="2:6">
      <c r="B390"/>
      <c r="C390"/>
      <c r="D390"/>
      <c r="E390"/>
      <c r="F390"/>
    </row>
    <row r="391" spans="2:6">
      <c r="B391"/>
      <c r="C391"/>
      <c r="D391"/>
      <c r="E391"/>
      <c r="F391"/>
    </row>
    <row r="392" spans="2:6">
      <c r="B392"/>
      <c r="C392"/>
      <c r="D392"/>
      <c r="E392"/>
      <c r="F392"/>
    </row>
    <row r="393" spans="2:6">
      <c r="B393"/>
      <c r="C393"/>
      <c r="D393"/>
      <c r="E393"/>
      <c r="F393"/>
    </row>
    <row r="394" spans="2:6">
      <c r="B394"/>
      <c r="C394"/>
      <c r="D394"/>
      <c r="E394"/>
      <c r="F394"/>
    </row>
    <row r="395" spans="2:6">
      <c r="D395" s="23"/>
      <c r="E395" s="23"/>
    </row>
    <row r="396" spans="2:6">
      <c r="D396" s="23"/>
      <c r="E396" s="23"/>
    </row>
    <row r="397" spans="2:6">
      <c r="D397" s="23"/>
      <c r="E397" s="23"/>
    </row>
    <row r="398" spans="2:6">
      <c r="D398" s="23"/>
      <c r="E398" s="23"/>
    </row>
    <row r="399" spans="2:6">
      <c r="D399" s="23"/>
      <c r="E399" s="23"/>
    </row>
    <row r="400" spans="2:6">
      <c r="D400" s="23"/>
      <c r="E400" s="23"/>
    </row>
    <row r="401" spans="4:5">
      <c r="D401" s="23"/>
      <c r="E401" s="23"/>
    </row>
    <row r="402" spans="4:5">
      <c r="D402" s="23"/>
      <c r="E402" s="23"/>
    </row>
    <row r="403" spans="4:5">
      <c r="D403" s="23"/>
      <c r="E403" s="23"/>
    </row>
    <row r="404" spans="4:5">
      <c r="D404" s="23"/>
      <c r="E404" s="23"/>
    </row>
    <row r="405" spans="4:5">
      <c r="D405" s="23"/>
      <c r="E405" s="23"/>
    </row>
    <row r="406" spans="4:5">
      <c r="D406" s="23"/>
      <c r="E406" s="23"/>
    </row>
    <row r="407" spans="4:5">
      <c r="D407" s="23"/>
      <c r="E407" s="23"/>
    </row>
    <row r="408" spans="4:5">
      <c r="D408" s="23"/>
      <c r="E408" s="23"/>
    </row>
    <row r="409" spans="4:5">
      <c r="D409" s="23"/>
      <c r="E409" s="23"/>
    </row>
    <row r="410" spans="4:5">
      <c r="D410" s="23"/>
      <c r="E410" s="23"/>
    </row>
    <row r="411" spans="4:5">
      <c r="D411" s="23"/>
      <c r="E411" s="23"/>
    </row>
    <row r="412" spans="4:5">
      <c r="D412" s="23"/>
      <c r="E412" s="23"/>
    </row>
    <row r="413" spans="4:5">
      <c r="D413" s="23"/>
      <c r="E413" s="23"/>
    </row>
    <row r="414" spans="4:5">
      <c r="D414" s="23"/>
      <c r="E414" s="23"/>
    </row>
    <row r="415" spans="4:5">
      <c r="D415" s="23"/>
      <c r="E415" s="23"/>
    </row>
    <row r="416" spans="4:5">
      <c r="D416" s="23"/>
      <c r="E416" s="23"/>
    </row>
    <row r="417" spans="4:5">
      <c r="D417" s="23"/>
      <c r="E417" s="23"/>
    </row>
    <row r="418" spans="4:5">
      <c r="D418" s="23"/>
      <c r="E418" s="23"/>
    </row>
    <row r="419" spans="4:5" hidden="1">
      <c r="D419" s="23"/>
      <c r="E419" s="23"/>
    </row>
    <row r="420" spans="4:5" hidden="1">
      <c r="D420" s="23"/>
      <c r="E420" s="23"/>
    </row>
    <row r="421" spans="4:5" hidden="1">
      <c r="D421" s="23"/>
      <c r="E421" s="23"/>
    </row>
    <row r="422" spans="4:5" hidden="1">
      <c r="D422" s="23"/>
      <c r="E422" s="23"/>
    </row>
    <row r="423" spans="4:5" hidden="1">
      <c r="D423" s="23"/>
      <c r="E423" s="23"/>
    </row>
    <row r="424" spans="4:5" hidden="1">
      <c r="D424" s="23"/>
      <c r="E424" s="23"/>
    </row>
    <row r="425" spans="4:5" hidden="1">
      <c r="D425" s="23"/>
      <c r="E425" s="23"/>
    </row>
    <row r="426" spans="4:5" hidden="1">
      <c r="D426" s="23"/>
      <c r="E426" s="23"/>
    </row>
    <row r="427" spans="4:5" hidden="1">
      <c r="D427" s="23"/>
      <c r="E427" s="23"/>
    </row>
    <row r="428" spans="4:5" hidden="1">
      <c r="D428" s="23"/>
      <c r="E428" s="23"/>
    </row>
    <row r="429" spans="4:5" hidden="1">
      <c r="D429" s="23"/>
      <c r="E429" s="23"/>
    </row>
    <row r="430" spans="4:5" hidden="1">
      <c r="D430" s="23"/>
      <c r="E430" s="23"/>
    </row>
    <row r="431" spans="4:5" hidden="1">
      <c r="D431" s="23"/>
      <c r="E431" s="23"/>
    </row>
    <row r="432" spans="4:5" hidden="1">
      <c r="D432" s="23"/>
      <c r="E432" s="23"/>
    </row>
    <row r="433" spans="4:5" hidden="1">
      <c r="D433" s="23"/>
      <c r="E433" s="23"/>
    </row>
  </sheetData>
  <sheetProtection pivotTables="0"/>
  <pageMargins left="0.70866141732283472" right="0.70866141732283472" top="0.74803149606299213" bottom="0.74803149606299213" header="0.31496062992125984" footer="0.31496062992125984"/>
  <pageSetup paperSize="9" scale="57" fitToHeight="0" orientation="landscape" r:id="rId2"/>
  <headerFooter>
    <oddHeader>&amp;RPage &amp;P&amp;C&amp;A</oddHeader>
    <oddFooter>&amp;CPage &amp;P of &amp;N</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pageSetUpPr fitToPage="1"/>
  </sheetPr>
  <dimension ref="A1:O3120"/>
  <sheetViews>
    <sheetView showGridLines="0" showRowColHeaders="0" topLeftCell="A4" zoomScale="90" zoomScaleNormal="90" zoomScaleSheetLayoutView="70" workbookViewId="0">
      <pane xSplit="1" ySplit="6" topLeftCell="B10" activePane="bottomRight" state="frozen"/>
      <selection activeCell="A4" sqref="A4"/>
      <selection pane="topRight" activeCell="B4" sqref="B4"/>
      <selection pane="bottomLeft" activeCell="A10" sqref="A10"/>
      <selection pane="bottomRight" activeCell="B21" sqref="B21"/>
    </sheetView>
  </sheetViews>
  <sheetFormatPr defaultColWidth="0" defaultRowHeight="15"/>
  <cols>
    <col min="1" max="1" width="1.6328125" style="23" customWidth="1"/>
    <col min="2" max="4" width="37.453125" style="23" customWidth="1"/>
    <col min="5" max="5" width="22.81640625" style="23" customWidth="1"/>
    <col min="6" max="6" width="18.6328125" style="169" customWidth="1"/>
    <col min="7" max="7" width="18" style="23" customWidth="1"/>
    <col min="8" max="8" width="2.453125" style="23" customWidth="1"/>
    <col min="9" max="10" width="1.453125" style="23" customWidth="1"/>
    <col min="11" max="12" width="1.453125" style="23" hidden="1" customWidth="1"/>
    <col min="13" max="13" width="7.6328125" style="23" hidden="1" customWidth="1"/>
    <col min="14" max="15" width="0" style="23" hidden="1" customWidth="1"/>
    <col min="16" max="16384" width="8.90625" style="23" hidden="1"/>
  </cols>
  <sheetData>
    <row r="1" spans="2:15" hidden="1">
      <c r="D1" s="145"/>
      <c r="E1" s="145"/>
    </row>
    <row r="2" spans="2:15" hidden="1">
      <c r="D2" s="145"/>
      <c r="E2" s="145"/>
    </row>
    <row r="3" spans="2:15" hidden="1">
      <c r="D3" s="145"/>
      <c r="E3" s="145"/>
      <c r="L3" s="71"/>
      <c r="M3" s="71"/>
      <c r="N3" s="71"/>
      <c r="O3" s="71"/>
    </row>
    <row r="4" spans="2:15">
      <c r="B4" s="133"/>
      <c r="C4" s="133"/>
      <c r="D4" s="167"/>
      <c r="E4" s="167"/>
      <c r="F4" s="170"/>
      <c r="G4" s="133"/>
      <c r="H4" s="71"/>
      <c r="I4" s="71"/>
      <c r="J4" s="71"/>
      <c r="K4" s="71"/>
      <c r="L4" s="71"/>
      <c r="M4" s="71"/>
      <c r="N4" s="71"/>
      <c r="O4" s="71"/>
    </row>
    <row r="5" spans="2:15">
      <c r="B5" s="133"/>
      <c r="C5" s="133"/>
      <c r="D5" s="167"/>
      <c r="E5" s="167"/>
      <c r="F5" s="170"/>
      <c r="G5" s="133"/>
      <c r="H5" s="71"/>
      <c r="I5" s="71"/>
      <c r="J5" s="71"/>
      <c r="K5" s="71"/>
      <c r="L5" s="71"/>
      <c r="M5" s="71"/>
      <c r="N5" s="71"/>
      <c r="O5" s="71"/>
    </row>
    <row r="6" spans="2:15">
      <c r="B6" s="133"/>
      <c r="C6" s="133"/>
      <c r="D6" s="167"/>
      <c r="E6" s="167"/>
      <c r="F6" s="170"/>
      <c r="G6" s="133"/>
      <c r="H6" s="71"/>
      <c r="I6" s="71"/>
      <c r="J6" s="71"/>
      <c r="K6" s="71"/>
      <c r="L6" s="71"/>
      <c r="M6" s="71"/>
      <c r="N6" s="71"/>
      <c r="O6" s="71"/>
    </row>
    <row r="7" spans="2:15">
      <c r="B7" s="133"/>
      <c r="C7" s="133"/>
      <c r="D7" s="167"/>
      <c r="E7" s="167"/>
      <c r="F7" s="170"/>
      <c r="G7" s="133"/>
      <c r="H7" s="71"/>
      <c r="I7" s="71"/>
      <c r="J7" s="71"/>
      <c r="K7" s="71"/>
      <c r="L7" s="71"/>
      <c r="M7" s="71"/>
      <c r="N7" s="71"/>
      <c r="O7" s="71"/>
    </row>
    <row r="8" spans="2:15" ht="22.5" customHeight="1">
      <c r="B8" s="133"/>
      <c r="C8" s="133"/>
      <c r="D8" s="167"/>
      <c r="E8" s="167"/>
      <c r="F8" s="170"/>
      <c r="G8" s="133"/>
      <c r="H8" s="71"/>
      <c r="I8" s="71"/>
      <c r="J8" s="71"/>
      <c r="K8" s="71"/>
      <c r="L8" s="71"/>
      <c r="M8" s="71"/>
      <c r="N8" s="71"/>
      <c r="O8" s="71"/>
    </row>
    <row r="9" spans="2:15">
      <c r="B9" s="133"/>
      <c r="C9" s="133"/>
      <c r="D9" s="167"/>
      <c r="E9" s="167"/>
      <c r="F9" s="170"/>
      <c r="G9" s="133"/>
      <c r="H9" s="71"/>
      <c r="I9" s="71"/>
      <c r="J9" s="71"/>
      <c r="K9" s="71"/>
      <c r="L9" s="71"/>
      <c r="M9" s="71"/>
      <c r="N9" s="71"/>
      <c r="O9" s="71"/>
    </row>
    <row r="10" spans="2:15" ht="9" customHeight="1">
      <c r="B10" s="133"/>
      <c r="C10" s="133"/>
      <c r="D10" s="167"/>
      <c r="E10" s="167"/>
      <c r="F10" s="170"/>
      <c r="G10" s="133"/>
      <c r="H10" s="71"/>
      <c r="I10" s="71"/>
      <c r="J10" s="71"/>
      <c r="K10" s="71"/>
      <c r="L10" s="71"/>
      <c r="M10" s="71"/>
      <c r="N10" s="71"/>
      <c r="O10" s="71"/>
    </row>
    <row r="11" spans="2:15" hidden="1">
      <c r="B11" s="133"/>
      <c r="C11" s="133"/>
      <c r="D11" s="167"/>
      <c r="E11" s="167"/>
      <c r="F11" s="170"/>
      <c r="G11" s="133"/>
      <c r="H11" s="71"/>
      <c r="I11" s="71"/>
      <c r="J11" s="71"/>
      <c r="K11" s="71"/>
      <c r="L11" s="71"/>
      <c r="M11" s="71"/>
      <c r="N11" s="71"/>
      <c r="O11" s="71"/>
    </row>
    <row r="12" spans="2:15" hidden="1">
      <c r="B12" s="133"/>
      <c r="C12" s="133"/>
      <c r="D12" s="167"/>
      <c r="E12" s="167"/>
      <c r="F12" s="170"/>
      <c r="G12" s="133"/>
      <c r="H12" s="71"/>
      <c r="I12" s="71"/>
      <c r="J12" s="71"/>
      <c r="K12" s="71"/>
      <c r="L12" s="71"/>
      <c r="M12" s="71"/>
      <c r="N12" s="71"/>
      <c r="O12" s="71"/>
    </row>
    <row r="13" spans="2:15" hidden="1">
      <c r="L13" s="71"/>
      <c r="M13" s="71"/>
      <c r="N13" s="71"/>
      <c r="O13" s="71"/>
    </row>
    <row r="14" spans="2:15" hidden="1">
      <c r="L14" s="71"/>
      <c r="M14" s="71"/>
      <c r="N14" s="71"/>
      <c r="O14" s="71"/>
    </row>
    <row r="15" spans="2:15" hidden="1">
      <c r="L15" s="71"/>
      <c r="M15" s="71"/>
      <c r="N15" s="71"/>
      <c r="O15" s="71"/>
    </row>
    <row r="16" spans="2:15" hidden="1">
      <c r="L16" s="71"/>
      <c r="M16" s="71"/>
      <c r="N16" s="71"/>
      <c r="O16" s="71"/>
    </row>
    <row r="17" spans="2:15" hidden="1">
      <c r="B17" s="249" t="s">
        <v>0</v>
      </c>
      <c r="C17" s="250" t="s" vm="1">
        <v>2</v>
      </c>
      <c r="L17" s="71"/>
      <c r="M17" s="71"/>
      <c r="N17" s="71"/>
      <c r="O17" s="71"/>
    </row>
    <row r="18" spans="2:15" hidden="1">
      <c r="B18" s="249" t="s">
        <v>143</v>
      </c>
      <c r="C18" s="250" t="s" vm="959">
        <v>516</v>
      </c>
      <c r="L18" s="71"/>
      <c r="M18" s="71"/>
      <c r="N18" s="71"/>
      <c r="O18" s="71"/>
    </row>
    <row r="19" spans="2:15" hidden="1">
      <c r="B19" s="249" t="s">
        <v>3</v>
      </c>
      <c r="C19" s="250" t="s" vm="949">
        <v>405</v>
      </c>
      <c r="L19" s="71"/>
      <c r="M19" s="71"/>
      <c r="N19" s="71"/>
      <c r="O19" s="71"/>
    </row>
    <row r="20" spans="2:15" hidden="1">
      <c r="B20" s="249" t="s">
        <v>21</v>
      </c>
      <c r="C20" s="250" t="s" vm="941">
        <v>1</v>
      </c>
    </row>
    <row r="21" spans="2:15" ht="9" customHeight="1"/>
    <row r="22" spans="2:15" ht="15.6">
      <c r="B22" s="259" t="s">
        <v>16</v>
      </c>
      <c r="C22" s="259" t="s">
        <v>17</v>
      </c>
      <c r="D22" s="259" t="s">
        <v>19</v>
      </c>
      <c r="E22" s="260" t="s">
        <v>110</v>
      </c>
      <c r="F22" s="261" t="s">
        <v>138</v>
      </c>
      <c r="G22" s="260" t="s">
        <v>6</v>
      </c>
    </row>
    <row r="23" spans="2:15">
      <c r="B23" s="256" t="s">
        <v>7</v>
      </c>
      <c r="C23" s="250" t="s">
        <v>258</v>
      </c>
      <c r="D23" s="250" t="s">
        <v>312</v>
      </c>
      <c r="E23" s="251">
        <v>53</v>
      </c>
      <c r="F23" s="252">
        <v>0.60227272727272729</v>
      </c>
      <c r="G23" s="251">
        <v>51</v>
      </c>
    </row>
    <row r="24" spans="2:15">
      <c r="B24" s="256" t="s">
        <v>7</v>
      </c>
      <c r="C24" s="250" t="s">
        <v>258</v>
      </c>
      <c r="D24" s="250" t="s">
        <v>686</v>
      </c>
      <c r="E24" s="251">
        <v>2</v>
      </c>
      <c r="F24" s="252">
        <v>2.2727272727272728E-2</v>
      </c>
      <c r="G24" s="251">
        <v>2</v>
      </c>
    </row>
    <row r="25" spans="2:15">
      <c r="B25" s="256" t="s">
        <v>7</v>
      </c>
      <c r="C25" s="250" t="s">
        <v>258</v>
      </c>
      <c r="D25" s="250" t="s">
        <v>687</v>
      </c>
      <c r="E25" s="251">
        <v>7</v>
      </c>
      <c r="F25" s="252">
        <v>7.9545454545454544E-2</v>
      </c>
      <c r="G25" s="251">
        <v>7</v>
      </c>
    </row>
    <row r="26" spans="2:15">
      <c r="B26" s="256" t="s">
        <v>7</v>
      </c>
      <c r="C26" s="250" t="s">
        <v>258</v>
      </c>
      <c r="D26" s="250" t="s">
        <v>688</v>
      </c>
      <c r="E26" s="251">
        <v>1</v>
      </c>
      <c r="F26" s="252">
        <v>1.1363636363636364E-2</v>
      </c>
      <c r="G26" s="251">
        <v>1</v>
      </c>
    </row>
    <row r="27" spans="2:15">
      <c r="B27" s="256" t="s">
        <v>7</v>
      </c>
      <c r="C27" s="250" t="s">
        <v>258</v>
      </c>
      <c r="D27" s="250" t="s">
        <v>689</v>
      </c>
      <c r="E27" s="251">
        <v>1</v>
      </c>
      <c r="F27" s="252">
        <v>1.1363636363636364E-2</v>
      </c>
      <c r="G27" s="251">
        <v>1</v>
      </c>
    </row>
    <row r="28" spans="2:15">
      <c r="B28" s="256" t="s">
        <v>7</v>
      </c>
      <c r="C28" s="250" t="s">
        <v>258</v>
      </c>
      <c r="D28" s="250" t="s">
        <v>690</v>
      </c>
      <c r="E28" s="251">
        <v>1</v>
      </c>
      <c r="F28" s="252">
        <v>1.1363636363636364E-2</v>
      </c>
      <c r="G28" s="251">
        <v>1</v>
      </c>
    </row>
    <row r="29" spans="2:15">
      <c r="B29" s="256" t="s">
        <v>7</v>
      </c>
      <c r="C29" s="250" t="s">
        <v>258</v>
      </c>
      <c r="D29" s="250" t="s">
        <v>14</v>
      </c>
      <c r="E29" s="251">
        <v>3</v>
      </c>
      <c r="F29" s="252">
        <v>3.4090909090909088E-2</v>
      </c>
      <c r="G29" s="251">
        <v>3</v>
      </c>
    </row>
    <row r="30" spans="2:15">
      <c r="B30" s="256" t="s">
        <v>7</v>
      </c>
      <c r="C30" s="250" t="s">
        <v>258</v>
      </c>
      <c r="D30" s="250" t="s">
        <v>691</v>
      </c>
      <c r="E30" s="251">
        <v>1</v>
      </c>
      <c r="F30" s="252">
        <v>1.1363636363636364E-2</v>
      </c>
      <c r="G30" s="251">
        <v>1</v>
      </c>
    </row>
    <row r="31" spans="2:15">
      <c r="B31" s="256" t="s">
        <v>7</v>
      </c>
      <c r="C31" s="250" t="s">
        <v>258</v>
      </c>
      <c r="D31" s="250" t="s">
        <v>692</v>
      </c>
      <c r="E31" s="251">
        <v>14</v>
      </c>
      <c r="F31" s="252">
        <v>0.15909090909090909</v>
      </c>
      <c r="G31" s="251">
        <v>13</v>
      </c>
    </row>
    <row r="32" spans="2:15">
      <c r="B32" s="256" t="s">
        <v>7</v>
      </c>
      <c r="C32" s="250" t="s">
        <v>258</v>
      </c>
      <c r="D32" s="250" t="s">
        <v>18</v>
      </c>
      <c r="E32" s="251">
        <v>5</v>
      </c>
      <c r="F32" s="252">
        <v>5.6818181818181816E-2</v>
      </c>
      <c r="G32" s="251">
        <v>5</v>
      </c>
    </row>
    <row r="33" spans="2:7">
      <c r="B33" s="256" t="s">
        <v>7</v>
      </c>
      <c r="C33" s="250" t="s">
        <v>263</v>
      </c>
      <c r="D33" s="250"/>
      <c r="E33" s="251">
        <v>88</v>
      </c>
      <c r="F33" s="252">
        <v>1</v>
      </c>
      <c r="G33" s="251">
        <v>75</v>
      </c>
    </row>
    <row r="34" spans="2:7">
      <c r="B34" s="256" t="s">
        <v>7</v>
      </c>
      <c r="C34" s="250" t="s">
        <v>517</v>
      </c>
      <c r="D34" s="250" t="s">
        <v>425</v>
      </c>
      <c r="E34" s="251">
        <v>43</v>
      </c>
      <c r="F34" s="252">
        <v>0.4942528735632184</v>
      </c>
      <c r="G34" s="251">
        <v>39</v>
      </c>
    </row>
    <row r="35" spans="2:7">
      <c r="B35" s="256" t="s">
        <v>7</v>
      </c>
      <c r="C35" s="250" t="s">
        <v>517</v>
      </c>
      <c r="D35" s="250" t="s">
        <v>686</v>
      </c>
      <c r="E35" s="251">
        <v>7</v>
      </c>
      <c r="F35" s="252">
        <v>8.0459770114942528E-2</v>
      </c>
      <c r="G35" s="251">
        <v>7</v>
      </c>
    </row>
    <row r="36" spans="2:7">
      <c r="B36" s="256" t="s">
        <v>7</v>
      </c>
      <c r="C36" s="250" t="s">
        <v>517</v>
      </c>
      <c r="D36" s="250" t="s">
        <v>687</v>
      </c>
      <c r="E36" s="251">
        <v>3</v>
      </c>
      <c r="F36" s="252">
        <v>3.4482758620689655E-2</v>
      </c>
      <c r="G36" s="251">
        <v>3</v>
      </c>
    </row>
    <row r="37" spans="2:7">
      <c r="B37" s="256" t="s">
        <v>7</v>
      </c>
      <c r="C37" s="250" t="s">
        <v>517</v>
      </c>
      <c r="D37" s="250" t="s">
        <v>693</v>
      </c>
      <c r="E37" s="251">
        <v>3</v>
      </c>
      <c r="F37" s="252">
        <v>3.4482758620689655E-2</v>
      </c>
      <c r="G37" s="251">
        <v>2</v>
      </c>
    </row>
    <row r="38" spans="2:7">
      <c r="B38" s="256" t="s">
        <v>7</v>
      </c>
      <c r="C38" s="250" t="s">
        <v>517</v>
      </c>
      <c r="D38" s="250" t="s">
        <v>688</v>
      </c>
      <c r="E38" s="251">
        <v>1</v>
      </c>
      <c r="F38" s="252">
        <v>1.1494252873563218E-2</v>
      </c>
      <c r="G38" s="251">
        <v>1</v>
      </c>
    </row>
    <row r="39" spans="2:7">
      <c r="B39" s="256" t="s">
        <v>7</v>
      </c>
      <c r="C39" s="250" t="s">
        <v>517</v>
      </c>
      <c r="D39" s="250" t="s">
        <v>689</v>
      </c>
      <c r="E39" s="251">
        <v>2</v>
      </c>
      <c r="F39" s="252">
        <v>2.2988505747126436E-2</v>
      </c>
      <c r="G39" s="251">
        <v>2</v>
      </c>
    </row>
    <row r="40" spans="2:7">
      <c r="B40" s="256" t="s">
        <v>7</v>
      </c>
      <c r="C40" s="250" t="s">
        <v>517</v>
      </c>
      <c r="D40" s="250" t="s">
        <v>690</v>
      </c>
      <c r="E40" s="251">
        <v>2</v>
      </c>
      <c r="F40" s="252">
        <v>2.2988505747126436E-2</v>
      </c>
      <c r="G40" s="251">
        <v>2</v>
      </c>
    </row>
    <row r="41" spans="2:7">
      <c r="B41" s="256" t="s">
        <v>7</v>
      </c>
      <c r="C41" s="250" t="s">
        <v>517</v>
      </c>
      <c r="D41" s="250" t="s">
        <v>14</v>
      </c>
      <c r="E41" s="251">
        <v>1</v>
      </c>
      <c r="F41" s="252">
        <v>1.1494252873563218E-2</v>
      </c>
      <c r="G41" s="251">
        <v>1</v>
      </c>
    </row>
    <row r="42" spans="2:7">
      <c r="B42" s="256" t="s">
        <v>7</v>
      </c>
      <c r="C42" s="250" t="s">
        <v>517</v>
      </c>
      <c r="D42" s="250" t="s">
        <v>694</v>
      </c>
      <c r="E42" s="251">
        <v>1</v>
      </c>
      <c r="F42" s="252">
        <v>1.1494252873563218E-2</v>
      </c>
      <c r="G42" s="251">
        <v>1</v>
      </c>
    </row>
    <row r="43" spans="2:7">
      <c r="B43" s="256" t="s">
        <v>7</v>
      </c>
      <c r="C43" s="250" t="s">
        <v>517</v>
      </c>
      <c r="D43" s="250" t="s">
        <v>691</v>
      </c>
      <c r="E43" s="251">
        <v>3</v>
      </c>
      <c r="F43" s="252">
        <v>3.4482758620689655E-2</v>
      </c>
      <c r="G43" s="251">
        <v>3</v>
      </c>
    </row>
    <row r="44" spans="2:7">
      <c r="B44" s="256" t="s">
        <v>7</v>
      </c>
      <c r="C44" s="250" t="s">
        <v>517</v>
      </c>
      <c r="D44" s="250" t="s">
        <v>692</v>
      </c>
      <c r="E44" s="251">
        <v>13</v>
      </c>
      <c r="F44" s="252">
        <v>0.14942528735632185</v>
      </c>
      <c r="G44" s="251">
        <v>13</v>
      </c>
    </row>
    <row r="45" spans="2:7">
      <c r="B45" s="256" t="s">
        <v>7</v>
      </c>
      <c r="C45" s="250" t="s">
        <v>517</v>
      </c>
      <c r="D45" s="250" t="s">
        <v>18</v>
      </c>
      <c r="E45" s="251">
        <v>8</v>
      </c>
      <c r="F45" s="252">
        <v>9.1954022988505746E-2</v>
      </c>
      <c r="G45" s="251">
        <v>7</v>
      </c>
    </row>
    <row r="46" spans="2:7">
      <c r="B46" s="256" t="s">
        <v>7</v>
      </c>
      <c r="C46" s="250" t="s">
        <v>695</v>
      </c>
      <c r="D46" s="250"/>
      <c r="E46" s="251">
        <v>87</v>
      </c>
      <c r="F46" s="252">
        <v>1</v>
      </c>
      <c r="G46" s="251">
        <v>60</v>
      </c>
    </row>
    <row r="47" spans="2:7">
      <c r="B47" s="256" t="s">
        <v>7</v>
      </c>
      <c r="C47" s="250" t="s">
        <v>474</v>
      </c>
      <c r="D47" s="250" t="s">
        <v>312</v>
      </c>
      <c r="E47" s="251">
        <v>4</v>
      </c>
      <c r="F47" s="252">
        <v>0.36363636363636365</v>
      </c>
      <c r="G47" s="251">
        <v>4</v>
      </c>
    </row>
    <row r="48" spans="2:7">
      <c r="B48" s="256" t="s">
        <v>7</v>
      </c>
      <c r="C48" s="250" t="s">
        <v>474</v>
      </c>
      <c r="D48" s="250" t="s">
        <v>686</v>
      </c>
      <c r="E48" s="251">
        <v>1</v>
      </c>
      <c r="F48" s="252">
        <v>9.0909090909090912E-2</v>
      </c>
      <c r="G48" s="251">
        <v>1</v>
      </c>
    </row>
    <row r="49" spans="2:7">
      <c r="B49" s="256" t="s">
        <v>7</v>
      </c>
      <c r="C49" s="250" t="s">
        <v>474</v>
      </c>
      <c r="D49" s="250" t="s">
        <v>696</v>
      </c>
      <c r="E49" s="251">
        <v>5</v>
      </c>
      <c r="F49" s="252">
        <v>0.45454545454545453</v>
      </c>
      <c r="G49" s="251">
        <v>5</v>
      </c>
    </row>
    <row r="50" spans="2:7">
      <c r="B50" s="256" t="s">
        <v>7</v>
      </c>
      <c r="C50" s="250" t="s">
        <v>474</v>
      </c>
      <c r="D50" s="250" t="s">
        <v>697</v>
      </c>
      <c r="E50" s="251">
        <v>1</v>
      </c>
      <c r="F50" s="252">
        <v>9.0909090909090912E-2</v>
      </c>
      <c r="G50" s="251">
        <v>1</v>
      </c>
    </row>
    <row r="51" spans="2:7">
      <c r="B51" s="256" t="s">
        <v>7</v>
      </c>
      <c r="C51" s="250" t="s">
        <v>483</v>
      </c>
      <c r="D51" s="250"/>
      <c r="E51" s="251">
        <v>11</v>
      </c>
      <c r="F51" s="252">
        <v>1</v>
      </c>
      <c r="G51" s="251">
        <v>10</v>
      </c>
    </row>
    <row r="52" spans="2:7">
      <c r="B52" s="256" t="s">
        <v>7</v>
      </c>
      <c r="C52" s="250" t="s">
        <v>518</v>
      </c>
      <c r="D52" s="250" t="s">
        <v>425</v>
      </c>
      <c r="E52" s="251">
        <v>189</v>
      </c>
      <c r="F52" s="252">
        <v>0.42093541202672607</v>
      </c>
      <c r="G52" s="251">
        <v>183</v>
      </c>
    </row>
    <row r="53" spans="2:7">
      <c r="B53" s="256" t="s">
        <v>7</v>
      </c>
      <c r="C53" s="250" t="s">
        <v>518</v>
      </c>
      <c r="D53" s="250" t="s">
        <v>686</v>
      </c>
      <c r="E53" s="251">
        <v>10</v>
      </c>
      <c r="F53" s="252">
        <v>2.2271714922048998E-2</v>
      </c>
      <c r="G53" s="251">
        <v>10</v>
      </c>
    </row>
    <row r="54" spans="2:7">
      <c r="B54" s="256" t="s">
        <v>7</v>
      </c>
      <c r="C54" s="250" t="s">
        <v>518</v>
      </c>
      <c r="D54" s="250" t="s">
        <v>687</v>
      </c>
      <c r="E54" s="251">
        <v>62</v>
      </c>
      <c r="F54" s="252">
        <v>0.13808463251670378</v>
      </c>
      <c r="G54" s="251">
        <v>59</v>
      </c>
    </row>
    <row r="55" spans="2:7">
      <c r="B55" s="256" t="s">
        <v>7</v>
      </c>
      <c r="C55" s="250" t="s">
        <v>518</v>
      </c>
      <c r="D55" s="250" t="s">
        <v>693</v>
      </c>
      <c r="E55" s="251">
        <v>14</v>
      </c>
      <c r="F55" s="252">
        <v>3.1180400890868598E-2</v>
      </c>
      <c r="G55" s="251">
        <v>14</v>
      </c>
    </row>
    <row r="56" spans="2:7">
      <c r="B56" s="256" t="s">
        <v>7</v>
      </c>
      <c r="C56" s="250" t="s">
        <v>518</v>
      </c>
      <c r="D56" s="250" t="s">
        <v>698</v>
      </c>
      <c r="E56" s="251">
        <v>10</v>
      </c>
      <c r="F56" s="252">
        <v>2.2271714922048998E-2</v>
      </c>
      <c r="G56" s="251">
        <v>8</v>
      </c>
    </row>
    <row r="57" spans="2:7">
      <c r="B57" s="256" t="s">
        <v>7</v>
      </c>
      <c r="C57" s="250" t="s">
        <v>518</v>
      </c>
      <c r="D57" s="250" t="s">
        <v>688</v>
      </c>
      <c r="E57" s="251">
        <v>8</v>
      </c>
      <c r="F57" s="252">
        <v>1.7817371937639197E-2</v>
      </c>
      <c r="G57" s="251">
        <v>7</v>
      </c>
    </row>
    <row r="58" spans="2:7">
      <c r="B58" s="256" t="s">
        <v>7</v>
      </c>
      <c r="C58" s="250" t="s">
        <v>518</v>
      </c>
      <c r="D58" s="250" t="s">
        <v>699</v>
      </c>
      <c r="E58" s="251">
        <v>36</v>
      </c>
      <c r="F58" s="252">
        <v>8.0178173719376397E-2</v>
      </c>
      <c r="G58" s="251">
        <v>32</v>
      </c>
    </row>
    <row r="59" spans="2:7">
      <c r="B59" s="256" t="s">
        <v>7</v>
      </c>
      <c r="C59" s="250" t="s">
        <v>518</v>
      </c>
      <c r="D59" s="250" t="s">
        <v>690</v>
      </c>
      <c r="E59" s="251">
        <v>1</v>
      </c>
      <c r="F59" s="252">
        <v>2.2271714922048997E-3</v>
      </c>
      <c r="G59" s="251">
        <v>1</v>
      </c>
    </row>
    <row r="60" spans="2:7">
      <c r="B60" s="256" t="s">
        <v>7</v>
      </c>
      <c r="C60" s="250" t="s">
        <v>518</v>
      </c>
      <c r="D60" s="250" t="s">
        <v>700</v>
      </c>
      <c r="E60" s="251">
        <v>3</v>
      </c>
      <c r="F60" s="252">
        <v>6.6815144766146995E-3</v>
      </c>
      <c r="G60" s="251">
        <v>3</v>
      </c>
    </row>
    <row r="61" spans="2:7">
      <c r="B61" s="256" t="s">
        <v>7</v>
      </c>
      <c r="C61" s="250" t="s">
        <v>518</v>
      </c>
      <c r="D61" s="250" t="s">
        <v>14</v>
      </c>
      <c r="E61" s="251">
        <v>8</v>
      </c>
      <c r="F61" s="252">
        <v>1.7817371937639197E-2</v>
      </c>
      <c r="G61" s="251">
        <v>8</v>
      </c>
    </row>
    <row r="62" spans="2:7">
      <c r="B62" s="256" t="s">
        <v>7</v>
      </c>
      <c r="C62" s="250" t="s">
        <v>518</v>
      </c>
      <c r="D62" s="250" t="s">
        <v>701</v>
      </c>
      <c r="E62" s="251">
        <v>10</v>
      </c>
      <c r="F62" s="252">
        <v>2.2271714922048998E-2</v>
      </c>
      <c r="G62" s="251">
        <v>10</v>
      </c>
    </row>
    <row r="63" spans="2:7">
      <c r="B63" s="256" t="s">
        <v>7</v>
      </c>
      <c r="C63" s="250" t="s">
        <v>518</v>
      </c>
      <c r="D63" s="250" t="s">
        <v>694</v>
      </c>
      <c r="E63" s="251">
        <v>1</v>
      </c>
      <c r="F63" s="252">
        <v>2.2271714922048997E-3</v>
      </c>
      <c r="G63" s="251">
        <v>1</v>
      </c>
    </row>
    <row r="64" spans="2:7">
      <c r="B64" s="256" t="s">
        <v>7</v>
      </c>
      <c r="C64" s="250" t="s">
        <v>518</v>
      </c>
      <c r="D64" s="250" t="s">
        <v>702</v>
      </c>
      <c r="E64" s="251">
        <v>11</v>
      </c>
      <c r="F64" s="252">
        <v>2.4498886414253896E-2</v>
      </c>
      <c r="G64" s="251">
        <v>11</v>
      </c>
    </row>
    <row r="65" spans="2:7">
      <c r="B65" s="256" t="s">
        <v>7</v>
      </c>
      <c r="C65" s="250" t="s">
        <v>518</v>
      </c>
      <c r="D65" s="250" t="s">
        <v>691</v>
      </c>
      <c r="E65" s="251">
        <v>1</v>
      </c>
      <c r="F65" s="252">
        <v>2.2271714922048997E-3</v>
      </c>
      <c r="G65" s="251">
        <v>1</v>
      </c>
    </row>
    <row r="66" spans="2:7">
      <c r="B66" s="256" t="s">
        <v>7</v>
      </c>
      <c r="C66" s="250" t="s">
        <v>518</v>
      </c>
      <c r="D66" s="250" t="s">
        <v>692</v>
      </c>
      <c r="E66" s="251">
        <v>69</v>
      </c>
      <c r="F66" s="252">
        <v>0.15367483296213807</v>
      </c>
      <c r="G66" s="251">
        <v>69</v>
      </c>
    </row>
    <row r="67" spans="2:7">
      <c r="B67" s="256" t="s">
        <v>7</v>
      </c>
      <c r="C67" s="250" t="s">
        <v>518</v>
      </c>
      <c r="D67" s="250" t="s">
        <v>18</v>
      </c>
      <c r="E67" s="251">
        <v>16</v>
      </c>
      <c r="F67" s="252">
        <v>3.5634743875278395E-2</v>
      </c>
      <c r="G67" s="251">
        <v>16</v>
      </c>
    </row>
    <row r="68" spans="2:7">
      <c r="B68" s="256" t="s">
        <v>7</v>
      </c>
      <c r="C68" s="250" t="s">
        <v>703</v>
      </c>
      <c r="D68" s="250"/>
      <c r="E68" s="251">
        <v>449</v>
      </c>
      <c r="F68" s="252">
        <v>1</v>
      </c>
      <c r="G68" s="251">
        <v>337</v>
      </c>
    </row>
    <row r="69" spans="2:7">
      <c r="B69" s="256" t="s">
        <v>7</v>
      </c>
      <c r="C69" s="250" t="s">
        <v>519</v>
      </c>
      <c r="D69" s="250" t="s">
        <v>312</v>
      </c>
      <c r="E69" s="251">
        <v>41</v>
      </c>
      <c r="F69" s="252">
        <v>0.47126436781609193</v>
      </c>
      <c r="G69" s="251">
        <v>40</v>
      </c>
    </row>
    <row r="70" spans="2:7">
      <c r="B70" s="256" t="s">
        <v>7</v>
      </c>
      <c r="C70" s="250" t="s">
        <v>519</v>
      </c>
      <c r="D70" s="250" t="s">
        <v>686</v>
      </c>
      <c r="E70" s="251">
        <v>1</v>
      </c>
      <c r="F70" s="252">
        <v>1.1494252873563218E-2</v>
      </c>
      <c r="G70" s="251">
        <v>1</v>
      </c>
    </row>
    <row r="71" spans="2:7">
      <c r="B71" s="256" t="s">
        <v>7</v>
      </c>
      <c r="C71" s="250" t="s">
        <v>519</v>
      </c>
      <c r="D71" s="250" t="s">
        <v>688</v>
      </c>
      <c r="E71" s="251">
        <v>1</v>
      </c>
      <c r="F71" s="252">
        <v>1.1494252873563218E-2</v>
      </c>
      <c r="G71" s="251">
        <v>1</v>
      </c>
    </row>
    <row r="72" spans="2:7">
      <c r="B72" s="256" t="s">
        <v>7</v>
      </c>
      <c r="C72" s="250" t="s">
        <v>519</v>
      </c>
      <c r="D72" s="250" t="s">
        <v>690</v>
      </c>
      <c r="E72" s="251">
        <v>1</v>
      </c>
      <c r="F72" s="252">
        <v>1.1494252873563218E-2</v>
      </c>
      <c r="G72" s="251">
        <v>1</v>
      </c>
    </row>
    <row r="73" spans="2:7">
      <c r="B73" s="256" t="s">
        <v>7</v>
      </c>
      <c r="C73" s="250" t="s">
        <v>519</v>
      </c>
      <c r="D73" s="250" t="s">
        <v>14</v>
      </c>
      <c r="E73" s="251">
        <v>1</v>
      </c>
      <c r="F73" s="252">
        <v>1.1494252873563218E-2</v>
      </c>
      <c r="G73" s="251">
        <v>1</v>
      </c>
    </row>
    <row r="74" spans="2:7">
      <c r="B74" s="256" t="s">
        <v>7</v>
      </c>
      <c r="C74" s="250" t="s">
        <v>519</v>
      </c>
      <c r="D74" s="250" t="s">
        <v>692</v>
      </c>
      <c r="E74" s="251">
        <v>35</v>
      </c>
      <c r="F74" s="252">
        <v>0.40229885057471265</v>
      </c>
      <c r="G74" s="251">
        <v>31</v>
      </c>
    </row>
    <row r="75" spans="2:7">
      <c r="B75" s="256" t="s">
        <v>7</v>
      </c>
      <c r="C75" s="250" t="s">
        <v>519</v>
      </c>
      <c r="D75" s="250" t="s">
        <v>18</v>
      </c>
      <c r="E75" s="251">
        <v>7</v>
      </c>
      <c r="F75" s="252">
        <v>8.0459770114942528E-2</v>
      </c>
      <c r="G75" s="251">
        <v>7</v>
      </c>
    </row>
    <row r="76" spans="2:7">
      <c r="B76" s="256" t="s">
        <v>7</v>
      </c>
      <c r="C76" s="250" t="s">
        <v>704</v>
      </c>
      <c r="D76" s="250"/>
      <c r="E76" s="251">
        <v>87</v>
      </c>
      <c r="F76" s="252">
        <v>1</v>
      </c>
      <c r="G76" s="251">
        <v>72</v>
      </c>
    </row>
    <row r="77" spans="2:7">
      <c r="B77" s="256" t="s">
        <v>7</v>
      </c>
      <c r="C77" s="250" t="s">
        <v>520</v>
      </c>
      <c r="D77" s="250" t="s">
        <v>705</v>
      </c>
      <c r="E77" s="251">
        <v>168</v>
      </c>
      <c r="F77" s="252">
        <v>0.34146341463414637</v>
      </c>
      <c r="G77" s="251">
        <v>156</v>
      </c>
    </row>
    <row r="78" spans="2:7">
      <c r="B78" s="256" t="s">
        <v>7</v>
      </c>
      <c r="C78" s="250" t="s">
        <v>520</v>
      </c>
      <c r="D78" s="250" t="s">
        <v>706</v>
      </c>
      <c r="E78" s="251">
        <v>52</v>
      </c>
      <c r="F78" s="252">
        <v>0.10569105691056911</v>
      </c>
      <c r="G78" s="251">
        <v>50</v>
      </c>
    </row>
    <row r="79" spans="2:7">
      <c r="B79" s="256" t="s">
        <v>7</v>
      </c>
      <c r="C79" s="250" t="s">
        <v>520</v>
      </c>
      <c r="D79" s="250" t="s">
        <v>707</v>
      </c>
      <c r="E79" s="251">
        <v>7</v>
      </c>
      <c r="F79" s="252">
        <v>1.4227642276422764E-2</v>
      </c>
      <c r="G79" s="251">
        <v>7</v>
      </c>
    </row>
    <row r="80" spans="2:7">
      <c r="B80" s="256" t="s">
        <v>7</v>
      </c>
      <c r="C80" s="250" t="s">
        <v>520</v>
      </c>
      <c r="D80" s="250" t="s">
        <v>708</v>
      </c>
      <c r="E80" s="251">
        <v>6</v>
      </c>
      <c r="F80" s="252">
        <v>1.2195121951219513E-2</v>
      </c>
      <c r="G80" s="251">
        <v>6</v>
      </c>
    </row>
    <row r="81" spans="2:7">
      <c r="B81" s="256" t="s">
        <v>7</v>
      </c>
      <c r="C81" s="250" t="s">
        <v>520</v>
      </c>
      <c r="D81" s="250" t="s">
        <v>686</v>
      </c>
      <c r="E81" s="251">
        <v>19</v>
      </c>
      <c r="F81" s="252">
        <v>3.8617886178861791E-2</v>
      </c>
      <c r="G81" s="251">
        <v>19</v>
      </c>
    </row>
    <row r="82" spans="2:7">
      <c r="B82" s="256" t="s">
        <v>7</v>
      </c>
      <c r="C82" s="250" t="s">
        <v>520</v>
      </c>
      <c r="D82" s="250" t="s">
        <v>698</v>
      </c>
      <c r="E82" s="251">
        <v>14</v>
      </c>
      <c r="F82" s="252">
        <v>2.8455284552845527E-2</v>
      </c>
      <c r="G82" s="251">
        <v>14</v>
      </c>
    </row>
    <row r="83" spans="2:7">
      <c r="B83" s="256" t="s">
        <v>7</v>
      </c>
      <c r="C83" s="250" t="s">
        <v>520</v>
      </c>
      <c r="D83" s="250" t="s">
        <v>688</v>
      </c>
      <c r="E83" s="251">
        <v>4</v>
      </c>
      <c r="F83" s="252">
        <v>8.130081300813009E-3</v>
      </c>
      <c r="G83" s="251">
        <v>4</v>
      </c>
    </row>
    <row r="84" spans="2:7">
      <c r="B84" s="256" t="s">
        <v>7</v>
      </c>
      <c r="C84" s="250" t="s">
        <v>520</v>
      </c>
      <c r="D84" s="250" t="s">
        <v>709</v>
      </c>
      <c r="E84" s="251">
        <v>33</v>
      </c>
      <c r="F84" s="252">
        <v>6.7073170731707321E-2</v>
      </c>
      <c r="G84" s="251">
        <v>30</v>
      </c>
    </row>
    <row r="85" spans="2:7">
      <c r="B85" s="256" t="s">
        <v>7</v>
      </c>
      <c r="C85" s="250" t="s">
        <v>520</v>
      </c>
      <c r="D85" s="250" t="s">
        <v>710</v>
      </c>
      <c r="E85" s="251">
        <v>68</v>
      </c>
      <c r="F85" s="252">
        <v>0.13821138211382114</v>
      </c>
      <c r="G85" s="251">
        <v>62</v>
      </c>
    </row>
    <row r="86" spans="2:7">
      <c r="B86" s="256" t="s">
        <v>7</v>
      </c>
      <c r="C86" s="250" t="s">
        <v>520</v>
      </c>
      <c r="D86" s="250" t="s">
        <v>690</v>
      </c>
      <c r="E86" s="251">
        <v>14</v>
      </c>
      <c r="F86" s="252">
        <v>2.8455284552845527E-2</v>
      </c>
      <c r="G86" s="251">
        <v>13</v>
      </c>
    </row>
    <row r="87" spans="2:7">
      <c r="B87" s="256" t="s">
        <v>7</v>
      </c>
      <c r="C87" s="250" t="s">
        <v>520</v>
      </c>
      <c r="D87" s="250" t="s">
        <v>14</v>
      </c>
      <c r="E87" s="251">
        <v>9</v>
      </c>
      <c r="F87" s="252">
        <v>1.8292682926829267E-2</v>
      </c>
      <c r="G87" s="251">
        <v>9</v>
      </c>
    </row>
    <row r="88" spans="2:7">
      <c r="B88" s="256" t="s">
        <v>7</v>
      </c>
      <c r="C88" s="250" t="s">
        <v>520</v>
      </c>
      <c r="D88" s="250" t="s">
        <v>694</v>
      </c>
      <c r="E88" s="251">
        <v>5</v>
      </c>
      <c r="F88" s="252">
        <v>1.016260162601626E-2</v>
      </c>
      <c r="G88" s="251">
        <v>4</v>
      </c>
    </row>
    <row r="89" spans="2:7">
      <c r="B89" s="256" t="s">
        <v>7</v>
      </c>
      <c r="C89" s="250" t="s">
        <v>520</v>
      </c>
      <c r="D89" s="250" t="s">
        <v>691</v>
      </c>
      <c r="E89" s="251">
        <v>1</v>
      </c>
      <c r="F89" s="252">
        <v>2.0325203252032522E-3</v>
      </c>
      <c r="G89" s="251">
        <v>1</v>
      </c>
    </row>
    <row r="90" spans="2:7">
      <c r="B90" s="256" t="s">
        <v>7</v>
      </c>
      <c r="C90" s="250" t="s">
        <v>520</v>
      </c>
      <c r="D90" s="250" t="s">
        <v>692</v>
      </c>
      <c r="E90" s="251">
        <v>73</v>
      </c>
      <c r="F90" s="252">
        <v>0.1483739837398374</v>
      </c>
      <c r="G90" s="251">
        <v>67</v>
      </c>
    </row>
    <row r="91" spans="2:7">
      <c r="B91" s="256" t="s">
        <v>7</v>
      </c>
      <c r="C91" s="250" t="s">
        <v>520</v>
      </c>
      <c r="D91" s="250" t="s">
        <v>18</v>
      </c>
      <c r="E91" s="251">
        <v>19</v>
      </c>
      <c r="F91" s="252">
        <v>3.8617886178861791E-2</v>
      </c>
      <c r="G91" s="251">
        <v>19</v>
      </c>
    </row>
    <row r="92" spans="2:7">
      <c r="B92" s="256" t="s">
        <v>7</v>
      </c>
      <c r="C92" s="250" t="s">
        <v>711</v>
      </c>
      <c r="D92" s="250"/>
      <c r="E92" s="251">
        <v>492</v>
      </c>
      <c r="F92" s="252">
        <v>1</v>
      </c>
      <c r="G92" s="251">
        <v>339</v>
      </c>
    </row>
    <row r="93" spans="2:7">
      <c r="B93" s="256" t="s">
        <v>7</v>
      </c>
      <c r="C93" s="250" t="s">
        <v>305</v>
      </c>
      <c r="D93" s="250" t="s">
        <v>425</v>
      </c>
      <c r="E93" s="251">
        <v>86</v>
      </c>
      <c r="F93" s="252">
        <v>0.50887573964497046</v>
      </c>
      <c r="G93" s="251">
        <v>85</v>
      </c>
    </row>
    <row r="94" spans="2:7">
      <c r="B94" s="256" t="s">
        <v>7</v>
      </c>
      <c r="C94" s="250" t="s">
        <v>305</v>
      </c>
      <c r="D94" s="250" t="s">
        <v>686</v>
      </c>
      <c r="E94" s="251">
        <v>3</v>
      </c>
      <c r="F94" s="252">
        <v>1.7751479289940829E-2</v>
      </c>
      <c r="G94" s="251">
        <v>3</v>
      </c>
    </row>
    <row r="95" spans="2:7">
      <c r="B95" s="256" t="s">
        <v>7</v>
      </c>
      <c r="C95" s="250" t="s">
        <v>305</v>
      </c>
      <c r="D95" s="250" t="s">
        <v>712</v>
      </c>
      <c r="E95" s="251">
        <v>4</v>
      </c>
      <c r="F95" s="252">
        <v>2.3668639053254437E-2</v>
      </c>
      <c r="G95" s="251">
        <v>4</v>
      </c>
    </row>
    <row r="96" spans="2:7">
      <c r="B96" s="256" t="s">
        <v>7</v>
      </c>
      <c r="C96" s="250" t="s">
        <v>305</v>
      </c>
      <c r="D96" s="250" t="s">
        <v>713</v>
      </c>
      <c r="E96" s="251">
        <v>1</v>
      </c>
      <c r="F96" s="252">
        <v>5.9171597633136093E-3</v>
      </c>
      <c r="G96" s="251">
        <v>1</v>
      </c>
    </row>
    <row r="97" spans="2:7">
      <c r="B97" s="256" t="s">
        <v>7</v>
      </c>
      <c r="C97" s="250" t="s">
        <v>305</v>
      </c>
      <c r="D97" s="250" t="s">
        <v>693</v>
      </c>
      <c r="E97" s="251">
        <v>3</v>
      </c>
      <c r="F97" s="252">
        <v>1.7751479289940829E-2</v>
      </c>
      <c r="G97" s="251">
        <v>3</v>
      </c>
    </row>
    <row r="98" spans="2:7">
      <c r="B98" s="256" t="s">
        <v>7</v>
      </c>
      <c r="C98" s="250" t="s">
        <v>305</v>
      </c>
      <c r="D98" s="250" t="s">
        <v>698</v>
      </c>
      <c r="E98" s="251">
        <v>1</v>
      </c>
      <c r="F98" s="252">
        <v>5.9171597633136093E-3</v>
      </c>
      <c r="G98" s="251">
        <v>1</v>
      </c>
    </row>
    <row r="99" spans="2:7">
      <c r="B99" s="256" t="s">
        <v>7</v>
      </c>
      <c r="C99" s="250" t="s">
        <v>305</v>
      </c>
      <c r="D99" s="250" t="s">
        <v>688</v>
      </c>
      <c r="E99" s="251">
        <v>1</v>
      </c>
      <c r="F99" s="252">
        <v>5.9171597633136093E-3</v>
      </c>
      <c r="G99" s="251">
        <v>1</v>
      </c>
    </row>
    <row r="100" spans="2:7">
      <c r="B100" s="256" t="s">
        <v>7</v>
      </c>
      <c r="C100" s="250" t="s">
        <v>305</v>
      </c>
      <c r="D100" s="250" t="s">
        <v>714</v>
      </c>
      <c r="E100" s="251">
        <v>13</v>
      </c>
      <c r="F100" s="252">
        <v>7.6923076923076927E-2</v>
      </c>
      <c r="G100" s="251">
        <v>13</v>
      </c>
    </row>
    <row r="101" spans="2:7">
      <c r="B101" s="256" t="s">
        <v>7</v>
      </c>
      <c r="C101" s="250" t="s">
        <v>305</v>
      </c>
      <c r="D101" s="250" t="s">
        <v>431</v>
      </c>
      <c r="E101" s="251">
        <v>3</v>
      </c>
      <c r="F101" s="252">
        <v>1.7751479289940829E-2</v>
      </c>
      <c r="G101" s="251">
        <v>3</v>
      </c>
    </row>
    <row r="102" spans="2:7">
      <c r="B102" s="256" t="s">
        <v>7</v>
      </c>
      <c r="C102" s="250" t="s">
        <v>305</v>
      </c>
      <c r="D102" s="250" t="s">
        <v>715</v>
      </c>
      <c r="E102" s="251">
        <v>4</v>
      </c>
      <c r="F102" s="252">
        <v>2.3668639053254437E-2</v>
      </c>
      <c r="G102" s="251">
        <v>4</v>
      </c>
    </row>
    <row r="103" spans="2:7">
      <c r="B103" s="256" t="s">
        <v>7</v>
      </c>
      <c r="C103" s="250" t="s">
        <v>305</v>
      </c>
      <c r="D103" s="250" t="s">
        <v>690</v>
      </c>
      <c r="E103" s="251">
        <v>2</v>
      </c>
      <c r="F103" s="252">
        <v>1.1834319526627219E-2</v>
      </c>
      <c r="G103" s="251">
        <v>2</v>
      </c>
    </row>
    <row r="104" spans="2:7">
      <c r="B104" s="256" t="s">
        <v>7</v>
      </c>
      <c r="C104" s="250" t="s">
        <v>305</v>
      </c>
      <c r="D104" s="250" t="s">
        <v>716</v>
      </c>
      <c r="E104" s="251">
        <v>1</v>
      </c>
      <c r="F104" s="252">
        <v>5.9171597633136093E-3</v>
      </c>
      <c r="G104" s="251">
        <v>1</v>
      </c>
    </row>
    <row r="105" spans="2:7">
      <c r="B105" s="256" t="s">
        <v>7</v>
      </c>
      <c r="C105" s="250" t="s">
        <v>305</v>
      </c>
      <c r="D105" s="250" t="s">
        <v>14</v>
      </c>
      <c r="E105" s="251">
        <v>4</v>
      </c>
      <c r="F105" s="252">
        <v>2.3668639053254437E-2</v>
      </c>
      <c r="G105" s="251">
        <v>4</v>
      </c>
    </row>
    <row r="106" spans="2:7">
      <c r="B106" s="256" t="s">
        <v>7</v>
      </c>
      <c r="C106" s="250" t="s">
        <v>305</v>
      </c>
      <c r="D106" s="250" t="s">
        <v>692</v>
      </c>
      <c r="E106" s="251">
        <v>36</v>
      </c>
      <c r="F106" s="252">
        <v>0.21301775147928995</v>
      </c>
      <c r="G106" s="251">
        <v>36</v>
      </c>
    </row>
    <row r="107" spans="2:7">
      <c r="B107" s="256" t="s">
        <v>7</v>
      </c>
      <c r="C107" s="250" t="s">
        <v>305</v>
      </c>
      <c r="D107" s="250" t="s">
        <v>18</v>
      </c>
      <c r="E107" s="251">
        <v>7</v>
      </c>
      <c r="F107" s="252">
        <v>4.142011834319527E-2</v>
      </c>
      <c r="G107" s="251">
        <v>7</v>
      </c>
    </row>
    <row r="108" spans="2:7">
      <c r="B108" s="256" t="s">
        <v>7</v>
      </c>
      <c r="C108" s="250" t="s">
        <v>313</v>
      </c>
      <c r="D108" s="250"/>
      <c r="E108" s="251">
        <v>169</v>
      </c>
      <c r="F108" s="252">
        <v>1</v>
      </c>
      <c r="G108" s="251">
        <v>137</v>
      </c>
    </row>
    <row r="109" spans="2:7">
      <c r="B109" s="256" t="s">
        <v>7</v>
      </c>
      <c r="C109" s="250" t="s">
        <v>521</v>
      </c>
      <c r="D109" s="250" t="s">
        <v>717</v>
      </c>
      <c r="E109" s="251">
        <v>4</v>
      </c>
      <c r="F109" s="252">
        <v>0.26666666666666666</v>
      </c>
      <c r="G109" s="251">
        <v>4</v>
      </c>
    </row>
    <row r="110" spans="2:7">
      <c r="B110" s="256" t="s">
        <v>7</v>
      </c>
      <c r="C110" s="250" t="s">
        <v>521</v>
      </c>
      <c r="D110" s="250" t="s">
        <v>718</v>
      </c>
      <c r="E110" s="251">
        <v>5</v>
      </c>
      <c r="F110" s="252">
        <v>0.33333333333333331</v>
      </c>
      <c r="G110" s="251">
        <v>5</v>
      </c>
    </row>
    <row r="111" spans="2:7">
      <c r="B111" s="256" t="s">
        <v>7</v>
      </c>
      <c r="C111" s="250" t="s">
        <v>521</v>
      </c>
      <c r="D111" s="250" t="s">
        <v>719</v>
      </c>
      <c r="E111" s="251">
        <v>6</v>
      </c>
      <c r="F111" s="252">
        <v>0.4</v>
      </c>
      <c r="G111" s="251">
        <v>5</v>
      </c>
    </row>
    <row r="112" spans="2:7">
      <c r="B112" s="256" t="s">
        <v>7</v>
      </c>
      <c r="C112" s="250" t="s">
        <v>720</v>
      </c>
      <c r="D112" s="250"/>
      <c r="E112" s="251">
        <v>15</v>
      </c>
      <c r="F112" s="252">
        <v>1</v>
      </c>
      <c r="G112" s="251">
        <v>12</v>
      </c>
    </row>
    <row r="113" spans="2:7">
      <c r="B113" s="256" t="s">
        <v>7</v>
      </c>
      <c r="C113" s="250" t="s">
        <v>522</v>
      </c>
      <c r="D113" s="250" t="s">
        <v>425</v>
      </c>
      <c r="E113" s="251">
        <v>22</v>
      </c>
      <c r="F113" s="252">
        <v>0.5</v>
      </c>
      <c r="G113" s="251">
        <v>22</v>
      </c>
    </row>
    <row r="114" spans="2:7">
      <c r="B114" s="256" t="s">
        <v>7</v>
      </c>
      <c r="C114" s="250" t="s">
        <v>522</v>
      </c>
      <c r="D114" s="250" t="s">
        <v>698</v>
      </c>
      <c r="E114" s="251">
        <v>1</v>
      </c>
      <c r="F114" s="252">
        <v>2.2727272727272728E-2</v>
      </c>
      <c r="G114" s="251">
        <v>1</v>
      </c>
    </row>
    <row r="115" spans="2:7">
      <c r="B115" s="256" t="s">
        <v>7</v>
      </c>
      <c r="C115" s="250" t="s">
        <v>522</v>
      </c>
      <c r="D115" s="250" t="s">
        <v>688</v>
      </c>
      <c r="E115" s="251">
        <v>1</v>
      </c>
      <c r="F115" s="252">
        <v>2.2727272727272728E-2</v>
      </c>
      <c r="G115" s="251">
        <v>1</v>
      </c>
    </row>
    <row r="116" spans="2:7">
      <c r="B116" s="256" t="s">
        <v>7</v>
      </c>
      <c r="C116" s="250" t="s">
        <v>522</v>
      </c>
      <c r="D116" s="250" t="s">
        <v>692</v>
      </c>
      <c r="E116" s="251">
        <v>10</v>
      </c>
      <c r="F116" s="252">
        <v>0.22727272727272727</v>
      </c>
      <c r="G116" s="251">
        <v>9</v>
      </c>
    </row>
    <row r="117" spans="2:7">
      <c r="B117" s="256" t="s">
        <v>7</v>
      </c>
      <c r="C117" s="250" t="s">
        <v>522</v>
      </c>
      <c r="D117" s="250" t="s">
        <v>18</v>
      </c>
      <c r="E117" s="251">
        <v>10</v>
      </c>
      <c r="F117" s="252">
        <v>0.22727272727272727</v>
      </c>
      <c r="G117" s="251">
        <v>9</v>
      </c>
    </row>
    <row r="118" spans="2:7">
      <c r="B118" s="256" t="s">
        <v>7</v>
      </c>
      <c r="C118" s="250" t="s">
        <v>721</v>
      </c>
      <c r="D118" s="250"/>
      <c r="E118" s="251">
        <v>44</v>
      </c>
      <c r="F118" s="252">
        <v>1</v>
      </c>
      <c r="G118" s="251">
        <v>34</v>
      </c>
    </row>
    <row r="119" spans="2:7">
      <c r="B119" s="256" t="s">
        <v>7</v>
      </c>
      <c r="C119" s="250" t="s">
        <v>462</v>
      </c>
      <c r="D119" s="250" t="s">
        <v>425</v>
      </c>
      <c r="E119" s="251">
        <v>1</v>
      </c>
      <c r="F119" s="252">
        <v>0.5</v>
      </c>
      <c r="G119" s="251">
        <v>1</v>
      </c>
    </row>
    <row r="120" spans="2:7">
      <c r="B120" s="256" t="s">
        <v>7</v>
      </c>
      <c r="C120" s="250" t="s">
        <v>462</v>
      </c>
      <c r="D120" s="250" t="s">
        <v>693</v>
      </c>
      <c r="E120" s="251">
        <v>1</v>
      </c>
      <c r="F120" s="252">
        <v>0.5</v>
      </c>
      <c r="G120" s="251">
        <v>1</v>
      </c>
    </row>
    <row r="121" spans="2:7">
      <c r="B121" s="256" t="s">
        <v>7</v>
      </c>
      <c r="C121" s="250" t="s">
        <v>464</v>
      </c>
      <c r="D121" s="250"/>
      <c r="E121" s="251">
        <v>2</v>
      </c>
      <c r="F121" s="252">
        <v>1</v>
      </c>
      <c r="G121" s="251">
        <v>2</v>
      </c>
    </row>
    <row r="122" spans="2:7">
      <c r="B122" s="256" t="s">
        <v>7</v>
      </c>
      <c r="C122" s="250" t="s">
        <v>523</v>
      </c>
      <c r="D122" s="250" t="s">
        <v>722</v>
      </c>
      <c r="E122" s="251">
        <v>4</v>
      </c>
      <c r="F122" s="252">
        <v>4.1237113402061855E-2</v>
      </c>
      <c r="G122" s="251">
        <v>4</v>
      </c>
    </row>
    <row r="123" spans="2:7">
      <c r="B123" s="256" t="s">
        <v>7</v>
      </c>
      <c r="C123" s="250" t="s">
        <v>523</v>
      </c>
      <c r="D123" s="250" t="s">
        <v>723</v>
      </c>
      <c r="E123" s="251">
        <v>15</v>
      </c>
      <c r="F123" s="252">
        <v>0.15463917525773196</v>
      </c>
      <c r="G123" s="251">
        <v>14</v>
      </c>
    </row>
    <row r="124" spans="2:7">
      <c r="B124" s="256" t="s">
        <v>7</v>
      </c>
      <c r="C124" s="250" t="s">
        <v>523</v>
      </c>
      <c r="D124" s="250" t="s">
        <v>724</v>
      </c>
      <c r="E124" s="251">
        <v>14</v>
      </c>
      <c r="F124" s="252">
        <v>0.14432989690721648</v>
      </c>
      <c r="G124" s="251">
        <v>10</v>
      </c>
    </row>
    <row r="125" spans="2:7">
      <c r="B125" s="256" t="s">
        <v>7</v>
      </c>
      <c r="C125" s="250" t="s">
        <v>523</v>
      </c>
      <c r="D125" s="250" t="s">
        <v>686</v>
      </c>
      <c r="E125" s="251">
        <v>2</v>
      </c>
      <c r="F125" s="252">
        <v>2.0618556701030927E-2</v>
      </c>
      <c r="G125" s="251">
        <v>2</v>
      </c>
    </row>
    <row r="126" spans="2:7">
      <c r="B126" s="256" t="s">
        <v>7</v>
      </c>
      <c r="C126" s="250" t="s">
        <v>523</v>
      </c>
      <c r="D126" s="250" t="s">
        <v>712</v>
      </c>
      <c r="E126" s="251">
        <v>2</v>
      </c>
      <c r="F126" s="252">
        <v>2.0618556701030927E-2</v>
      </c>
      <c r="G126" s="251">
        <v>2</v>
      </c>
    </row>
    <row r="127" spans="2:7">
      <c r="B127" s="256" t="s">
        <v>7</v>
      </c>
      <c r="C127" s="250" t="s">
        <v>523</v>
      </c>
      <c r="D127" s="250" t="s">
        <v>693</v>
      </c>
      <c r="E127" s="251">
        <v>6</v>
      </c>
      <c r="F127" s="252">
        <v>6.1855670103092786E-2</v>
      </c>
      <c r="G127" s="251">
        <v>5</v>
      </c>
    </row>
    <row r="128" spans="2:7">
      <c r="B128" s="256" t="s">
        <v>7</v>
      </c>
      <c r="C128" s="250" t="s">
        <v>523</v>
      </c>
      <c r="D128" s="250" t="s">
        <v>698</v>
      </c>
      <c r="E128" s="251">
        <v>14</v>
      </c>
      <c r="F128" s="252">
        <v>0.14432989690721648</v>
      </c>
      <c r="G128" s="251">
        <v>13</v>
      </c>
    </row>
    <row r="129" spans="2:7">
      <c r="B129" s="256" t="s">
        <v>7</v>
      </c>
      <c r="C129" s="250" t="s">
        <v>523</v>
      </c>
      <c r="D129" s="250" t="s">
        <v>725</v>
      </c>
      <c r="E129" s="251">
        <v>7</v>
      </c>
      <c r="F129" s="252">
        <v>7.2164948453608241E-2</v>
      </c>
      <c r="G129" s="251">
        <v>7</v>
      </c>
    </row>
    <row r="130" spans="2:7">
      <c r="B130" s="256" t="s">
        <v>7</v>
      </c>
      <c r="C130" s="250" t="s">
        <v>523</v>
      </c>
      <c r="D130" s="250" t="s">
        <v>14</v>
      </c>
      <c r="E130" s="251">
        <v>3</v>
      </c>
      <c r="F130" s="252">
        <v>3.0927835051546393E-2</v>
      </c>
      <c r="G130" s="251">
        <v>3</v>
      </c>
    </row>
    <row r="131" spans="2:7">
      <c r="B131" s="256" t="s">
        <v>7</v>
      </c>
      <c r="C131" s="250" t="s">
        <v>523</v>
      </c>
      <c r="D131" s="250" t="s">
        <v>692</v>
      </c>
      <c r="E131" s="251">
        <v>20</v>
      </c>
      <c r="F131" s="252">
        <v>0.20618556701030927</v>
      </c>
      <c r="G131" s="251">
        <v>14</v>
      </c>
    </row>
    <row r="132" spans="2:7">
      <c r="B132" s="256" t="s">
        <v>7</v>
      </c>
      <c r="C132" s="250" t="s">
        <v>523</v>
      </c>
      <c r="D132" s="250" t="s">
        <v>18</v>
      </c>
      <c r="E132" s="251">
        <v>10</v>
      </c>
      <c r="F132" s="252">
        <v>0.10309278350515463</v>
      </c>
      <c r="G132" s="251">
        <v>10</v>
      </c>
    </row>
    <row r="133" spans="2:7">
      <c r="B133" s="256" t="s">
        <v>7</v>
      </c>
      <c r="C133" s="250" t="s">
        <v>726</v>
      </c>
      <c r="D133" s="250"/>
      <c r="E133" s="251">
        <v>97</v>
      </c>
      <c r="F133" s="252">
        <v>1</v>
      </c>
      <c r="G133" s="251">
        <v>54</v>
      </c>
    </row>
    <row r="134" spans="2:7">
      <c r="B134" s="256" t="s">
        <v>7</v>
      </c>
      <c r="C134" s="250" t="s">
        <v>524</v>
      </c>
      <c r="D134" s="250" t="s">
        <v>727</v>
      </c>
      <c r="E134" s="251">
        <v>21</v>
      </c>
      <c r="F134" s="252">
        <v>0.47727272727272729</v>
      </c>
      <c r="G134" s="251">
        <v>21</v>
      </c>
    </row>
    <row r="135" spans="2:7">
      <c r="B135" s="256" t="s">
        <v>7</v>
      </c>
      <c r="C135" s="250" t="s">
        <v>524</v>
      </c>
      <c r="D135" s="250" t="s">
        <v>693</v>
      </c>
      <c r="E135" s="251">
        <v>1</v>
      </c>
      <c r="F135" s="252">
        <v>2.2727272727272728E-2</v>
      </c>
      <c r="G135" s="251">
        <v>1</v>
      </c>
    </row>
    <row r="136" spans="2:7">
      <c r="B136" s="256" t="s">
        <v>7</v>
      </c>
      <c r="C136" s="250" t="s">
        <v>524</v>
      </c>
      <c r="D136" s="250" t="s">
        <v>725</v>
      </c>
      <c r="E136" s="251">
        <v>2</v>
      </c>
      <c r="F136" s="252">
        <v>4.5454545454545456E-2</v>
      </c>
      <c r="G136" s="251">
        <v>2</v>
      </c>
    </row>
    <row r="137" spans="2:7">
      <c r="B137" s="256" t="s">
        <v>7</v>
      </c>
      <c r="C137" s="250" t="s">
        <v>524</v>
      </c>
      <c r="D137" s="250" t="s">
        <v>14</v>
      </c>
      <c r="E137" s="251">
        <v>1</v>
      </c>
      <c r="F137" s="252">
        <v>2.2727272727272728E-2</v>
      </c>
      <c r="G137" s="251">
        <v>1</v>
      </c>
    </row>
    <row r="138" spans="2:7">
      <c r="B138" s="256" t="s">
        <v>7</v>
      </c>
      <c r="C138" s="250" t="s">
        <v>524</v>
      </c>
      <c r="D138" s="250" t="s">
        <v>692</v>
      </c>
      <c r="E138" s="251">
        <v>15</v>
      </c>
      <c r="F138" s="252">
        <v>0.34090909090909088</v>
      </c>
      <c r="G138" s="251">
        <v>13</v>
      </c>
    </row>
    <row r="139" spans="2:7">
      <c r="B139" s="256" t="s">
        <v>7</v>
      </c>
      <c r="C139" s="250" t="s">
        <v>524</v>
      </c>
      <c r="D139" s="250" t="s">
        <v>18</v>
      </c>
      <c r="E139" s="251">
        <v>4</v>
      </c>
      <c r="F139" s="252">
        <v>9.0909090909090912E-2</v>
      </c>
      <c r="G139" s="251">
        <v>4</v>
      </c>
    </row>
    <row r="140" spans="2:7">
      <c r="B140" s="256" t="s">
        <v>7</v>
      </c>
      <c r="C140" s="250" t="s">
        <v>728</v>
      </c>
      <c r="D140" s="250"/>
      <c r="E140" s="251">
        <v>44</v>
      </c>
      <c r="F140" s="252">
        <v>1</v>
      </c>
      <c r="G140" s="251">
        <v>29</v>
      </c>
    </row>
    <row r="141" spans="2:7">
      <c r="B141" s="256" t="s">
        <v>7</v>
      </c>
      <c r="C141" s="250" t="s">
        <v>525</v>
      </c>
      <c r="D141" s="250" t="s">
        <v>425</v>
      </c>
      <c r="E141" s="251">
        <v>56</v>
      </c>
      <c r="F141" s="252">
        <v>0.63636363636363635</v>
      </c>
      <c r="G141" s="251">
        <v>55</v>
      </c>
    </row>
    <row r="142" spans="2:7">
      <c r="B142" s="256" t="s">
        <v>7</v>
      </c>
      <c r="C142" s="250" t="s">
        <v>525</v>
      </c>
      <c r="D142" s="250" t="s">
        <v>687</v>
      </c>
      <c r="E142" s="251">
        <v>5</v>
      </c>
      <c r="F142" s="252">
        <v>5.6818181818181816E-2</v>
      </c>
      <c r="G142" s="251">
        <v>5</v>
      </c>
    </row>
    <row r="143" spans="2:7">
      <c r="B143" s="256" t="s">
        <v>7</v>
      </c>
      <c r="C143" s="250" t="s">
        <v>525</v>
      </c>
      <c r="D143" s="250" t="s">
        <v>713</v>
      </c>
      <c r="E143" s="251">
        <v>1</v>
      </c>
      <c r="F143" s="252">
        <v>1.1363636363636364E-2</v>
      </c>
      <c r="G143" s="251">
        <v>1</v>
      </c>
    </row>
    <row r="144" spans="2:7">
      <c r="B144" s="256" t="s">
        <v>7</v>
      </c>
      <c r="C144" s="250" t="s">
        <v>525</v>
      </c>
      <c r="D144" s="250" t="s">
        <v>14</v>
      </c>
      <c r="E144" s="251">
        <v>4</v>
      </c>
      <c r="F144" s="252">
        <v>4.5454545454545456E-2</v>
      </c>
      <c r="G144" s="251">
        <v>4</v>
      </c>
    </row>
    <row r="145" spans="2:7">
      <c r="B145" s="256" t="s">
        <v>7</v>
      </c>
      <c r="C145" s="250" t="s">
        <v>525</v>
      </c>
      <c r="D145" s="250" t="s">
        <v>692</v>
      </c>
      <c r="E145" s="251">
        <v>19</v>
      </c>
      <c r="F145" s="252">
        <v>0.21590909090909091</v>
      </c>
      <c r="G145" s="251">
        <v>18</v>
      </c>
    </row>
    <row r="146" spans="2:7">
      <c r="B146" s="256" t="s">
        <v>7</v>
      </c>
      <c r="C146" s="250" t="s">
        <v>525</v>
      </c>
      <c r="D146" s="250" t="s">
        <v>18</v>
      </c>
      <c r="E146" s="251">
        <v>3</v>
      </c>
      <c r="F146" s="252">
        <v>3.4090909090909088E-2</v>
      </c>
      <c r="G146" s="251">
        <v>3</v>
      </c>
    </row>
    <row r="147" spans="2:7">
      <c r="B147" s="256" t="s">
        <v>7</v>
      </c>
      <c r="C147" s="250" t="s">
        <v>729</v>
      </c>
      <c r="D147" s="250"/>
      <c r="E147" s="251">
        <v>88</v>
      </c>
      <c r="F147" s="252">
        <v>1</v>
      </c>
      <c r="G147" s="251">
        <v>74</v>
      </c>
    </row>
    <row r="148" spans="2:7">
      <c r="B148" s="256" t="s">
        <v>7</v>
      </c>
      <c r="C148" s="250" t="s">
        <v>526</v>
      </c>
      <c r="D148" s="250" t="s">
        <v>425</v>
      </c>
      <c r="E148" s="251">
        <v>233</v>
      </c>
      <c r="F148" s="252">
        <v>0.26628571428571429</v>
      </c>
      <c r="G148" s="251">
        <v>212</v>
      </c>
    </row>
    <row r="149" spans="2:7">
      <c r="B149" s="256" t="s">
        <v>7</v>
      </c>
      <c r="C149" s="250" t="s">
        <v>526</v>
      </c>
      <c r="D149" s="250" t="s">
        <v>730</v>
      </c>
      <c r="E149" s="251">
        <v>3</v>
      </c>
      <c r="F149" s="252">
        <v>3.4285714285714284E-3</v>
      </c>
      <c r="G149" s="251">
        <v>3</v>
      </c>
    </row>
    <row r="150" spans="2:7">
      <c r="B150" s="256" t="s">
        <v>7</v>
      </c>
      <c r="C150" s="250" t="s">
        <v>526</v>
      </c>
      <c r="D150" s="250" t="s">
        <v>686</v>
      </c>
      <c r="E150" s="251">
        <v>24</v>
      </c>
      <c r="F150" s="252">
        <v>2.7428571428571427E-2</v>
      </c>
      <c r="G150" s="251">
        <v>22</v>
      </c>
    </row>
    <row r="151" spans="2:7">
      <c r="B151" s="256" t="s">
        <v>7</v>
      </c>
      <c r="C151" s="250" t="s">
        <v>526</v>
      </c>
      <c r="D151" s="250" t="s">
        <v>712</v>
      </c>
      <c r="E151" s="251">
        <v>35</v>
      </c>
      <c r="F151" s="252">
        <v>0.04</v>
      </c>
      <c r="G151" s="251">
        <v>30</v>
      </c>
    </row>
    <row r="152" spans="2:7">
      <c r="B152" s="256" t="s">
        <v>7</v>
      </c>
      <c r="C152" s="250" t="s">
        <v>526</v>
      </c>
      <c r="D152" s="250" t="s">
        <v>713</v>
      </c>
      <c r="E152" s="251">
        <v>2</v>
      </c>
      <c r="F152" s="252">
        <v>2.2857142857142859E-3</v>
      </c>
      <c r="G152" s="251">
        <v>2</v>
      </c>
    </row>
    <row r="153" spans="2:7">
      <c r="B153" s="256" t="s">
        <v>7</v>
      </c>
      <c r="C153" s="250" t="s">
        <v>526</v>
      </c>
      <c r="D153" s="250" t="s">
        <v>693</v>
      </c>
      <c r="E153" s="251">
        <v>94</v>
      </c>
      <c r="F153" s="252">
        <v>0.10742857142857143</v>
      </c>
      <c r="G153" s="251">
        <v>86</v>
      </c>
    </row>
    <row r="154" spans="2:7">
      <c r="B154" s="256" t="s">
        <v>7</v>
      </c>
      <c r="C154" s="250" t="s">
        <v>526</v>
      </c>
      <c r="D154" s="250" t="s">
        <v>731</v>
      </c>
      <c r="E154" s="251">
        <v>8</v>
      </c>
      <c r="F154" s="252">
        <v>9.1428571428571435E-3</v>
      </c>
      <c r="G154" s="251">
        <v>8</v>
      </c>
    </row>
    <row r="155" spans="2:7">
      <c r="B155" s="256" t="s">
        <v>7</v>
      </c>
      <c r="C155" s="250" t="s">
        <v>526</v>
      </c>
      <c r="D155" s="250" t="s">
        <v>698</v>
      </c>
      <c r="E155" s="251">
        <v>135</v>
      </c>
      <c r="F155" s="252">
        <v>0.15428571428571428</v>
      </c>
      <c r="G155" s="251">
        <v>111</v>
      </c>
    </row>
    <row r="156" spans="2:7">
      <c r="B156" s="256" t="s">
        <v>7</v>
      </c>
      <c r="C156" s="250" t="s">
        <v>526</v>
      </c>
      <c r="D156" s="250" t="s">
        <v>688</v>
      </c>
      <c r="E156" s="251">
        <v>12</v>
      </c>
      <c r="F156" s="252">
        <v>1.3714285714285714E-2</v>
      </c>
      <c r="G156" s="251">
        <v>12</v>
      </c>
    </row>
    <row r="157" spans="2:7">
      <c r="B157" s="256" t="s">
        <v>7</v>
      </c>
      <c r="C157" s="250" t="s">
        <v>526</v>
      </c>
      <c r="D157" s="250" t="s">
        <v>732</v>
      </c>
      <c r="E157" s="251">
        <v>3</v>
      </c>
      <c r="F157" s="252">
        <v>3.4285714285714284E-3</v>
      </c>
      <c r="G157" s="251">
        <v>3</v>
      </c>
    </row>
    <row r="158" spans="2:7">
      <c r="B158" s="256" t="s">
        <v>7</v>
      </c>
      <c r="C158" s="250" t="s">
        <v>526</v>
      </c>
      <c r="D158" s="250" t="s">
        <v>733</v>
      </c>
      <c r="E158" s="251">
        <v>1</v>
      </c>
      <c r="F158" s="252">
        <v>1.1428571428571429E-3</v>
      </c>
      <c r="G158" s="251">
        <v>1</v>
      </c>
    </row>
    <row r="159" spans="2:7">
      <c r="B159" s="256" t="s">
        <v>7</v>
      </c>
      <c r="C159" s="250" t="s">
        <v>526</v>
      </c>
      <c r="D159" s="250" t="s">
        <v>734</v>
      </c>
      <c r="E159" s="251">
        <v>2</v>
      </c>
      <c r="F159" s="252">
        <v>2.2857142857142859E-3</v>
      </c>
      <c r="G159" s="251">
        <v>2</v>
      </c>
    </row>
    <row r="160" spans="2:7">
      <c r="B160" s="256" t="s">
        <v>7</v>
      </c>
      <c r="C160" s="250" t="s">
        <v>526</v>
      </c>
      <c r="D160" s="250" t="s">
        <v>690</v>
      </c>
      <c r="E160" s="251">
        <v>5</v>
      </c>
      <c r="F160" s="252">
        <v>5.7142857142857143E-3</v>
      </c>
      <c r="G160" s="251">
        <v>5</v>
      </c>
    </row>
    <row r="161" spans="2:7">
      <c r="B161" s="256" t="s">
        <v>7</v>
      </c>
      <c r="C161" s="250" t="s">
        <v>526</v>
      </c>
      <c r="D161" s="250" t="s">
        <v>735</v>
      </c>
      <c r="E161" s="251">
        <v>1</v>
      </c>
      <c r="F161" s="252">
        <v>1.1428571428571429E-3</v>
      </c>
      <c r="G161" s="251">
        <v>1</v>
      </c>
    </row>
    <row r="162" spans="2:7">
      <c r="B162" s="256" t="s">
        <v>7</v>
      </c>
      <c r="C162" s="250" t="s">
        <v>526</v>
      </c>
      <c r="D162" s="250" t="s">
        <v>736</v>
      </c>
      <c r="E162" s="251">
        <v>1</v>
      </c>
      <c r="F162" s="252">
        <v>1.1428571428571429E-3</v>
      </c>
      <c r="G162" s="251">
        <v>1</v>
      </c>
    </row>
    <row r="163" spans="2:7">
      <c r="B163" s="256" t="s">
        <v>7</v>
      </c>
      <c r="C163" s="250" t="s">
        <v>526</v>
      </c>
      <c r="D163" s="250" t="s">
        <v>14</v>
      </c>
      <c r="E163" s="251">
        <v>16</v>
      </c>
      <c r="F163" s="252">
        <v>1.8285714285714287E-2</v>
      </c>
      <c r="G163" s="251">
        <v>16</v>
      </c>
    </row>
    <row r="164" spans="2:7">
      <c r="B164" s="256" t="s">
        <v>7</v>
      </c>
      <c r="C164" s="250" t="s">
        <v>526</v>
      </c>
      <c r="D164" s="250" t="s">
        <v>737</v>
      </c>
      <c r="E164" s="251">
        <v>14</v>
      </c>
      <c r="F164" s="252">
        <v>1.6E-2</v>
      </c>
      <c r="G164" s="251">
        <v>14</v>
      </c>
    </row>
    <row r="165" spans="2:7">
      <c r="B165" s="256" t="s">
        <v>7</v>
      </c>
      <c r="C165" s="250" t="s">
        <v>526</v>
      </c>
      <c r="D165" s="250" t="s">
        <v>738</v>
      </c>
      <c r="E165" s="251">
        <v>26</v>
      </c>
      <c r="F165" s="252">
        <v>2.9714285714285714E-2</v>
      </c>
      <c r="G165" s="251">
        <v>25</v>
      </c>
    </row>
    <row r="166" spans="2:7">
      <c r="B166" s="256" t="s">
        <v>7</v>
      </c>
      <c r="C166" s="250" t="s">
        <v>526</v>
      </c>
      <c r="D166" s="250" t="s">
        <v>739</v>
      </c>
      <c r="E166" s="251">
        <v>31</v>
      </c>
      <c r="F166" s="252">
        <v>3.5428571428571427E-2</v>
      </c>
      <c r="G166" s="251">
        <v>31</v>
      </c>
    </row>
    <row r="167" spans="2:7">
      <c r="B167" s="256" t="s">
        <v>7</v>
      </c>
      <c r="C167" s="250" t="s">
        <v>526</v>
      </c>
      <c r="D167" s="250" t="s">
        <v>740</v>
      </c>
      <c r="E167" s="251">
        <v>3</v>
      </c>
      <c r="F167" s="252">
        <v>3.4285714285714284E-3</v>
      </c>
      <c r="G167" s="251">
        <v>3</v>
      </c>
    </row>
    <row r="168" spans="2:7">
      <c r="B168" s="256" t="s">
        <v>7</v>
      </c>
      <c r="C168" s="250" t="s">
        <v>526</v>
      </c>
      <c r="D168" s="250" t="s">
        <v>741</v>
      </c>
      <c r="E168" s="251">
        <v>3</v>
      </c>
      <c r="F168" s="252">
        <v>3.4285714285714284E-3</v>
      </c>
      <c r="G168" s="251">
        <v>3</v>
      </c>
    </row>
    <row r="169" spans="2:7">
      <c r="B169" s="256" t="s">
        <v>7</v>
      </c>
      <c r="C169" s="250" t="s">
        <v>526</v>
      </c>
      <c r="D169" s="250" t="s">
        <v>742</v>
      </c>
      <c r="E169" s="251">
        <v>17</v>
      </c>
      <c r="F169" s="252">
        <v>1.9428571428571427E-2</v>
      </c>
      <c r="G169" s="251">
        <v>16</v>
      </c>
    </row>
    <row r="170" spans="2:7">
      <c r="B170" s="256" t="s">
        <v>7</v>
      </c>
      <c r="C170" s="250" t="s">
        <v>526</v>
      </c>
      <c r="D170" s="250" t="s">
        <v>691</v>
      </c>
      <c r="E170" s="251">
        <v>13</v>
      </c>
      <c r="F170" s="252">
        <v>1.4857142857142857E-2</v>
      </c>
      <c r="G170" s="251">
        <v>12</v>
      </c>
    </row>
    <row r="171" spans="2:7">
      <c r="B171" s="256" t="s">
        <v>7</v>
      </c>
      <c r="C171" s="250" t="s">
        <v>526</v>
      </c>
      <c r="D171" s="250" t="s">
        <v>692</v>
      </c>
      <c r="E171" s="251">
        <v>162</v>
      </c>
      <c r="F171" s="252">
        <v>0.18514285714285714</v>
      </c>
      <c r="G171" s="251">
        <v>137</v>
      </c>
    </row>
    <row r="172" spans="2:7">
      <c r="B172" s="256" t="s">
        <v>7</v>
      </c>
      <c r="C172" s="250" t="s">
        <v>526</v>
      </c>
      <c r="D172" s="250" t="s">
        <v>18</v>
      </c>
      <c r="E172" s="251">
        <v>31</v>
      </c>
      <c r="F172" s="252">
        <v>3.5428571428571427E-2</v>
      </c>
      <c r="G172" s="251">
        <v>30</v>
      </c>
    </row>
    <row r="173" spans="2:7">
      <c r="B173" s="256" t="s">
        <v>7</v>
      </c>
      <c r="C173" s="250" t="s">
        <v>743</v>
      </c>
      <c r="D173" s="250"/>
      <c r="E173" s="251">
        <v>875</v>
      </c>
      <c r="F173" s="252">
        <v>1</v>
      </c>
      <c r="G173" s="251">
        <v>516</v>
      </c>
    </row>
    <row r="174" spans="2:7">
      <c r="B174" s="256" t="s">
        <v>7</v>
      </c>
      <c r="C174" s="250" t="s">
        <v>527</v>
      </c>
      <c r="D174" s="250" t="s">
        <v>312</v>
      </c>
      <c r="E174" s="251">
        <v>39</v>
      </c>
      <c r="F174" s="252">
        <v>0.37142857142857144</v>
      </c>
      <c r="G174" s="251">
        <v>39</v>
      </c>
    </row>
    <row r="175" spans="2:7">
      <c r="B175" s="256" t="s">
        <v>7</v>
      </c>
      <c r="C175" s="250" t="s">
        <v>527</v>
      </c>
      <c r="D175" s="250" t="s">
        <v>744</v>
      </c>
      <c r="E175" s="251">
        <v>2</v>
      </c>
      <c r="F175" s="252">
        <v>1.9047619047619049E-2</v>
      </c>
      <c r="G175" s="251">
        <v>2</v>
      </c>
    </row>
    <row r="176" spans="2:7">
      <c r="B176" s="256" t="s">
        <v>7</v>
      </c>
      <c r="C176" s="250" t="s">
        <v>527</v>
      </c>
      <c r="D176" s="250" t="s">
        <v>745</v>
      </c>
      <c r="E176" s="251">
        <v>1</v>
      </c>
      <c r="F176" s="252">
        <v>9.5238095238095247E-3</v>
      </c>
      <c r="G176" s="251">
        <v>1</v>
      </c>
    </row>
    <row r="177" spans="2:7">
      <c r="B177" s="256" t="s">
        <v>7</v>
      </c>
      <c r="C177" s="250" t="s">
        <v>527</v>
      </c>
      <c r="D177" s="250" t="s">
        <v>686</v>
      </c>
      <c r="E177" s="251">
        <v>10</v>
      </c>
      <c r="F177" s="252">
        <v>9.5238095238095233E-2</v>
      </c>
      <c r="G177" s="251">
        <v>9</v>
      </c>
    </row>
    <row r="178" spans="2:7">
      <c r="B178" s="256" t="s">
        <v>7</v>
      </c>
      <c r="C178" s="250" t="s">
        <v>527</v>
      </c>
      <c r="D178" s="250" t="s">
        <v>687</v>
      </c>
      <c r="E178" s="251">
        <v>7</v>
      </c>
      <c r="F178" s="252">
        <v>6.6666666666666666E-2</v>
      </c>
      <c r="G178" s="251">
        <v>7</v>
      </c>
    </row>
    <row r="179" spans="2:7">
      <c r="B179" s="256" t="s">
        <v>7</v>
      </c>
      <c r="C179" s="250" t="s">
        <v>527</v>
      </c>
      <c r="D179" s="250" t="s">
        <v>693</v>
      </c>
      <c r="E179" s="251">
        <v>3</v>
      </c>
      <c r="F179" s="252">
        <v>2.8571428571428571E-2</v>
      </c>
      <c r="G179" s="251">
        <v>3</v>
      </c>
    </row>
    <row r="180" spans="2:7">
      <c r="B180" s="256" t="s">
        <v>7</v>
      </c>
      <c r="C180" s="250" t="s">
        <v>527</v>
      </c>
      <c r="D180" s="250" t="s">
        <v>746</v>
      </c>
      <c r="E180" s="251">
        <v>1</v>
      </c>
      <c r="F180" s="252">
        <v>9.5238095238095247E-3</v>
      </c>
      <c r="G180" s="251">
        <v>1</v>
      </c>
    </row>
    <row r="181" spans="2:7">
      <c r="B181" s="256" t="s">
        <v>7</v>
      </c>
      <c r="C181" s="250" t="s">
        <v>527</v>
      </c>
      <c r="D181" s="250" t="s">
        <v>747</v>
      </c>
      <c r="E181" s="251">
        <v>1</v>
      </c>
      <c r="F181" s="252">
        <v>9.5238095238095247E-3</v>
      </c>
      <c r="G181" s="251">
        <v>1</v>
      </c>
    </row>
    <row r="182" spans="2:7">
      <c r="B182" s="256" t="s">
        <v>7</v>
      </c>
      <c r="C182" s="250" t="s">
        <v>527</v>
      </c>
      <c r="D182" s="250" t="s">
        <v>748</v>
      </c>
      <c r="E182" s="251">
        <v>2</v>
      </c>
      <c r="F182" s="252">
        <v>1.9047619047619049E-2</v>
      </c>
      <c r="G182" s="251">
        <v>2</v>
      </c>
    </row>
    <row r="183" spans="2:7">
      <c r="B183" s="256" t="s">
        <v>7</v>
      </c>
      <c r="C183" s="250" t="s">
        <v>527</v>
      </c>
      <c r="D183" s="250" t="s">
        <v>749</v>
      </c>
      <c r="E183" s="251">
        <v>1</v>
      </c>
      <c r="F183" s="252">
        <v>9.5238095238095247E-3</v>
      </c>
      <c r="G183" s="251">
        <v>1</v>
      </c>
    </row>
    <row r="184" spans="2:7">
      <c r="B184" s="256" t="s">
        <v>7</v>
      </c>
      <c r="C184" s="250" t="s">
        <v>527</v>
      </c>
      <c r="D184" s="250" t="s">
        <v>750</v>
      </c>
      <c r="E184" s="251">
        <v>6</v>
      </c>
      <c r="F184" s="252">
        <v>5.7142857142857141E-2</v>
      </c>
      <c r="G184" s="251">
        <v>6</v>
      </c>
    </row>
    <row r="185" spans="2:7">
      <c r="B185" s="256" t="s">
        <v>7</v>
      </c>
      <c r="C185" s="250" t="s">
        <v>527</v>
      </c>
      <c r="D185" s="250" t="s">
        <v>14</v>
      </c>
      <c r="E185" s="251">
        <v>2</v>
      </c>
      <c r="F185" s="252">
        <v>1.9047619047619049E-2</v>
      </c>
      <c r="G185" s="251">
        <v>2</v>
      </c>
    </row>
    <row r="186" spans="2:7">
      <c r="B186" s="256" t="s">
        <v>7</v>
      </c>
      <c r="C186" s="250" t="s">
        <v>527</v>
      </c>
      <c r="D186" s="250" t="s">
        <v>751</v>
      </c>
      <c r="E186" s="251">
        <v>1</v>
      </c>
      <c r="F186" s="252">
        <v>9.5238095238095247E-3</v>
      </c>
      <c r="G186" s="251">
        <v>1</v>
      </c>
    </row>
    <row r="187" spans="2:7">
      <c r="B187" s="256" t="s">
        <v>7</v>
      </c>
      <c r="C187" s="250" t="s">
        <v>527</v>
      </c>
      <c r="D187" s="250" t="s">
        <v>692</v>
      </c>
      <c r="E187" s="251">
        <v>21</v>
      </c>
      <c r="F187" s="252">
        <v>0.2</v>
      </c>
      <c r="G187" s="251">
        <v>20</v>
      </c>
    </row>
    <row r="188" spans="2:7">
      <c r="B188" s="256" t="s">
        <v>7</v>
      </c>
      <c r="C188" s="250" t="s">
        <v>527</v>
      </c>
      <c r="D188" s="250" t="s">
        <v>18</v>
      </c>
      <c r="E188" s="251">
        <v>8</v>
      </c>
      <c r="F188" s="252">
        <v>7.6190476190476197E-2</v>
      </c>
      <c r="G188" s="251">
        <v>8</v>
      </c>
    </row>
    <row r="189" spans="2:7">
      <c r="B189" s="256" t="s">
        <v>7</v>
      </c>
      <c r="C189" s="250" t="s">
        <v>752</v>
      </c>
      <c r="D189" s="250"/>
      <c r="E189" s="251">
        <v>105</v>
      </c>
      <c r="F189" s="252">
        <v>1</v>
      </c>
      <c r="G189" s="251">
        <v>76</v>
      </c>
    </row>
    <row r="190" spans="2:7">
      <c r="B190" s="256" t="s">
        <v>7</v>
      </c>
      <c r="C190" s="250" t="s">
        <v>475</v>
      </c>
      <c r="D190" s="250" t="s">
        <v>753</v>
      </c>
      <c r="E190" s="251">
        <v>244</v>
      </c>
      <c r="F190" s="252">
        <v>0.18944099378881987</v>
      </c>
      <c r="G190" s="251">
        <v>227</v>
      </c>
    </row>
    <row r="191" spans="2:7">
      <c r="B191" s="256" t="s">
        <v>7</v>
      </c>
      <c r="C191" s="250" t="s">
        <v>475</v>
      </c>
      <c r="D191" s="250" t="s">
        <v>484</v>
      </c>
      <c r="E191" s="251">
        <v>208</v>
      </c>
      <c r="F191" s="252">
        <v>0.16149068322981366</v>
      </c>
      <c r="G191" s="251">
        <v>194</v>
      </c>
    </row>
    <row r="192" spans="2:7">
      <c r="B192" s="256" t="s">
        <v>7</v>
      </c>
      <c r="C192" s="250" t="s">
        <v>475</v>
      </c>
      <c r="D192" s="250" t="s">
        <v>754</v>
      </c>
      <c r="E192" s="251">
        <v>44</v>
      </c>
      <c r="F192" s="252">
        <v>3.4161490683229816E-2</v>
      </c>
      <c r="G192" s="251">
        <v>43</v>
      </c>
    </row>
    <row r="193" spans="2:7">
      <c r="B193" s="256" t="s">
        <v>7</v>
      </c>
      <c r="C193" s="250" t="s">
        <v>475</v>
      </c>
      <c r="D193" s="250" t="s">
        <v>686</v>
      </c>
      <c r="E193" s="251">
        <v>14</v>
      </c>
      <c r="F193" s="252">
        <v>1.0869565217391304E-2</v>
      </c>
      <c r="G193" s="251">
        <v>13</v>
      </c>
    </row>
    <row r="194" spans="2:7">
      <c r="B194" s="256" t="s">
        <v>7</v>
      </c>
      <c r="C194" s="250" t="s">
        <v>475</v>
      </c>
      <c r="D194" s="250" t="s">
        <v>712</v>
      </c>
      <c r="E194" s="251">
        <v>9</v>
      </c>
      <c r="F194" s="252">
        <v>6.987577639751553E-3</v>
      </c>
      <c r="G194" s="251">
        <v>9</v>
      </c>
    </row>
    <row r="195" spans="2:7">
      <c r="B195" s="256" t="s">
        <v>7</v>
      </c>
      <c r="C195" s="250" t="s">
        <v>475</v>
      </c>
      <c r="D195" s="250" t="s">
        <v>693</v>
      </c>
      <c r="E195" s="251">
        <v>124</v>
      </c>
      <c r="F195" s="252">
        <v>9.627329192546584E-2</v>
      </c>
      <c r="G195" s="251">
        <v>115</v>
      </c>
    </row>
    <row r="196" spans="2:7">
      <c r="B196" s="256" t="s">
        <v>7</v>
      </c>
      <c r="C196" s="250" t="s">
        <v>475</v>
      </c>
      <c r="D196" s="250" t="s">
        <v>698</v>
      </c>
      <c r="E196" s="251">
        <v>185</v>
      </c>
      <c r="F196" s="252">
        <v>0.14363354037267081</v>
      </c>
      <c r="G196" s="251">
        <v>151</v>
      </c>
    </row>
    <row r="197" spans="2:7">
      <c r="B197" s="256" t="s">
        <v>7</v>
      </c>
      <c r="C197" s="250" t="s">
        <v>475</v>
      </c>
      <c r="D197" s="250" t="s">
        <v>688</v>
      </c>
      <c r="E197" s="251">
        <v>6</v>
      </c>
      <c r="F197" s="252">
        <v>4.658385093167702E-3</v>
      </c>
      <c r="G197" s="251">
        <v>6</v>
      </c>
    </row>
    <row r="198" spans="2:7">
      <c r="B198" s="256" t="s">
        <v>7</v>
      </c>
      <c r="C198" s="250" t="s">
        <v>475</v>
      </c>
      <c r="D198" s="250" t="s">
        <v>725</v>
      </c>
      <c r="E198" s="251">
        <v>29</v>
      </c>
      <c r="F198" s="252">
        <v>2.251552795031056E-2</v>
      </c>
      <c r="G198" s="251">
        <v>28</v>
      </c>
    </row>
    <row r="199" spans="2:7">
      <c r="B199" s="256" t="s">
        <v>7</v>
      </c>
      <c r="C199" s="250" t="s">
        <v>475</v>
      </c>
      <c r="D199" s="250" t="s">
        <v>755</v>
      </c>
      <c r="E199" s="251">
        <v>5</v>
      </c>
      <c r="F199" s="252">
        <v>3.8819875776397515E-3</v>
      </c>
      <c r="G199" s="251">
        <v>4</v>
      </c>
    </row>
    <row r="200" spans="2:7">
      <c r="B200" s="256" t="s">
        <v>7</v>
      </c>
      <c r="C200" s="250" t="s">
        <v>475</v>
      </c>
      <c r="D200" s="250" t="s">
        <v>14</v>
      </c>
      <c r="E200" s="251">
        <v>27</v>
      </c>
      <c r="F200" s="252">
        <v>2.096273291925466E-2</v>
      </c>
      <c r="G200" s="251">
        <v>27</v>
      </c>
    </row>
    <row r="201" spans="2:7">
      <c r="B201" s="256" t="s">
        <v>7</v>
      </c>
      <c r="C201" s="250" t="s">
        <v>475</v>
      </c>
      <c r="D201" s="250" t="s">
        <v>756</v>
      </c>
      <c r="E201" s="251">
        <v>26</v>
      </c>
      <c r="F201" s="252">
        <v>2.0186335403726708E-2</v>
      </c>
      <c r="G201" s="251">
        <v>25</v>
      </c>
    </row>
    <row r="202" spans="2:7">
      <c r="B202" s="256" t="s">
        <v>7</v>
      </c>
      <c r="C202" s="250" t="s">
        <v>475</v>
      </c>
      <c r="D202" s="250" t="s">
        <v>757</v>
      </c>
      <c r="E202" s="251">
        <v>17</v>
      </c>
      <c r="F202" s="252">
        <v>1.3198757763975156E-2</v>
      </c>
      <c r="G202" s="251">
        <v>16</v>
      </c>
    </row>
    <row r="203" spans="2:7">
      <c r="B203" s="256" t="s">
        <v>7</v>
      </c>
      <c r="C203" s="250" t="s">
        <v>475</v>
      </c>
      <c r="D203" s="250" t="s">
        <v>692</v>
      </c>
      <c r="E203" s="251">
        <v>321</v>
      </c>
      <c r="F203" s="252">
        <v>0.24922360248447206</v>
      </c>
      <c r="G203" s="251">
        <v>243</v>
      </c>
    </row>
    <row r="204" spans="2:7">
      <c r="B204" s="256" t="s">
        <v>7</v>
      </c>
      <c r="C204" s="250" t="s">
        <v>475</v>
      </c>
      <c r="D204" s="250" t="s">
        <v>18</v>
      </c>
      <c r="E204" s="251">
        <v>29</v>
      </c>
      <c r="F204" s="252">
        <v>2.251552795031056E-2</v>
      </c>
      <c r="G204" s="251">
        <v>28</v>
      </c>
    </row>
    <row r="205" spans="2:7">
      <c r="B205" s="256" t="s">
        <v>7</v>
      </c>
      <c r="C205" s="250" t="s">
        <v>485</v>
      </c>
      <c r="D205" s="250"/>
      <c r="E205" s="251">
        <v>1288</v>
      </c>
      <c r="F205" s="252">
        <v>1</v>
      </c>
      <c r="G205" s="251">
        <v>556</v>
      </c>
    </row>
    <row r="206" spans="2:7">
      <c r="B206" s="256" t="s">
        <v>7</v>
      </c>
      <c r="C206" s="250" t="s">
        <v>528</v>
      </c>
      <c r="D206" s="250" t="s">
        <v>758</v>
      </c>
      <c r="E206" s="251">
        <v>20</v>
      </c>
      <c r="F206" s="252">
        <v>0.4</v>
      </c>
      <c r="G206" s="251">
        <v>20</v>
      </c>
    </row>
    <row r="207" spans="2:7">
      <c r="B207" s="256" t="s">
        <v>7</v>
      </c>
      <c r="C207" s="250" t="s">
        <v>528</v>
      </c>
      <c r="D207" s="250" t="s">
        <v>759</v>
      </c>
      <c r="E207" s="251">
        <v>5</v>
      </c>
      <c r="F207" s="252">
        <v>0.1</v>
      </c>
      <c r="G207" s="251">
        <v>5</v>
      </c>
    </row>
    <row r="208" spans="2:7">
      <c r="B208" s="256" t="s">
        <v>7</v>
      </c>
      <c r="C208" s="250" t="s">
        <v>528</v>
      </c>
      <c r="D208" s="250" t="s">
        <v>760</v>
      </c>
      <c r="E208" s="251">
        <v>3</v>
      </c>
      <c r="F208" s="252">
        <v>0.06</v>
      </c>
      <c r="G208" s="251">
        <v>3</v>
      </c>
    </row>
    <row r="209" spans="2:7">
      <c r="B209" s="256" t="s">
        <v>7</v>
      </c>
      <c r="C209" s="250" t="s">
        <v>528</v>
      </c>
      <c r="D209" s="250" t="s">
        <v>692</v>
      </c>
      <c r="E209" s="251">
        <v>22</v>
      </c>
      <c r="F209" s="252">
        <v>0.44</v>
      </c>
      <c r="G209" s="251">
        <v>20</v>
      </c>
    </row>
    <row r="210" spans="2:7">
      <c r="B210" s="256" t="s">
        <v>7</v>
      </c>
      <c r="C210" s="250" t="s">
        <v>761</v>
      </c>
      <c r="D210" s="250"/>
      <c r="E210" s="251">
        <v>50</v>
      </c>
      <c r="F210" s="252">
        <v>1</v>
      </c>
      <c r="G210" s="251">
        <v>42</v>
      </c>
    </row>
    <row r="211" spans="2:7">
      <c r="B211" s="256" t="s">
        <v>7</v>
      </c>
      <c r="C211" s="250" t="s">
        <v>529</v>
      </c>
      <c r="D211" s="250" t="s">
        <v>762</v>
      </c>
      <c r="E211" s="251">
        <v>79</v>
      </c>
      <c r="F211" s="252">
        <v>0.3574660633484163</v>
      </c>
      <c r="G211" s="251">
        <v>76</v>
      </c>
    </row>
    <row r="212" spans="2:7">
      <c r="B212" s="256" t="s">
        <v>7</v>
      </c>
      <c r="C212" s="250" t="s">
        <v>529</v>
      </c>
      <c r="D212" s="250" t="s">
        <v>763</v>
      </c>
      <c r="E212" s="251">
        <v>13</v>
      </c>
      <c r="F212" s="252">
        <v>5.8823529411764705E-2</v>
      </c>
      <c r="G212" s="251">
        <v>12</v>
      </c>
    </row>
    <row r="213" spans="2:7">
      <c r="B213" s="256" t="s">
        <v>7</v>
      </c>
      <c r="C213" s="250" t="s">
        <v>529</v>
      </c>
      <c r="D213" s="250" t="s">
        <v>712</v>
      </c>
      <c r="E213" s="251">
        <v>36</v>
      </c>
      <c r="F213" s="252">
        <v>0.16289592760180996</v>
      </c>
      <c r="G213" s="251">
        <v>36</v>
      </c>
    </row>
    <row r="214" spans="2:7">
      <c r="B214" s="256" t="s">
        <v>7</v>
      </c>
      <c r="C214" s="250" t="s">
        <v>529</v>
      </c>
      <c r="D214" s="250" t="s">
        <v>764</v>
      </c>
      <c r="E214" s="251">
        <v>7</v>
      </c>
      <c r="F214" s="252">
        <v>3.1674208144796379E-2</v>
      </c>
      <c r="G214" s="251">
        <v>6</v>
      </c>
    </row>
    <row r="215" spans="2:7">
      <c r="B215" s="256" t="s">
        <v>7</v>
      </c>
      <c r="C215" s="250" t="s">
        <v>529</v>
      </c>
      <c r="D215" s="250" t="s">
        <v>690</v>
      </c>
      <c r="E215" s="251">
        <v>4</v>
      </c>
      <c r="F215" s="252">
        <v>1.8099547511312219E-2</v>
      </c>
      <c r="G215" s="251">
        <v>4</v>
      </c>
    </row>
    <row r="216" spans="2:7">
      <c r="B216" s="256" t="s">
        <v>7</v>
      </c>
      <c r="C216" s="250" t="s">
        <v>529</v>
      </c>
      <c r="D216" s="250" t="s">
        <v>14</v>
      </c>
      <c r="E216" s="251">
        <v>3</v>
      </c>
      <c r="F216" s="252">
        <v>1.3574660633484163E-2</v>
      </c>
      <c r="G216" s="251">
        <v>3</v>
      </c>
    </row>
    <row r="217" spans="2:7">
      <c r="B217" s="256" t="s">
        <v>7</v>
      </c>
      <c r="C217" s="250" t="s">
        <v>529</v>
      </c>
      <c r="D217" s="250" t="s">
        <v>691</v>
      </c>
      <c r="E217" s="251">
        <v>1</v>
      </c>
      <c r="F217" s="252">
        <v>4.5248868778280547E-3</v>
      </c>
      <c r="G217" s="251">
        <v>1</v>
      </c>
    </row>
    <row r="218" spans="2:7">
      <c r="B218" s="256" t="s">
        <v>7</v>
      </c>
      <c r="C218" s="250" t="s">
        <v>529</v>
      </c>
      <c r="D218" s="250" t="s">
        <v>697</v>
      </c>
      <c r="E218" s="251">
        <v>59</v>
      </c>
      <c r="F218" s="252">
        <v>0.2669683257918552</v>
      </c>
      <c r="G218" s="251">
        <v>56</v>
      </c>
    </row>
    <row r="219" spans="2:7">
      <c r="B219" s="256" t="s">
        <v>7</v>
      </c>
      <c r="C219" s="250" t="s">
        <v>529</v>
      </c>
      <c r="D219" s="250" t="s">
        <v>18</v>
      </c>
      <c r="E219" s="251">
        <v>19</v>
      </c>
      <c r="F219" s="252">
        <v>8.5972850678733032E-2</v>
      </c>
      <c r="G219" s="251">
        <v>19</v>
      </c>
    </row>
    <row r="220" spans="2:7">
      <c r="B220" s="256" t="s">
        <v>7</v>
      </c>
      <c r="C220" s="250" t="s">
        <v>765</v>
      </c>
      <c r="D220" s="250"/>
      <c r="E220" s="251">
        <v>221</v>
      </c>
      <c r="F220" s="252">
        <v>1</v>
      </c>
      <c r="G220" s="251">
        <v>183</v>
      </c>
    </row>
    <row r="221" spans="2:7">
      <c r="B221" s="256" t="s">
        <v>7</v>
      </c>
      <c r="C221" s="250" t="s">
        <v>530</v>
      </c>
      <c r="D221" s="250" t="s">
        <v>766</v>
      </c>
      <c r="E221" s="251">
        <v>4</v>
      </c>
      <c r="F221" s="252">
        <v>0.8</v>
      </c>
      <c r="G221" s="251">
        <v>4</v>
      </c>
    </row>
    <row r="222" spans="2:7">
      <c r="B222" s="256" t="s">
        <v>7</v>
      </c>
      <c r="C222" s="250" t="s">
        <v>530</v>
      </c>
      <c r="D222" s="250" t="s">
        <v>14</v>
      </c>
      <c r="E222" s="251">
        <v>1</v>
      </c>
      <c r="F222" s="252">
        <v>0.2</v>
      </c>
      <c r="G222" s="251">
        <v>1</v>
      </c>
    </row>
    <row r="223" spans="2:7">
      <c r="B223" s="256" t="s">
        <v>7</v>
      </c>
      <c r="C223" s="250" t="s">
        <v>767</v>
      </c>
      <c r="D223" s="250"/>
      <c r="E223" s="251">
        <v>5</v>
      </c>
      <c r="F223" s="252">
        <v>1</v>
      </c>
      <c r="G223" s="251">
        <v>5</v>
      </c>
    </row>
    <row r="224" spans="2:7">
      <c r="B224" s="256" t="s">
        <v>7</v>
      </c>
      <c r="C224" s="250" t="s">
        <v>531</v>
      </c>
      <c r="D224" s="250" t="s">
        <v>768</v>
      </c>
      <c r="E224" s="251">
        <v>4</v>
      </c>
      <c r="F224" s="252">
        <v>1</v>
      </c>
      <c r="G224" s="251">
        <v>4</v>
      </c>
    </row>
    <row r="225" spans="2:7">
      <c r="B225" s="256" t="s">
        <v>7</v>
      </c>
      <c r="C225" s="250" t="s">
        <v>769</v>
      </c>
      <c r="D225" s="250"/>
      <c r="E225" s="251">
        <v>4</v>
      </c>
      <c r="F225" s="252">
        <v>1</v>
      </c>
      <c r="G225" s="251">
        <v>4</v>
      </c>
    </row>
    <row r="226" spans="2:7">
      <c r="B226" s="256" t="s">
        <v>7</v>
      </c>
      <c r="C226" s="250" t="s">
        <v>532</v>
      </c>
      <c r="D226" s="250" t="s">
        <v>770</v>
      </c>
      <c r="E226" s="251">
        <v>5</v>
      </c>
      <c r="F226" s="252">
        <v>0.14705882352941177</v>
      </c>
      <c r="G226" s="251">
        <v>5</v>
      </c>
    </row>
    <row r="227" spans="2:7">
      <c r="B227" s="256" t="s">
        <v>7</v>
      </c>
      <c r="C227" s="250" t="s">
        <v>532</v>
      </c>
      <c r="D227" s="250" t="s">
        <v>771</v>
      </c>
      <c r="E227" s="251">
        <v>7</v>
      </c>
      <c r="F227" s="252">
        <v>0.20588235294117646</v>
      </c>
      <c r="G227" s="251">
        <v>7</v>
      </c>
    </row>
    <row r="228" spans="2:7">
      <c r="B228" s="256" t="s">
        <v>7</v>
      </c>
      <c r="C228" s="250" t="s">
        <v>532</v>
      </c>
      <c r="D228" s="250" t="s">
        <v>772</v>
      </c>
      <c r="E228" s="251">
        <v>1</v>
      </c>
      <c r="F228" s="252">
        <v>2.9411764705882353E-2</v>
      </c>
      <c r="G228" s="251">
        <v>1</v>
      </c>
    </row>
    <row r="229" spans="2:7">
      <c r="B229" s="256" t="s">
        <v>7</v>
      </c>
      <c r="C229" s="250" t="s">
        <v>532</v>
      </c>
      <c r="D229" s="250" t="s">
        <v>773</v>
      </c>
      <c r="E229" s="251">
        <v>8</v>
      </c>
      <c r="F229" s="252">
        <v>0.23529411764705882</v>
      </c>
      <c r="G229" s="251">
        <v>8</v>
      </c>
    </row>
    <row r="230" spans="2:7">
      <c r="B230" s="256" t="s">
        <v>7</v>
      </c>
      <c r="C230" s="250" t="s">
        <v>532</v>
      </c>
      <c r="D230" s="250" t="s">
        <v>18</v>
      </c>
      <c r="E230" s="251">
        <v>13</v>
      </c>
      <c r="F230" s="252">
        <v>0.38235294117647056</v>
      </c>
      <c r="G230" s="251">
        <v>13</v>
      </c>
    </row>
    <row r="231" spans="2:7">
      <c r="B231" s="256" t="s">
        <v>7</v>
      </c>
      <c r="C231" s="250" t="s">
        <v>774</v>
      </c>
      <c r="D231" s="250"/>
      <c r="E231" s="251">
        <v>34</v>
      </c>
      <c r="F231" s="252">
        <v>1</v>
      </c>
      <c r="G231" s="251">
        <v>22</v>
      </c>
    </row>
    <row r="232" spans="2:7">
      <c r="B232" s="256" t="s">
        <v>7</v>
      </c>
      <c r="C232" s="250" t="s">
        <v>476</v>
      </c>
      <c r="D232" s="250" t="s">
        <v>486</v>
      </c>
      <c r="E232" s="251">
        <v>430</v>
      </c>
      <c r="F232" s="252">
        <v>0.75438596491228072</v>
      </c>
      <c r="G232" s="251">
        <v>401</v>
      </c>
    </row>
    <row r="233" spans="2:7">
      <c r="B233" s="256" t="s">
        <v>7</v>
      </c>
      <c r="C233" s="250" t="s">
        <v>476</v>
      </c>
      <c r="D233" s="250" t="s">
        <v>775</v>
      </c>
      <c r="E233" s="251">
        <v>23</v>
      </c>
      <c r="F233" s="252">
        <v>4.0350877192982457E-2</v>
      </c>
      <c r="G233" s="251">
        <v>21</v>
      </c>
    </row>
    <row r="234" spans="2:7">
      <c r="B234" s="256" t="s">
        <v>7</v>
      </c>
      <c r="C234" s="250" t="s">
        <v>476</v>
      </c>
      <c r="D234" s="250" t="s">
        <v>776</v>
      </c>
      <c r="E234" s="251">
        <v>5</v>
      </c>
      <c r="F234" s="252">
        <v>8.771929824561403E-3</v>
      </c>
      <c r="G234" s="251">
        <v>5</v>
      </c>
    </row>
    <row r="235" spans="2:7">
      <c r="B235" s="256" t="s">
        <v>7</v>
      </c>
      <c r="C235" s="250" t="s">
        <v>476</v>
      </c>
      <c r="D235" s="250" t="s">
        <v>777</v>
      </c>
      <c r="E235" s="251">
        <v>5</v>
      </c>
      <c r="F235" s="252">
        <v>8.771929824561403E-3</v>
      </c>
      <c r="G235" s="251">
        <v>5</v>
      </c>
    </row>
    <row r="236" spans="2:7">
      <c r="B236" s="256" t="s">
        <v>7</v>
      </c>
      <c r="C236" s="250" t="s">
        <v>476</v>
      </c>
      <c r="D236" s="250" t="s">
        <v>778</v>
      </c>
      <c r="E236" s="251">
        <v>1</v>
      </c>
      <c r="F236" s="252">
        <v>1.7543859649122807E-3</v>
      </c>
      <c r="G236" s="251">
        <v>1</v>
      </c>
    </row>
    <row r="237" spans="2:7">
      <c r="B237" s="256" t="s">
        <v>7</v>
      </c>
      <c r="C237" s="250" t="s">
        <v>476</v>
      </c>
      <c r="D237" s="250" t="s">
        <v>779</v>
      </c>
      <c r="E237" s="251">
        <v>3</v>
      </c>
      <c r="F237" s="252">
        <v>5.263157894736842E-3</v>
      </c>
      <c r="G237" s="251">
        <v>2</v>
      </c>
    </row>
    <row r="238" spans="2:7">
      <c r="B238" s="256" t="s">
        <v>7</v>
      </c>
      <c r="C238" s="250" t="s">
        <v>476</v>
      </c>
      <c r="D238" s="250" t="s">
        <v>780</v>
      </c>
      <c r="E238" s="251">
        <v>1</v>
      </c>
      <c r="F238" s="252">
        <v>1.7543859649122807E-3</v>
      </c>
      <c r="G238" s="251">
        <v>1</v>
      </c>
    </row>
    <row r="239" spans="2:7">
      <c r="B239" s="256" t="s">
        <v>7</v>
      </c>
      <c r="C239" s="250" t="s">
        <v>476</v>
      </c>
      <c r="D239" s="250" t="s">
        <v>781</v>
      </c>
      <c r="E239" s="251">
        <v>13</v>
      </c>
      <c r="F239" s="252">
        <v>2.2807017543859651E-2</v>
      </c>
      <c r="G239" s="251">
        <v>13</v>
      </c>
    </row>
    <row r="240" spans="2:7">
      <c r="B240" s="256" t="s">
        <v>7</v>
      </c>
      <c r="C240" s="250" t="s">
        <v>476</v>
      </c>
      <c r="D240" s="250" t="s">
        <v>782</v>
      </c>
      <c r="E240" s="251">
        <v>2</v>
      </c>
      <c r="F240" s="252">
        <v>3.5087719298245615E-3</v>
      </c>
      <c r="G240" s="251">
        <v>2</v>
      </c>
    </row>
    <row r="241" spans="2:7">
      <c r="B241" s="256" t="s">
        <v>7</v>
      </c>
      <c r="C241" s="250" t="s">
        <v>476</v>
      </c>
      <c r="D241" s="250" t="s">
        <v>783</v>
      </c>
      <c r="E241" s="251">
        <v>6</v>
      </c>
      <c r="F241" s="252">
        <v>1.0526315789473684E-2</v>
      </c>
      <c r="G241" s="251">
        <v>6</v>
      </c>
    </row>
    <row r="242" spans="2:7">
      <c r="B242" s="256" t="s">
        <v>7</v>
      </c>
      <c r="C242" s="250" t="s">
        <v>476</v>
      </c>
      <c r="D242" s="250" t="s">
        <v>784</v>
      </c>
      <c r="E242" s="251">
        <v>2</v>
      </c>
      <c r="F242" s="252">
        <v>3.5087719298245615E-3</v>
      </c>
      <c r="G242" s="251">
        <v>2</v>
      </c>
    </row>
    <row r="243" spans="2:7">
      <c r="B243" s="256" t="s">
        <v>7</v>
      </c>
      <c r="C243" s="250" t="s">
        <v>476</v>
      </c>
      <c r="D243" s="250" t="s">
        <v>14</v>
      </c>
      <c r="E243" s="251">
        <v>30</v>
      </c>
      <c r="F243" s="252">
        <v>5.2631578947368418E-2</v>
      </c>
      <c r="G243" s="251">
        <v>30</v>
      </c>
    </row>
    <row r="244" spans="2:7">
      <c r="B244" s="256" t="s">
        <v>7</v>
      </c>
      <c r="C244" s="250" t="s">
        <v>476</v>
      </c>
      <c r="D244" s="250" t="s">
        <v>785</v>
      </c>
      <c r="E244" s="251">
        <v>2</v>
      </c>
      <c r="F244" s="252">
        <v>3.5087719298245615E-3</v>
      </c>
      <c r="G244" s="251">
        <v>2</v>
      </c>
    </row>
    <row r="245" spans="2:7">
      <c r="B245" s="256" t="s">
        <v>7</v>
      </c>
      <c r="C245" s="250" t="s">
        <v>476</v>
      </c>
      <c r="D245" s="250" t="s">
        <v>786</v>
      </c>
      <c r="E245" s="251">
        <v>3</v>
      </c>
      <c r="F245" s="252">
        <v>5.263157894736842E-3</v>
      </c>
      <c r="G245" s="251">
        <v>3</v>
      </c>
    </row>
    <row r="246" spans="2:7">
      <c r="B246" s="256" t="s">
        <v>7</v>
      </c>
      <c r="C246" s="250" t="s">
        <v>476</v>
      </c>
      <c r="D246" s="250" t="s">
        <v>787</v>
      </c>
      <c r="E246" s="251">
        <v>1</v>
      </c>
      <c r="F246" s="252">
        <v>1.7543859649122807E-3</v>
      </c>
      <c r="G246" s="251">
        <v>1</v>
      </c>
    </row>
    <row r="247" spans="2:7">
      <c r="B247" s="256" t="s">
        <v>7</v>
      </c>
      <c r="C247" s="250" t="s">
        <v>476</v>
      </c>
      <c r="D247" s="250" t="s">
        <v>18</v>
      </c>
      <c r="E247" s="251">
        <v>43</v>
      </c>
      <c r="F247" s="252">
        <v>7.5438596491228069E-2</v>
      </c>
      <c r="G247" s="251">
        <v>43</v>
      </c>
    </row>
    <row r="248" spans="2:7">
      <c r="B248" s="256" t="s">
        <v>7</v>
      </c>
      <c r="C248" s="250" t="s">
        <v>487</v>
      </c>
      <c r="D248" s="250"/>
      <c r="E248" s="251">
        <v>570</v>
      </c>
      <c r="F248" s="252">
        <v>1</v>
      </c>
      <c r="G248" s="251">
        <v>505</v>
      </c>
    </row>
    <row r="249" spans="2:7">
      <c r="B249" s="256" t="s">
        <v>7</v>
      </c>
      <c r="C249" s="250" t="s">
        <v>14</v>
      </c>
      <c r="D249" s="250" t="s">
        <v>14</v>
      </c>
      <c r="E249" s="251">
        <v>434</v>
      </c>
      <c r="F249" s="252">
        <v>1</v>
      </c>
      <c r="G249" s="251">
        <v>3</v>
      </c>
    </row>
    <row r="250" spans="2:7">
      <c r="B250" s="256" t="s">
        <v>7</v>
      </c>
      <c r="C250" s="250" t="s">
        <v>265</v>
      </c>
      <c r="D250" s="250"/>
      <c r="E250" s="251">
        <v>434</v>
      </c>
      <c r="F250" s="252">
        <v>1</v>
      </c>
      <c r="G250" s="251">
        <v>3</v>
      </c>
    </row>
    <row r="251" spans="2:7">
      <c r="B251" s="256" t="s">
        <v>131</v>
      </c>
      <c r="C251" s="257"/>
      <c r="D251" s="257"/>
      <c r="E251" s="251">
        <v>5259</v>
      </c>
      <c r="F251" s="252"/>
      <c r="G251" s="251">
        <v>1779</v>
      </c>
    </row>
    <row r="252" spans="2:7">
      <c r="B252" s="256" t="s">
        <v>8</v>
      </c>
      <c r="C252" s="250" t="s">
        <v>533</v>
      </c>
      <c r="D252" s="250" t="s">
        <v>788</v>
      </c>
      <c r="E252" s="251">
        <v>2</v>
      </c>
      <c r="F252" s="252">
        <v>0.25</v>
      </c>
      <c r="G252" s="251">
        <v>2</v>
      </c>
    </row>
    <row r="253" spans="2:7">
      <c r="B253" s="256" t="s">
        <v>8</v>
      </c>
      <c r="C253" s="250" t="s">
        <v>533</v>
      </c>
      <c r="D253" s="250" t="s">
        <v>789</v>
      </c>
      <c r="E253" s="251">
        <v>1</v>
      </c>
      <c r="F253" s="252">
        <v>0.125</v>
      </c>
      <c r="G253" s="251">
        <v>1</v>
      </c>
    </row>
    <row r="254" spans="2:7">
      <c r="B254" s="256" t="s">
        <v>8</v>
      </c>
      <c r="C254" s="250" t="s">
        <v>533</v>
      </c>
      <c r="D254" s="250" t="s">
        <v>790</v>
      </c>
      <c r="E254" s="251">
        <v>2</v>
      </c>
      <c r="F254" s="252">
        <v>0.25</v>
      </c>
      <c r="G254" s="251">
        <v>2</v>
      </c>
    </row>
    <row r="255" spans="2:7">
      <c r="B255" s="256" t="s">
        <v>8</v>
      </c>
      <c r="C255" s="250" t="s">
        <v>533</v>
      </c>
      <c r="D255" s="250" t="s">
        <v>14</v>
      </c>
      <c r="E255" s="251">
        <v>2</v>
      </c>
      <c r="F255" s="252">
        <v>0.25</v>
      </c>
      <c r="G255" s="251">
        <v>2</v>
      </c>
    </row>
    <row r="256" spans="2:7">
      <c r="B256" s="256" t="s">
        <v>8</v>
      </c>
      <c r="C256" s="250" t="s">
        <v>533</v>
      </c>
      <c r="D256" s="250" t="s">
        <v>465</v>
      </c>
      <c r="E256" s="251">
        <v>1</v>
      </c>
      <c r="F256" s="252">
        <v>0.125</v>
      </c>
      <c r="G256" s="251">
        <v>1</v>
      </c>
    </row>
    <row r="257" spans="2:7">
      <c r="B257" s="256" t="s">
        <v>8</v>
      </c>
      <c r="C257" s="250" t="s">
        <v>791</v>
      </c>
      <c r="D257" s="250"/>
      <c r="E257" s="251">
        <v>8</v>
      </c>
      <c r="F257" s="252">
        <v>1</v>
      </c>
      <c r="G257" s="251">
        <v>7</v>
      </c>
    </row>
    <row r="258" spans="2:7">
      <c r="B258" s="256" t="s">
        <v>8</v>
      </c>
      <c r="C258" s="250" t="s">
        <v>534</v>
      </c>
      <c r="D258" s="250" t="s">
        <v>792</v>
      </c>
      <c r="E258" s="251">
        <v>4</v>
      </c>
      <c r="F258" s="252">
        <v>0.10526315789473684</v>
      </c>
      <c r="G258" s="251">
        <v>4</v>
      </c>
    </row>
    <row r="259" spans="2:7">
      <c r="B259" s="256" t="s">
        <v>8</v>
      </c>
      <c r="C259" s="250" t="s">
        <v>534</v>
      </c>
      <c r="D259" s="250" t="s">
        <v>793</v>
      </c>
      <c r="E259" s="251">
        <v>2</v>
      </c>
      <c r="F259" s="252">
        <v>5.2631578947368418E-2</v>
      </c>
      <c r="G259" s="251">
        <v>2</v>
      </c>
    </row>
    <row r="260" spans="2:7">
      <c r="B260" s="256" t="s">
        <v>8</v>
      </c>
      <c r="C260" s="250" t="s">
        <v>534</v>
      </c>
      <c r="D260" s="250" t="s">
        <v>794</v>
      </c>
      <c r="E260" s="251">
        <v>1</v>
      </c>
      <c r="F260" s="252">
        <v>2.6315789473684209E-2</v>
      </c>
      <c r="G260" s="251">
        <v>1</v>
      </c>
    </row>
    <row r="261" spans="2:7">
      <c r="B261" s="256" t="s">
        <v>8</v>
      </c>
      <c r="C261" s="250" t="s">
        <v>534</v>
      </c>
      <c r="D261" s="250" t="s">
        <v>789</v>
      </c>
      <c r="E261" s="251">
        <v>2</v>
      </c>
      <c r="F261" s="252">
        <v>5.2631578947368418E-2</v>
      </c>
      <c r="G261" s="251">
        <v>2</v>
      </c>
    </row>
    <row r="262" spans="2:7">
      <c r="B262" s="256" t="s">
        <v>8</v>
      </c>
      <c r="C262" s="250" t="s">
        <v>534</v>
      </c>
      <c r="D262" s="250" t="s">
        <v>795</v>
      </c>
      <c r="E262" s="251">
        <v>7</v>
      </c>
      <c r="F262" s="252">
        <v>0.18421052631578946</v>
      </c>
      <c r="G262" s="251">
        <v>7</v>
      </c>
    </row>
    <row r="263" spans="2:7">
      <c r="B263" s="256" t="s">
        <v>8</v>
      </c>
      <c r="C263" s="250" t="s">
        <v>534</v>
      </c>
      <c r="D263" s="250" t="s">
        <v>796</v>
      </c>
      <c r="E263" s="251">
        <v>3</v>
      </c>
      <c r="F263" s="252">
        <v>7.8947368421052627E-2</v>
      </c>
      <c r="G263" s="251">
        <v>2</v>
      </c>
    </row>
    <row r="264" spans="2:7">
      <c r="B264" s="256" t="s">
        <v>8</v>
      </c>
      <c r="C264" s="250" t="s">
        <v>534</v>
      </c>
      <c r="D264" s="250" t="s">
        <v>14</v>
      </c>
      <c r="E264" s="251">
        <v>3</v>
      </c>
      <c r="F264" s="252">
        <v>7.8947368421052627E-2</v>
      </c>
      <c r="G264" s="251">
        <v>3</v>
      </c>
    </row>
    <row r="265" spans="2:7">
      <c r="B265" s="256" t="s">
        <v>8</v>
      </c>
      <c r="C265" s="250" t="s">
        <v>534</v>
      </c>
      <c r="D265" s="250" t="s">
        <v>465</v>
      </c>
      <c r="E265" s="251">
        <v>13</v>
      </c>
      <c r="F265" s="252">
        <v>0.34210526315789475</v>
      </c>
      <c r="G265" s="251">
        <v>10</v>
      </c>
    </row>
    <row r="266" spans="2:7">
      <c r="B266" s="256" t="s">
        <v>8</v>
      </c>
      <c r="C266" s="250" t="s">
        <v>534</v>
      </c>
      <c r="D266" s="250" t="s">
        <v>18</v>
      </c>
      <c r="E266" s="251">
        <v>3</v>
      </c>
      <c r="F266" s="252">
        <v>7.8947368421052627E-2</v>
      </c>
      <c r="G266" s="251">
        <v>3</v>
      </c>
    </row>
    <row r="267" spans="2:7">
      <c r="B267" s="256" t="s">
        <v>8</v>
      </c>
      <c r="C267" s="250" t="s">
        <v>797</v>
      </c>
      <c r="D267" s="250"/>
      <c r="E267" s="251">
        <v>38</v>
      </c>
      <c r="F267" s="252">
        <v>1</v>
      </c>
      <c r="G267" s="251">
        <v>23</v>
      </c>
    </row>
    <row r="268" spans="2:7">
      <c r="B268" s="256" t="s">
        <v>8</v>
      </c>
      <c r="C268" s="250" t="s">
        <v>535</v>
      </c>
      <c r="D268" s="250" t="s">
        <v>794</v>
      </c>
      <c r="E268" s="251">
        <v>1</v>
      </c>
      <c r="F268" s="252">
        <v>0.25</v>
      </c>
      <c r="G268" s="251">
        <v>1</v>
      </c>
    </row>
    <row r="269" spans="2:7">
      <c r="B269" s="256" t="s">
        <v>8</v>
      </c>
      <c r="C269" s="250" t="s">
        <v>535</v>
      </c>
      <c r="D269" s="250" t="s">
        <v>790</v>
      </c>
      <c r="E269" s="251">
        <v>2</v>
      </c>
      <c r="F269" s="252">
        <v>0.5</v>
      </c>
      <c r="G269" s="251">
        <v>2</v>
      </c>
    </row>
    <row r="270" spans="2:7">
      <c r="B270" s="256" t="s">
        <v>8</v>
      </c>
      <c r="C270" s="250" t="s">
        <v>535</v>
      </c>
      <c r="D270" s="250" t="s">
        <v>465</v>
      </c>
      <c r="E270" s="251">
        <v>1</v>
      </c>
      <c r="F270" s="252">
        <v>0.25</v>
      </c>
      <c r="G270" s="251">
        <v>1</v>
      </c>
    </row>
    <row r="271" spans="2:7">
      <c r="B271" s="256" t="s">
        <v>8</v>
      </c>
      <c r="C271" s="250" t="s">
        <v>798</v>
      </c>
      <c r="D271" s="250"/>
      <c r="E271" s="251">
        <v>4</v>
      </c>
      <c r="F271" s="252">
        <v>1</v>
      </c>
      <c r="G271" s="251">
        <v>4</v>
      </c>
    </row>
    <row r="272" spans="2:7">
      <c r="B272" s="256" t="s">
        <v>8</v>
      </c>
      <c r="C272" s="250" t="s">
        <v>536</v>
      </c>
      <c r="D272" s="250" t="s">
        <v>792</v>
      </c>
      <c r="E272" s="251">
        <v>1</v>
      </c>
      <c r="F272" s="252">
        <v>6.25E-2</v>
      </c>
      <c r="G272" s="251">
        <v>1</v>
      </c>
    </row>
    <row r="273" spans="2:7">
      <c r="B273" s="256" t="s">
        <v>8</v>
      </c>
      <c r="C273" s="250" t="s">
        <v>536</v>
      </c>
      <c r="D273" s="250" t="s">
        <v>793</v>
      </c>
      <c r="E273" s="251">
        <v>1</v>
      </c>
      <c r="F273" s="252">
        <v>6.25E-2</v>
      </c>
      <c r="G273" s="251">
        <v>1</v>
      </c>
    </row>
    <row r="274" spans="2:7">
      <c r="B274" s="256" t="s">
        <v>8</v>
      </c>
      <c r="C274" s="250" t="s">
        <v>536</v>
      </c>
      <c r="D274" s="250" t="s">
        <v>794</v>
      </c>
      <c r="E274" s="251">
        <v>4</v>
      </c>
      <c r="F274" s="252">
        <v>0.25</v>
      </c>
      <c r="G274" s="251">
        <v>4</v>
      </c>
    </row>
    <row r="275" spans="2:7">
      <c r="B275" s="256" t="s">
        <v>8</v>
      </c>
      <c r="C275" s="250" t="s">
        <v>536</v>
      </c>
      <c r="D275" s="250" t="s">
        <v>789</v>
      </c>
      <c r="E275" s="251">
        <v>1</v>
      </c>
      <c r="F275" s="252">
        <v>6.25E-2</v>
      </c>
      <c r="G275" s="251">
        <v>1</v>
      </c>
    </row>
    <row r="276" spans="2:7">
      <c r="B276" s="256" t="s">
        <v>8</v>
      </c>
      <c r="C276" s="250" t="s">
        <v>536</v>
      </c>
      <c r="D276" s="250" t="s">
        <v>790</v>
      </c>
      <c r="E276" s="251">
        <v>1</v>
      </c>
      <c r="F276" s="252">
        <v>6.25E-2</v>
      </c>
      <c r="G276" s="251">
        <v>1</v>
      </c>
    </row>
    <row r="277" spans="2:7">
      <c r="B277" s="256" t="s">
        <v>8</v>
      </c>
      <c r="C277" s="250" t="s">
        <v>536</v>
      </c>
      <c r="D277" s="250" t="s">
        <v>796</v>
      </c>
      <c r="E277" s="251">
        <v>2</v>
      </c>
      <c r="F277" s="252">
        <v>0.125</v>
      </c>
      <c r="G277" s="251">
        <v>2</v>
      </c>
    </row>
    <row r="278" spans="2:7">
      <c r="B278" s="256" t="s">
        <v>8</v>
      </c>
      <c r="C278" s="250" t="s">
        <v>536</v>
      </c>
      <c r="D278" s="250" t="s">
        <v>14</v>
      </c>
      <c r="E278" s="251">
        <v>1</v>
      </c>
      <c r="F278" s="252">
        <v>6.25E-2</v>
      </c>
      <c r="G278" s="251">
        <v>1</v>
      </c>
    </row>
    <row r="279" spans="2:7">
      <c r="B279" s="256" t="s">
        <v>8</v>
      </c>
      <c r="C279" s="250" t="s">
        <v>536</v>
      </c>
      <c r="D279" s="250" t="s">
        <v>465</v>
      </c>
      <c r="E279" s="251">
        <v>5</v>
      </c>
      <c r="F279" s="252">
        <v>0.3125</v>
      </c>
      <c r="G279" s="251">
        <v>4</v>
      </c>
    </row>
    <row r="280" spans="2:7">
      <c r="B280" s="256" t="s">
        <v>8</v>
      </c>
      <c r="C280" s="250" t="s">
        <v>799</v>
      </c>
      <c r="D280" s="250"/>
      <c r="E280" s="251">
        <v>16</v>
      </c>
      <c r="F280" s="252">
        <v>1</v>
      </c>
      <c r="G280" s="251">
        <v>11</v>
      </c>
    </row>
    <row r="281" spans="2:7">
      <c r="B281" s="256" t="s">
        <v>8</v>
      </c>
      <c r="C281" s="250" t="s">
        <v>537</v>
      </c>
      <c r="D281" s="250" t="s">
        <v>792</v>
      </c>
      <c r="E281" s="251">
        <v>2</v>
      </c>
      <c r="F281" s="252">
        <v>0.18181818181818182</v>
      </c>
      <c r="G281" s="251">
        <v>2</v>
      </c>
    </row>
    <row r="282" spans="2:7">
      <c r="B282" s="256" t="s">
        <v>8</v>
      </c>
      <c r="C282" s="250" t="s">
        <v>537</v>
      </c>
      <c r="D282" s="250" t="s">
        <v>789</v>
      </c>
      <c r="E282" s="251">
        <v>1</v>
      </c>
      <c r="F282" s="252">
        <v>9.0909090909090912E-2</v>
      </c>
      <c r="G282" s="251">
        <v>1</v>
      </c>
    </row>
    <row r="283" spans="2:7">
      <c r="B283" s="256" t="s">
        <v>8</v>
      </c>
      <c r="C283" s="250" t="s">
        <v>537</v>
      </c>
      <c r="D283" s="250" t="s">
        <v>790</v>
      </c>
      <c r="E283" s="251">
        <v>2</v>
      </c>
      <c r="F283" s="252">
        <v>0.18181818181818182</v>
      </c>
      <c r="G283" s="251">
        <v>2</v>
      </c>
    </row>
    <row r="284" spans="2:7">
      <c r="B284" s="256" t="s">
        <v>8</v>
      </c>
      <c r="C284" s="250" t="s">
        <v>537</v>
      </c>
      <c r="D284" s="250" t="s">
        <v>426</v>
      </c>
      <c r="E284" s="251">
        <v>1</v>
      </c>
      <c r="F284" s="252">
        <v>9.0909090909090912E-2</v>
      </c>
      <c r="G284" s="251">
        <v>1</v>
      </c>
    </row>
    <row r="285" spans="2:7">
      <c r="B285" s="256" t="s">
        <v>8</v>
      </c>
      <c r="C285" s="250" t="s">
        <v>537</v>
      </c>
      <c r="D285" s="250" t="s">
        <v>14</v>
      </c>
      <c r="E285" s="251">
        <v>2</v>
      </c>
      <c r="F285" s="252">
        <v>0.18181818181818182</v>
      </c>
      <c r="G285" s="251">
        <v>2</v>
      </c>
    </row>
    <row r="286" spans="2:7">
      <c r="B286" s="256" t="s">
        <v>8</v>
      </c>
      <c r="C286" s="250" t="s">
        <v>537</v>
      </c>
      <c r="D286" s="250" t="s">
        <v>465</v>
      </c>
      <c r="E286" s="251">
        <v>2</v>
      </c>
      <c r="F286" s="252">
        <v>0.18181818181818182</v>
      </c>
      <c r="G286" s="251">
        <v>2</v>
      </c>
    </row>
    <row r="287" spans="2:7">
      <c r="B287" s="256" t="s">
        <v>8</v>
      </c>
      <c r="C287" s="250" t="s">
        <v>537</v>
      </c>
      <c r="D287" s="250" t="s">
        <v>18</v>
      </c>
      <c r="E287" s="251">
        <v>1</v>
      </c>
      <c r="F287" s="252">
        <v>9.0909090909090912E-2</v>
      </c>
      <c r="G287" s="251">
        <v>1</v>
      </c>
    </row>
    <row r="288" spans="2:7">
      <c r="B288" s="256" t="s">
        <v>8</v>
      </c>
      <c r="C288" s="250" t="s">
        <v>800</v>
      </c>
      <c r="D288" s="250"/>
      <c r="E288" s="251">
        <v>11</v>
      </c>
      <c r="F288" s="252">
        <v>1</v>
      </c>
      <c r="G288" s="251">
        <v>8</v>
      </c>
    </row>
    <row r="289" spans="2:7">
      <c r="B289" s="256" t="s">
        <v>8</v>
      </c>
      <c r="C289" s="250" t="s">
        <v>420</v>
      </c>
      <c r="D289" s="250" t="s">
        <v>790</v>
      </c>
      <c r="E289" s="251">
        <v>1</v>
      </c>
      <c r="F289" s="252">
        <v>0.25</v>
      </c>
      <c r="G289" s="251">
        <v>1</v>
      </c>
    </row>
    <row r="290" spans="2:7">
      <c r="B290" s="256" t="s">
        <v>8</v>
      </c>
      <c r="C290" s="250" t="s">
        <v>420</v>
      </c>
      <c r="D290" s="250" t="s">
        <v>796</v>
      </c>
      <c r="E290" s="251">
        <v>1</v>
      </c>
      <c r="F290" s="252">
        <v>0.25</v>
      </c>
      <c r="G290" s="251">
        <v>1</v>
      </c>
    </row>
    <row r="291" spans="2:7">
      <c r="B291" s="256" t="s">
        <v>8</v>
      </c>
      <c r="C291" s="250" t="s">
        <v>420</v>
      </c>
      <c r="D291" s="250" t="s">
        <v>465</v>
      </c>
      <c r="E291" s="251">
        <v>2</v>
      </c>
      <c r="F291" s="252">
        <v>0.5</v>
      </c>
      <c r="G291" s="251">
        <v>2</v>
      </c>
    </row>
    <row r="292" spans="2:7">
      <c r="B292" s="256" t="s">
        <v>8</v>
      </c>
      <c r="C292" s="250" t="s">
        <v>427</v>
      </c>
      <c r="D292" s="250"/>
      <c r="E292" s="251">
        <v>4</v>
      </c>
      <c r="F292" s="252">
        <v>1</v>
      </c>
      <c r="G292" s="251">
        <v>2</v>
      </c>
    </row>
    <row r="293" spans="2:7">
      <c r="B293" s="256" t="s">
        <v>8</v>
      </c>
      <c r="C293" s="250" t="s">
        <v>538</v>
      </c>
      <c r="D293" s="250" t="s">
        <v>794</v>
      </c>
      <c r="E293" s="251">
        <v>1</v>
      </c>
      <c r="F293" s="252">
        <v>0.2</v>
      </c>
      <c r="G293" s="251">
        <v>1</v>
      </c>
    </row>
    <row r="294" spans="2:7">
      <c r="B294" s="256" t="s">
        <v>8</v>
      </c>
      <c r="C294" s="250" t="s">
        <v>538</v>
      </c>
      <c r="D294" s="250" t="s">
        <v>801</v>
      </c>
      <c r="E294" s="251">
        <v>1</v>
      </c>
      <c r="F294" s="252">
        <v>0.2</v>
      </c>
      <c r="G294" s="251">
        <v>1</v>
      </c>
    </row>
    <row r="295" spans="2:7">
      <c r="B295" s="256" t="s">
        <v>8</v>
      </c>
      <c r="C295" s="250" t="s">
        <v>538</v>
      </c>
      <c r="D295" s="250" t="s">
        <v>426</v>
      </c>
      <c r="E295" s="251">
        <v>1</v>
      </c>
      <c r="F295" s="252">
        <v>0.2</v>
      </c>
      <c r="G295" s="251">
        <v>1</v>
      </c>
    </row>
    <row r="296" spans="2:7">
      <c r="B296" s="256" t="s">
        <v>8</v>
      </c>
      <c r="C296" s="250" t="s">
        <v>538</v>
      </c>
      <c r="D296" s="250" t="s">
        <v>465</v>
      </c>
      <c r="E296" s="251">
        <v>2</v>
      </c>
      <c r="F296" s="252">
        <v>0.4</v>
      </c>
      <c r="G296" s="251">
        <v>2</v>
      </c>
    </row>
    <row r="297" spans="2:7">
      <c r="B297" s="256" t="s">
        <v>8</v>
      </c>
      <c r="C297" s="250" t="s">
        <v>802</v>
      </c>
      <c r="D297" s="250"/>
      <c r="E297" s="251">
        <v>5</v>
      </c>
      <c r="F297" s="252">
        <v>1</v>
      </c>
      <c r="G297" s="251">
        <v>2</v>
      </c>
    </row>
    <row r="298" spans="2:7">
      <c r="B298" s="256" t="s">
        <v>8</v>
      </c>
      <c r="C298" s="250" t="s">
        <v>539</v>
      </c>
      <c r="D298" s="250" t="s">
        <v>794</v>
      </c>
      <c r="E298" s="251">
        <v>1</v>
      </c>
      <c r="F298" s="252">
        <v>0.33333333333333331</v>
      </c>
      <c r="G298" s="251">
        <v>1</v>
      </c>
    </row>
    <row r="299" spans="2:7">
      <c r="B299" s="256" t="s">
        <v>8</v>
      </c>
      <c r="C299" s="250" t="s">
        <v>539</v>
      </c>
      <c r="D299" s="250" t="s">
        <v>790</v>
      </c>
      <c r="E299" s="251">
        <v>1</v>
      </c>
      <c r="F299" s="252">
        <v>0.33333333333333331</v>
      </c>
      <c r="G299" s="251">
        <v>1</v>
      </c>
    </row>
    <row r="300" spans="2:7">
      <c r="B300" s="256" t="s">
        <v>8</v>
      </c>
      <c r="C300" s="250" t="s">
        <v>539</v>
      </c>
      <c r="D300" s="250" t="s">
        <v>18</v>
      </c>
      <c r="E300" s="251">
        <v>1</v>
      </c>
      <c r="F300" s="252">
        <v>0.33333333333333331</v>
      </c>
      <c r="G300" s="251">
        <v>1</v>
      </c>
    </row>
    <row r="301" spans="2:7">
      <c r="B301" s="256" t="s">
        <v>8</v>
      </c>
      <c r="C301" s="250" t="s">
        <v>803</v>
      </c>
      <c r="D301" s="250"/>
      <c r="E301" s="251">
        <v>3</v>
      </c>
      <c r="F301" s="252">
        <v>1</v>
      </c>
      <c r="G301" s="251">
        <v>3</v>
      </c>
    </row>
    <row r="302" spans="2:7">
      <c r="B302" s="256" t="s">
        <v>8</v>
      </c>
      <c r="C302" s="250" t="s">
        <v>540</v>
      </c>
      <c r="D302" s="250" t="s">
        <v>792</v>
      </c>
      <c r="E302" s="251">
        <v>2</v>
      </c>
      <c r="F302" s="252">
        <v>7.6923076923076927E-2</v>
      </c>
      <c r="G302" s="251">
        <v>2</v>
      </c>
    </row>
    <row r="303" spans="2:7">
      <c r="B303" s="256" t="s">
        <v>8</v>
      </c>
      <c r="C303" s="250" t="s">
        <v>540</v>
      </c>
      <c r="D303" s="250" t="s">
        <v>804</v>
      </c>
      <c r="E303" s="251">
        <v>10</v>
      </c>
      <c r="F303" s="252">
        <v>0.38461538461538464</v>
      </c>
      <c r="G303" s="251">
        <v>10</v>
      </c>
    </row>
    <row r="304" spans="2:7">
      <c r="B304" s="256" t="s">
        <v>8</v>
      </c>
      <c r="C304" s="250" t="s">
        <v>540</v>
      </c>
      <c r="D304" s="250" t="s">
        <v>805</v>
      </c>
      <c r="E304" s="251">
        <v>1</v>
      </c>
      <c r="F304" s="252">
        <v>3.8461538461538464E-2</v>
      </c>
      <c r="G304" s="251">
        <v>1</v>
      </c>
    </row>
    <row r="305" spans="2:7">
      <c r="B305" s="256" t="s">
        <v>8</v>
      </c>
      <c r="C305" s="250" t="s">
        <v>540</v>
      </c>
      <c r="D305" s="250" t="s">
        <v>14</v>
      </c>
      <c r="E305" s="251">
        <v>3</v>
      </c>
      <c r="F305" s="252">
        <v>0.11538461538461539</v>
      </c>
      <c r="G305" s="251">
        <v>3</v>
      </c>
    </row>
    <row r="306" spans="2:7">
      <c r="B306" s="256" t="s">
        <v>8</v>
      </c>
      <c r="C306" s="250" t="s">
        <v>540</v>
      </c>
      <c r="D306" s="250" t="s">
        <v>465</v>
      </c>
      <c r="E306" s="251">
        <v>10</v>
      </c>
      <c r="F306" s="252">
        <v>0.38461538461538464</v>
      </c>
      <c r="G306" s="251">
        <v>10</v>
      </c>
    </row>
    <row r="307" spans="2:7">
      <c r="B307" s="256" t="s">
        <v>8</v>
      </c>
      <c r="C307" s="250" t="s">
        <v>806</v>
      </c>
      <c r="D307" s="250"/>
      <c r="E307" s="251">
        <v>26</v>
      </c>
      <c r="F307" s="252">
        <v>1</v>
      </c>
      <c r="G307" s="251">
        <v>19</v>
      </c>
    </row>
    <row r="308" spans="2:7">
      <c r="B308" s="256" t="s">
        <v>8</v>
      </c>
      <c r="C308" s="250" t="s">
        <v>541</v>
      </c>
      <c r="D308" s="250" t="s">
        <v>807</v>
      </c>
      <c r="E308" s="251">
        <v>1</v>
      </c>
      <c r="F308" s="252">
        <v>0.25</v>
      </c>
      <c r="G308" s="251">
        <v>1</v>
      </c>
    </row>
    <row r="309" spans="2:7">
      <c r="B309" s="256" t="s">
        <v>8</v>
      </c>
      <c r="C309" s="250" t="s">
        <v>541</v>
      </c>
      <c r="D309" s="250" t="s">
        <v>426</v>
      </c>
      <c r="E309" s="251">
        <v>1</v>
      </c>
      <c r="F309" s="252">
        <v>0.25</v>
      </c>
      <c r="G309" s="251">
        <v>1</v>
      </c>
    </row>
    <row r="310" spans="2:7">
      <c r="B310" s="256" t="s">
        <v>8</v>
      </c>
      <c r="C310" s="250" t="s">
        <v>541</v>
      </c>
      <c r="D310" s="250" t="s">
        <v>14</v>
      </c>
      <c r="E310" s="251">
        <v>1</v>
      </c>
      <c r="F310" s="252">
        <v>0.25</v>
      </c>
      <c r="G310" s="251">
        <v>1</v>
      </c>
    </row>
    <row r="311" spans="2:7">
      <c r="B311" s="256" t="s">
        <v>8</v>
      </c>
      <c r="C311" s="250" t="s">
        <v>541</v>
      </c>
      <c r="D311" s="250" t="s">
        <v>465</v>
      </c>
      <c r="E311" s="251">
        <v>1</v>
      </c>
      <c r="F311" s="252">
        <v>0.25</v>
      </c>
      <c r="G311" s="251">
        <v>1</v>
      </c>
    </row>
    <row r="312" spans="2:7">
      <c r="B312" s="256" t="s">
        <v>8</v>
      </c>
      <c r="C312" s="250" t="s">
        <v>808</v>
      </c>
      <c r="D312" s="250"/>
      <c r="E312" s="251">
        <v>4</v>
      </c>
      <c r="F312" s="252">
        <v>1</v>
      </c>
      <c r="G312" s="251">
        <v>3</v>
      </c>
    </row>
    <row r="313" spans="2:7">
      <c r="B313" s="256" t="s">
        <v>8</v>
      </c>
      <c r="C313" s="250" t="s">
        <v>542</v>
      </c>
      <c r="D313" s="250" t="s">
        <v>14</v>
      </c>
      <c r="E313" s="251">
        <v>1</v>
      </c>
      <c r="F313" s="252">
        <v>0.5</v>
      </c>
      <c r="G313" s="251">
        <v>1</v>
      </c>
    </row>
    <row r="314" spans="2:7">
      <c r="B314" s="256" t="s">
        <v>8</v>
      </c>
      <c r="C314" s="250" t="s">
        <v>542</v>
      </c>
      <c r="D314" s="250" t="s">
        <v>18</v>
      </c>
      <c r="E314" s="251">
        <v>1</v>
      </c>
      <c r="F314" s="252">
        <v>0.5</v>
      </c>
      <c r="G314" s="251">
        <v>1</v>
      </c>
    </row>
    <row r="315" spans="2:7">
      <c r="B315" s="256" t="s">
        <v>8</v>
      </c>
      <c r="C315" s="250" t="s">
        <v>809</v>
      </c>
      <c r="D315" s="250"/>
      <c r="E315" s="251">
        <v>2</v>
      </c>
      <c r="F315" s="252">
        <v>1</v>
      </c>
      <c r="G315" s="251">
        <v>2</v>
      </c>
    </row>
    <row r="316" spans="2:7">
      <c r="B316" s="256" t="s">
        <v>8</v>
      </c>
      <c r="C316" s="250" t="s">
        <v>543</v>
      </c>
      <c r="D316" s="250" t="s">
        <v>426</v>
      </c>
      <c r="E316" s="251">
        <v>1</v>
      </c>
      <c r="F316" s="252">
        <v>0.5</v>
      </c>
      <c r="G316" s="251">
        <v>1</v>
      </c>
    </row>
    <row r="317" spans="2:7">
      <c r="B317" s="256" t="s">
        <v>8</v>
      </c>
      <c r="C317" s="250" t="s">
        <v>543</v>
      </c>
      <c r="D317" s="250" t="s">
        <v>465</v>
      </c>
      <c r="E317" s="251">
        <v>1</v>
      </c>
      <c r="F317" s="252">
        <v>0.5</v>
      </c>
      <c r="G317" s="251">
        <v>1</v>
      </c>
    </row>
    <row r="318" spans="2:7">
      <c r="B318" s="256" t="s">
        <v>8</v>
      </c>
      <c r="C318" s="250" t="s">
        <v>810</v>
      </c>
      <c r="D318" s="250"/>
      <c r="E318" s="251">
        <v>2</v>
      </c>
      <c r="F318" s="252">
        <v>1</v>
      </c>
      <c r="G318" s="251">
        <v>1</v>
      </c>
    </row>
    <row r="319" spans="2:7">
      <c r="B319" s="256" t="s">
        <v>8</v>
      </c>
      <c r="C319" s="250" t="s">
        <v>544</v>
      </c>
      <c r="D319" s="250" t="s">
        <v>811</v>
      </c>
      <c r="E319" s="251">
        <v>1</v>
      </c>
      <c r="F319" s="252">
        <v>0.05</v>
      </c>
      <c r="G319" s="251">
        <v>1</v>
      </c>
    </row>
    <row r="320" spans="2:7">
      <c r="B320" s="256" t="s">
        <v>8</v>
      </c>
      <c r="C320" s="250" t="s">
        <v>544</v>
      </c>
      <c r="D320" s="250" t="s">
        <v>812</v>
      </c>
      <c r="E320" s="251">
        <v>1</v>
      </c>
      <c r="F320" s="252">
        <v>0.05</v>
      </c>
      <c r="G320" s="251">
        <v>1</v>
      </c>
    </row>
    <row r="321" spans="2:7">
      <c r="B321" s="256" t="s">
        <v>8</v>
      </c>
      <c r="C321" s="250" t="s">
        <v>544</v>
      </c>
      <c r="D321" s="250" t="s">
        <v>813</v>
      </c>
      <c r="E321" s="251">
        <v>1</v>
      </c>
      <c r="F321" s="252">
        <v>0.05</v>
      </c>
      <c r="G321" s="251">
        <v>1</v>
      </c>
    </row>
    <row r="322" spans="2:7">
      <c r="B322" s="256" t="s">
        <v>8</v>
      </c>
      <c r="C322" s="250" t="s">
        <v>544</v>
      </c>
      <c r="D322" s="250" t="s">
        <v>814</v>
      </c>
      <c r="E322" s="251">
        <v>3</v>
      </c>
      <c r="F322" s="252">
        <v>0.15</v>
      </c>
      <c r="G322" s="251">
        <v>3</v>
      </c>
    </row>
    <row r="323" spans="2:7">
      <c r="B323" s="256" t="s">
        <v>8</v>
      </c>
      <c r="C323" s="250" t="s">
        <v>544</v>
      </c>
      <c r="D323" s="250" t="s">
        <v>14</v>
      </c>
      <c r="E323" s="251">
        <v>6</v>
      </c>
      <c r="F323" s="252">
        <v>0.3</v>
      </c>
      <c r="G323" s="251">
        <v>6</v>
      </c>
    </row>
    <row r="324" spans="2:7">
      <c r="B324" s="256" t="s">
        <v>8</v>
      </c>
      <c r="C324" s="250" t="s">
        <v>544</v>
      </c>
      <c r="D324" s="250" t="s">
        <v>815</v>
      </c>
      <c r="E324" s="251">
        <v>1</v>
      </c>
      <c r="F324" s="252">
        <v>0.05</v>
      </c>
      <c r="G324" s="251">
        <v>1</v>
      </c>
    </row>
    <row r="325" spans="2:7">
      <c r="B325" s="256" t="s">
        <v>8</v>
      </c>
      <c r="C325" s="250" t="s">
        <v>544</v>
      </c>
      <c r="D325" s="250" t="s">
        <v>816</v>
      </c>
      <c r="E325" s="251">
        <v>4</v>
      </c>
      <c r="F325" s="252">
        <v>0.2</v>
      </c>
      <c r="G325" s="251">
        <v>4</v>
      </c>
    </row>
    <row r="326" spans="2:7">
      <c r="B326" s="256" t="s">
        <v>8</v>
      </c>
      <c r="C326" s="250" t="s">
        <v>544</v>
      </c>
      <c r="D326" s="250" t="s">
        <v>18</v>
      </c>
      <c r="E326" s="251">
        <v>3</v>
      </c>
      <c r="F326" s="252">
        <v>0.15</v>
      </c>
      <c r="G326" s="251">
        <v>3</v>
      </c>
    </row>
    <row r="327" spans="2:7">
      <c r="B327" s="256" t="s">
        <v>8</v>
      </c>
      <c r="C327" s="250" t="s">
        <v>817</v>
      </c>
      <c r="D327" s="250"/>
      <c r="E327" s="251">
        <v>20</v>
      </c>
      <c r="F327" s="252">
        <v>1</v>
      </c>
      <c r="G327" s="251">
        <v>17</v>
      </c>
    </row>
    <row r="328" spans="2:7">
      <c r="B328" s="256" t="s">
        <v>8</v>
      </c>
      <c r="C328" s="250" t="s">
        <v>545</v>
      </c>
      <c r="D328" s="250" t="s">
        <v>818</v>
      </c>
      <c r="E328" s="251">
        <v>1</v>
      </c>
      <c r="F328" s="252">
        <v>0.33333333333333331</v>
      </c>
      <c r="G328" s="251">
        <v>1</v>
      </c>
    </row>
    <row r="329" spans="2:7">
      <c r="B329" s="256" t="s">
        <v>8</v>
      </c>
      <c r="C329" s="250" t="s">
        <v>545</v>
      </c>
      <c r="D329" s="250" t="s">
        <v>819</v>
      </c>
      <c r="E329" s="251">
        <v>1</v>
      </c>
      <c r="F329" s="252">
        <v>0.33333333333333331</v>
      </c>
      <c r="G329" s="251">
        <v>1</v>
      </c>
    </row>
    <row r="330" spans="2:7">
      <c r="B330" s="256" t="s">
        <v>8</v>
      </c>
      <c r="C330" s="250" t="s">
        <v>545</v>
      </c>
      <c r="D330" s="250" t="s">
        <v>820</v>
      </c>
      <c r="E330" s="251">
        <v>1</v>
      </c>
      <c r="F330" s="252">
        <v>0.33333333333333331</v>
      </c>
      <c r="G330" s="251">
        <v>1</v>
      </c>
    </row>
    <row r="331" spans="2:7">
      <c r="B331" s="256" t="s">
        <v>8</v>
      </c>
      <c r="C331" s="250" t="s">
        <v>821</v>
      </c>
      <c r="D331" s="250"/>
      <c r="E331" s="251">
        <v>3</v>
      </c>
      <c r="F331" s="252">
        <v>1</v>
      </c>
      <c r="G331" s="251">
        <v>3</v>
      </c>
    </row>
    <row r="332" spans="2:7">
      <c r="B332" s="256" t="s">
        <v>8</v>
      </c>
      <c r="C332" s="250" t="s">
        <v>546</v>
      </c>
      <c r="D332" s="250" t="s">
        <v>822</v>
      </c>
      <c r="E332" s="251">
        <v>1</v>
      </c>
      <c r="F332" s="252">
        <v>0.25</v>
      </c>
      <c r="G332" s="251">
        <v>1</v>
      </c>
    </row>
    <row r="333" spans="2:7">
      <c r="B333" s="256" t="s">
        <v>8</v>
      </c>
      <c r="C333" s="250" t="s">
        <v>546</v>
      </c>
      <c r="D333" s="250" t="s">
        <v>823</v>
      </c>
      <c r="E333" s="251">
        <v>1</v>
      </c>
      <c r="F333" s="252">
        <v>0.25</v>
      </c>
      <c r="G333" s="251">
        <v>1</v>
      </c>
    </row>
    <row r="334" spans="2:7">
      <c r="B334" s="256" t="s">
        <v>8</v>
      </c>
      <c r="C334" s="250" t="s">
        <v>546</v>
      </c>
      <c r="D334" s="250" t="s">
        <v>824</v>
      </c>
      <c r="E334" s="251">
        <v>1</v>
      </c>
      <c r="F334" s="252">
        <v>0.25</v>
      </c>
      <c r="G334" s="251">
        <v>1</v>
      </c>
    </row>
    <row r="335" spans="2:7">
      <c r="B335" s="256" t="s">
        <v>8</v>
      </c>
      <c r="C335" s="250" t="s">
        <v>546</v>
      </c>
      <c r="D335" s="250" t="s">
        <v>18</v>
      </c>
      <c r="E335" s="251">
        <v>1</v>
      </c>
      <c r="F335" s="252">
        <v>0.25</v>
      </c>
      <c r="G335" s="251">
        <v>1</v>
      </c>
    </row>
    <row r="336" spans="2:7">
      <c r="B336" s="256" t="s">
        <v>8</v>
      </c>
      <c r="C336" s="250" t="s">
        <v>825</v>
      </c>
      <c r="D336" s="250"/>
      <c r="E336" s="251">
        <v>4</v>
      </c>
      <c r="F336" s="252">
        <v>1</v>
      </c>
      <c r="G336" s="251">
        <v>4</v>
      </c>
    </row>
    <row r="337" spans="2:7">
      <c r="B337" s="256" t="s">
        <v>8</v>
      </c>
      <c r="C337" s="250" t="s">
        <v>547</v>
      </c>
      <c r="D337" s="250" t="s">
        <v>789</v>
      </c>
      <c r="E337" s="251">
        <v>1</v>
      </c>
      <c r="F337" s="252">
        <v>0.125</v>
      </c>
      <c r="G337" s="251">
        <v>1</v>
      </c>
    </row>
    <row r="338" spans="2:7">
      <c r="B338" s="256" t="s">
        <v>8</v>
      </c>
      <c r="C338" s="250" t="s">
        <v>547</v>
      </c>
      <c r="D338" s="250" t="s">
        <v>826</v>
      </c>
      <c r="E338" s="251">
        <v>2</v>
      </c>
      <c r="F338" s="252">
        <v>0.25</v>
      </c>
      <c r="G338" s="251">
        <v>2</v>
      </c>
    </row>
    <row r="339" spans="2:7">
      <c r="B339" s="256" t="s">
        <v>8</v>
      </c>
      <c r="C339" s="250" t="s">
        <v>547</v>
      </c>
      <c r="D339" s="250" t="s">
        <v>827</v>
      </c>
      <c r="E339" s="251">
        <v>2</v>
      </c>
      <c r="F339" s="252">
        <v>0.25</v>
      </c>
      <c r="G339" s="251">
        <v>2</v>
      </c>
    </row>
    <row r="340" spans="2:7">
      <c r="B340" s="256" t="s">
        <v>8</v>
      </c>
      <c r="C340" s="250" t="s">
        <v>547</v>
      </c>
      <c r="D340" s="250" t="s">
        <v>465</v>
      </c>
      <c r="E340" s="251">
        <v>2</v>
      </c>
      <c r="F340" s="252">
        <v>0.25</v>
      </c>
      <c r="G340" s="251">
        <v>2</v>
      </c>
    </row>
    <row r="341" spans="2:7">
      <c r="B341" s="256" t="s">
        <v>8</v>
      </c>
      <c r="C341" s="250" t="s">
        <v>547</v>
      </c>
      <c r="D341" s="250" t="s">
        <v>18</v>
      </c>
      <c r="E341" s="251">
        <v>1</v>
      </c>
      <c r="F341" s="252">
        <v>0.125</v>
      </c>
      <c r="G341" s="251">
        <v>1</v>
      </c>
    </row>
    <row r="342" spans="2:7">
      <c r="B342" s="256" t="s">
        <v>8</v>
      </c>
      <c r="C342" s="250" t="s">
        <v>828</v>
      </c>
      <c r="D342" s="250"/>
      <c r="E342" s="251">
        <v>8</v>
      </c>
      <c r="F342" s="252">
        <v>1</v>
      </c>
      <c r="G342" s="251">
        <v>7</v>
      </c>
    </row>
    <row r="343" spans="2:7">
      <c r="B343" s="256" t="s">
        <v>8</v>
      </c>
      <c r="C343" s="250" t="s">
        <v>548</v>
      </c>
      <c r="D343" s="250" t="s">
        <v>829</v>
      </c>
      <c r="E343" s="251">
        <v>1</v>
      </c>
      <c r="F343" s="252">
        <v>0.33333333333333331</v>
      </c>
      <c r="G343" s="251">
        <v>1</v>
      </c>
    </row>
    <row r="344" spans="2:7">
      <c r="B344" s="256" t="s">
        <v>8</v>
      </c>
      <c r="C344" s="250" t="s">
        <v>548</v>
      </c>
      <c r="D344" s="250" t="s">
        <v>794</v>
      </c>
      <c r="E344" s="251">
        <v>1</v>
      </c>
      <c r="F344" s="252">
        <v>0.33333333333333331</v>
      </c>
      <c r="G344" s="251">
        <v>1</v>
      </c>
    </row>
    <row r="345" spans="2:7">
      <c r="B345" s="256" t="s">
        <v>8</v>
      </c>
      <c r="C345" s="250" t="s">
        <v>548</v>
      </c>
      <c r="D345" s="250" t="s">
        <v>465</v>
      </c>
      <c r="E345" s="251">
        <v>1</v>
      </c>
      <c r="F345" s="252">
        <v>0.33333333333333331</v>
      </c>
      <c r="G345" s="251">
        <v>1</v>
      </c>
    </row>
    <row r="346" spans="2:7">
      <c r="B346" s="256" t="s">
        <v>8</v>
      </c>
      <c r="C346" s="250" t="s">
        <v>830</v>
      </c>
      <c r="D346" s="250"/>
      <c r="E346" s="251">
        <v>3</v>
      </c>
      <c r="F346" s="252">
        <v>1</v>
      </c>
      <c r="G346" s="251">
        <v>3</v>
      </c>
    </row>
    <row r="347" spans="2:7">
      <c r="B347" s="256" t="s">
        <v>8</v>
      </c>
      <c r="C347" s="250" t="s">
        <v>549</v>
      </c>
      <c r="D347" s="250" t="s">
        <v>465</v>
      </c>
      <c r="E347" s="251">
        <v>2</v>
      </c>
      <c r="F347" s="252">
        <v>1</v>
      </c>
      <c r="G347" s="251">
        <v>2</v>
      </c>
    </row>
    <row r="348" spans="2:7">
      <c r="B348" s="256" t="s">
        <v>8</v>
      </c>
      <c r="C348" s="250" t="s">
        <v>831</v>
      </c>
      <c r="D348" s="250"/>
      <c r="E348" s="251">
        <v>2</v>
      </c>
      <c r="F348" s="252">
        <v>1</v>
      </c>
      <c r="G348" s="251">
        <v>2</v>
      </c>
    </row>
    <row r="349" spans="2:7">
      <c r="B349" s="256" t="s">
        <v>8</v>
      </c>
      <c r="C349" s="250" t="s">
        <v>550</v>
      </c>
      <c r="D349" s="250" t="s">
        <v>832</v>
      </c>
      <c r="E349" s="251">
        <v>1</v>
      </c>
      <c r="F349" s="252">
        <v>1.6949152542372881E-2</v>
      </c>
      <c r="G349" s="251">
        <v>1</v>
      </c>
    </row>
    <row r="350" spans="2:7">
      <c r="B350" s="256" t="s">
        <v>8</v>
      </c>
      <c r="C350" s="250" t="s">
        <v>550</v>
      </c>
      <c r="D350" s="250" t="s">
        <v>833</v>
      </c>
      <c r="E350" s="251">
        <v>5</v>
      </c>
      <c r="F350" s="252">
        <v>8.4745762711864403E-2</v>
      </c>
      <c r="G350" s="251">
        <v>5</v>
      </c>
    </row>
    <row r="351" spans="2:7">
      <c r="B351" s="256" t="s">
        <v>8</v>
      </c>
      <c r="C351" s="250" t="s">
        <v>550</v>
      </c>
      <c r="D351" s="250" t="s">
        <v>834</v>
      </c>
      <c r="E351" s="251">
        <v>5</v>
      </c>
      <c r="F351" s="252">
        <v>8.4745762711864403E-2</v>
      </c>
      <c r="G351" s="251">
        <v>5</v>
      </c>
    </row>
    <row r="352" spans="2:7">
      <c r="B352" s="256" t="s">
        <v>8</v>
      </c>
      <c r="C352" s="250" t="s">
        <v>550</v>
      </c>
      <c r="D352" s="250" t="s">
        <v>14</v>
      </c>
      <c r="E352" s="251">
        <v>13</v>
      </c>
      <c r="F352" s="252">
        <v>0.22033898305084745</v>
      </c>
      <c r="G352" s="251">
        <v>13</v>
      </c>
    </row>
    <row r="353" spans="2:7">
      <c r="B353" s="256" t="s">
        <v>8</v>
      </c>
      <c r="C353" s="250" t="s">
        <v>550</v>
      </c>
      <c r="D353" s="250" t="s">
        <v>835</v>
      </c>
      <c r="E353" s="251">
        <v>1</v>
      </c>
      <c r="F353" s="252">
        <v>1.6949152542372881E-2</v>
      </c>
      <c r="G353" s="251">
        <v>1</v>
      </c>
    </row>
    <row r="354" spans="2:7">
      <c r="B354" s="256" t="s">
        <v>8</v>
      </c>
      <c r="C354" s="250" t="s">
        <v>550</v>
      </c>
      <c r="D354" s="250" t="s">
        <v>836</v>
      </c>
      <c r="E354" s="251">
        <v>1</v>
      </c>
      <c r="F354" s="252">
        <v>1.6949152542372881E-2</v>
      </c>
      <c r="G354" s="251">
        <v>1</v>
      </c>
    </row>
    <row r="355" spans="2:7">
      <c r="B355" s="256" t="s">
        <v>8</v>
      </c>
      <c r="C355" s="250" t="s">
        <v>550</v>
      </c>
      <c r="D355" s="250" t="s">
        <v>18</v>
      </c>
      <c r="E355" s="251">
        <v>33</v>
      </c>
      <c r="F355" s="252">
        <v>0.55932203389830504</v>
      </c>
      <c r="G355" s="251">
        <v>33</v>
      </c>
    </row>
    <row r="356" spans="2:7">
      <c r="B356" s="256" t="s">
        <v>8</v>
      </c>
      <c r="C356" s="250" t="s">
        <v>837</v>
      </c>
      <c r="D356" s="250"/>
      <c r="E356" s="251">
        <v>59</v>
      </c>
      <c r="F356" s="252">
        <v>1</v>
      </c>
      <c r="G356" s="251">
        <v>59</v>
      </c>
    </row>
    <row r="357" spans="2:7">
      <c r="B357" s="256" t="s">
        <v>8</v>
      </c>
      <c r="C357" s="250" t="s">
        <v>14</v>
      </c>
      <c r="D357" s="250" t="s">
        <v>14</v>
      </c>
      <c r="E357" s="251">
        <v>117</v>
      </c>
      <c r="F357" s="252">
        <v>1</v>
      </c>
      <c r="G357" s="251">
        <v>2</v>
      </c>
    </row>
    <row r="358" spans="2:7">
      <c r="B358" s="256" t="s">
        <v>8</v>
      </c>
      <c r="C358" s="250" t="s">
        <v>265</v>
      </c>
      <c r="D358" s="250"/>
      <c r="E358" s="251">
        <v>117</v>
      </c>
      <c r="F358" s="252">
        <v>1</v>
      </c>
      <c r="G358" s="251">
        <v>2</v>
      </c>
    </row>
    <row r="359" spans="2:7">
      <c r="B359" s="256" t="s">
        <v>132</v>
      </c>
      <c r="C359" s="257"/>
      <c r="D359" s="257"/>
      <c r="E359" s="251">
        <v>339</v>
      </c>
      <c r="F359" s="252"/>
      <c r="G359" s="251">
        <v>169</v>
      </c>
    </row>
    <row r="360" spans="2:7">
      <c r="B360" s="256" t="s">
        <v>9</v>
      </c>
      <c r="C360" s="250" t="s">
        <v>477</v>
      </c>
      <c r="D360" s="250" t="s">
        <v>491</v>
      </c>
      <c r="E360" s="251">
        <v>10</v>
      </c>
      <c r="F360" s="252">
        <v>0.19607843137254902</v>
      </c>
      <c r="G360" s="251">
        <v>8</v>
      </c>
    </row>
    <row r="361" spans="2:7">
      <c r="B361" s="256" t="s">
        <v>9</v>
      </c>
      <c r="C361" s="250" t="s">
        <v>477</v>
      </c>
      <c r="D361" s="250" t="s">
        <v>492</v>
      </c>
      <c r="E361" s="251">
        <v>21</v>
      </c>
      <c r="F361" s="252">
        <v>0.41176470588235292</v>
      </c>
      <c r="G361" s="251">
        <v>12</v>
      </c>
    </row>
    <row r="362" spans="2:7">
      <c r="B362" s="256" t="s">
        <v>9</v>
      </c>
      <c r="C362" s="250" t="s">
        <v>477</v>
      </c>
      <c r="D362" s="250" t="s">
        <v>488</v>
      </c>
      <c r="E362" s="251">
        <v>4</v>
      </c>
      <c r="F362" s="252">
        <v>7.8431372549019607E-2</v>
      </c>
      <c r="G362" s="251">
        <v>2</v>
      </c>
    </row>
    <row r="363" spans="2:7">
      <c r="B363" s="256" t="s">
        <v>9</v>
      </c>
      <c r="C363" s="250" t="s">
        <v>477</v>
      </c>
      <c r="D363" s="250" t="s">
        <v>838</v>
      </c>
      <c r="E363" s="251">
        <v>2</v>
      </c>
      <c r="F363" s="252">
        <v>3.9215686274509803E-2</v>
      </c>
      <c r="G363" s="251">
        <v>2</v>
      </c>
    </row>
    <row r="364" spans="2:7">
      <c r="B364" s="256" t="s">
        <v>9</v>
      </c>
      <c r="C364" s="250" t="s">
        <v>477</v>
      </c>
      <c r="D364" s="250" t="s">
        <v>839</v>
      </c>
      <c r="E364" s="251">
        <v>3</v>
      </c>
      <c r="F364" s="252">
        <v>5.8823529411764705E-2</v>
      </c>
      <c r="G364" s="251">
        <v>3</v>
      </c>
    </row>
    <row r="365" spans="2:7">
      <c r="B365" s="256" t="s">
        <v>9</v>
      </c>
      <c r="C365" s="250" t="s">
        <v>477</v>
      </c>
      <c r="D365" s="250" t="s">
        <v>497</v>
      </c>
      <c r="E365" s="251">
        <v>2</v>
      </c>
      <c r="F365" s="252">
        <v>3.9215686274509803E-2</v>
      </c>
      <c r="G365" s="251">
        <v>1</v>
      </c>
    </row>
    <row r="366" spans="2:7">
      <c r="B366" s="256" t="s">
        <v>9</v>
      </c>
      <c r="C366" s="250" t="s">
        <v>477</v>
      </c>
      <c r="D366" s="250" t="s">
        <v>14</v>
      </c>
      <c r="E366" s="251">
        <v>9</v>
      </c>
      <c r="F366" s="252">
        <v>0.17647058823529413</v>
      </c>
      <c r="G366" s="251">
        <v>8</v>
      </c>
    </row>
    <row r="367" spans="2:7">
      <c r="B367" s="256" t="s">
        <v>9</v>
      </c>
      <c r="C367" s="250" t="s">
        <v>489</v>
      </c>
      <c r="D367" s="250"/>
      <c r="E367" s="251">
        <v>51</v>
      </c>
      <c r="F367" s="252">
        <v>1</v>
      </c>
      <c r="G367" s="251">
        <v>28</v>
      </c>
    </row>
    <row r="368" spans="2:7">
      <c r="B368" s="256" t="s">
        <v>9</v>
      </c>
      <c r="C368" s="250" t="s">
        <v>551</v>
      </c>
      <c r="D368" s="250" t="s">
        <v>492</v>
      </c>
      <c r="E368" s="251">
        <v>6</v>
      </c>
      <c r="F368" s="252">
        <v>0.5</v>
      </c>
      <c r="G368" s="251">
        <v>5</v>
      </c>
    </row>
    <row r="369" spans="2:7">
      <c r="B369" s="256" t="s">
        <v>9</v>
      </c>
      <c r="C369" s="250" t="s">
        <v>551</v>
      </c>
      <c r="D369" s="250" t="s">
        <v>840</v>
      </c>
      <c r="E369" s="251">
        <v>1</v>
      </c>
      <c r="F369" s="252">
        <v>8.3333333333333329E-2</v>
      </c>
      <c r="G369" s="251">
        <v>1</v>
      </c>
    </row>
    <row r="370" spans="2:7">
      <c r="B370" s="256" t="s">
        <v>9</v>
      </c>
      <c r="C370" s="250" t="s">
        <v>551</v>
      </c>
      <c r="D370" s="250" t="s">
        <v>841</v>
      </c>
      <c r="E370" s="251">
        <v>1</v>
      </c>
      <c r="F370" s="252">
        <v>8.3333333333333329E-2</v>
      </c>
      <c r="G370" s="251">
        <v>1</v>
      </c>
    </row>
    <row r="371" spans="2:7">
      <c r="B371" s="256" t="s">
        <v>9</v>
      </c>
      <c r="C371" s="250" t="s">
        <v>551</v>
      </c>
      <c r="D371" s="250" t="s">
        <v>14</v>
      </c>
      <c r="E371" s="251">
        <v>3</v>
      </c>
      <c r="F371" s="252">
        <v>0.25</v>
      </c>
      <c r="G371" s="251">
        <v>3</v>
      </c>
    </row>
    <row r="372" spans="2:7">
      <c r="B372" s="256" t="s">
        <v>9</v>
      </c>
      <c r="C372" s="250" t="s">
        <v>551</v>
      </c>
      <c r="D372" s="250" t="s">
        <v>842</v>
      </c>
      <c r="E372" s="251">
        <v>1</v>
      </c>
      <c r="F372" s="252">
        <v>8.3333333333333329E-2</v>
      </c>
      <c r="G372" s="251">
        <v>1</v>
      </c>
    </row>
    <row r="373" spans="2:7">
      <c r="B373" s="256" t="s">
        <v>9</v>
      </c>
      <c r="C373" s="250" t="s">
        <v>843</v>
      </c>
      <c r="D373" s="250"/>
      <c r="E373" s="251">
        <v>12</v>
      </c>
      <c r="F373" s="252">
        <v>1</v>
      </c>
      <c r="G373" s="251">
        <v>9</v>
      </c>
    </row>
    <row r="374" spans="2:7">
      <c r="B374" s="256" t="s">
        <v>9</v>
      </c>
      <c r="C374" s="250" t="s">
        <v>15</v>
      </c>
      <c r="D374" s="250" t="s">
        <v>491</v>
      </c>
      <c r="E374" s="251">
        <v>61</v>
      </c>
      <c r="F374" s="252">
        <v>0.29611650485436891</v>
      </c>
      <c r="G374" s="251">
        <v>48</v>
      </c>
    </row>
    <row r="375" spans="2:7">
      <c r="B375" s="256" t="s">
        <v>9</v>
      </c>
      <c r="C375" s="250" t="s">
        <v>15</v>
      </c>
      <c r="D375" s="250" t="s">
        <v>492</v>
      </c>
      <c r="E375" s="251">
        <v>110</v>
      </c>
      <c r="F375" s="252">
        <v>0.53398058252427183</v>
      </c>
      <c r="G375" s="251">
        <v>85</v>
      </c>
    </row>
    <row r="376" spans="2:7">
      <c r="B376" s="256" t="s">
        <v>9</v>
      </c>
      <c r="C376" s="250" t="s">
        <v>15</v>
      </c>
      <c r="D376" s="250" t="s">
        <v>844</v>
      </c>
      <c r="E376" s="251">
        <v>2</v>
      </c>
      <c r="F376" s="252">
        <v>9.7087378640776691E-3</v>
      </c>
      <c r="G376" s="251">
        <v>2</v>
      </c>
    </row>
    <row r="377" spans="2:7">
      <c r="B377" s="256" t="s">
        <v>9</v>
      </c>
      <c r="C377" s="250" t="s">
        <v>15</v>
      </c>
      <c r="D377" s="250" t="s">
        <v>845</v>
      </c>
      <c r="E377" s="251">
        <v>2</v>
      </c>
      <c r="F377" s="252">
        <v>9.7087378640776691E-3</v>
      </c>
      <c r="G377" s="251">
        <v>2</v>
      </c>
    </row>
    <row r="378" spans="2:7">
      <c r="B378" s="256" t="s">
        <v>9</v>
      </c>
      <c r="C378" s="250" t="s">
        <v>15</v>
      </c>
      <c r="D378" s="250" t="s">
        <v>846</v>
      </c>
      <c r="E378" s="251">
        <v>2</v>
      </c>
      <c r="F378" s="252">
        <v>9.7087378640776691E-3</v>
      </c>
      <c r="G378" s="251">
        <v>2</v>
      </c>
    </row>
    <row r="379" spans="2:7">
      <c r="B379" s="256" t="s">
        <v>9</v>
      </c>
      <c r="C379" s="250" t="s">
        <v>15</v>
      </c>
      <c r="D379" s="250" t="s">
        <v>14</v>
      </c>
      <c r="E379" s="251">
        <v>28</v>
      </c>
      <c r="F379" s="252">
        <v>0.13592233009708737</v>
      </c>
      <c r="G379" s="251">
        <v>28</v>
      </c>
    </row>
    <row r="380" spans="2:7">
      <c r="B380" s="256" t="s">
        <v>9</v>
      </c>
      <c r="C380" s="250" t="s">
        <v>15</v>
      </c>
      <c r="D380" s="250" t="s">
        <v>847</v>
      </c>
      <c r="E380" s="251">
        <v>1</v>
      </c>
      <c r="F380" s="252">
        <v>4.8543689320388345E-3</v>
      </c>
      <c r="G380" s="251">
        <v>1</v>
      </c>
    </row>
    <row r="381" spans="2:7">
      <c r="B381" s="256" t="s">
        <v>9</v>
      </c>
      <c r="C381" s="250" t="s">
        <v>137</v>
      </c>
      <c r="D381" s="250"/>
      <c r="E381" s="251">
        <v>206</v>
      </c>
      <c r="F381" s="252">
        <v>1</v>
      </c>
      <c r="G381" s="251">
        <v>128</v>
      </c>
    </row>
    <row r="382" spans="2:7">
      <c r="B382" s="256" t="s">
        <v>9</v>
      </c>
      <c r="C382" s="250" t="s">
        <v>478</v>
      </c>
      <c r="D382" s="250" t="s">
        <v>491</v>
      </c>
      <c r="E382" s="251">
        <v>61</v>
      </c>
      <c r="F382" s="252">
        <v>0.11172161172161173</v>
      </c>
      <c r="G382" s="251">
        <v>52</v>
      </c>
    </row>
    <row r="383" spans="2:7">
      <c r="B383" s="256" t="s">
        <v>9</v>
      </c>
      <c r="C383" s="250" t="s">
        <v>478</v>
      </c>
      <c r="D383" s="250" t="s">
        <v>492</v>
      </c>
      <c r="E383" s="251">
        <v>230</v>
      </c>
      <c r="F383" s="252">
        <v>0.42124542124542125</v>
      </c>
      <c r="G383" s="251">
        <v>180</v>
      </c>
    </row>
    <row r="384" spans="2:7">
      <c r="B384" s="256" t="s">
        <v>9</v>
      </c>
      <c r="C384" s="250" t="s">
        <v>478</v>
      </c>
      <c r="D384" s="250" t="s">
        <v>488</v>
      </c>
      <c r="E384" s="251">
        <v>47</v>
      </c>
      <c r="F384" s="252">
        <v>8.608058608058608E-2</v>
      </c>
      <c r="G384" s="251">
        <v>39</v>
      </c>
    </row>
    <row r="385" spans="2:7">
      <c r="B385" s="256" t="s">
        <v>9</v>
      </c>
      <c r="C385" s="250" t="s">
        <v>478</v>
      </c>
      <c r="D385" s="250" t="s">
        <v>838</v>
      </c>
      <c r="E385" s="251">
        <v>42</v>
      </c>
      <c r="F385" s="252">
        <v>7.6923076923076927E-2</v>
      </c>
      <c r="G385" s="251">
        <v>36</v>
      </c>
    </row>
    <row r="386" spans="2:7">
      <c r="B386" s="256" t="s">
        <v>9</v>
      </c>
      <c r="C386" s="250" t="s">
        <v>478</v>
      </c>
      <c r="D386" s="250" t="s">
        <v>14</v>
      </c>
      <c r="E386" s="251">
        <v>166</v>
      </c>
      <c r="F386" s="252">
        <v>0.304029304029304</v>
      </c>
      <c r="G386" s="251">
        <v>144</v>
      </c>
    </row>
    <row r="387" spans="2:7">
      <c r="B387" s="256" t="s">
        <v>9</v>
      </c>
      <c r="C387" s="250" t="s">
        <v>490</v>
      </c>
      <c r="D387" s="250"/>
      <c r="E387" s="251">
        <v>546</v>
      </c>
      <c r="F387" s="252">
        <v>1</v>
      </c>
      <c r="G387" s="251">
        <v>282</v>
      </c>
    </row>
    <row r="388" spans="2:7">
      <c r="B388" s="256" t="s">
        <v>9</v>
      </c>
      <c r="C388" s="250" t="s">
        <v>552</v>
      </c>
      <c r="D388" s="250" t="s">
        <v>491</v>
      </c>
      <c r="E388" s="251">
        <v>14</v>
      </c>
      <c r="F388" s="252">
        <v>0.14285714285714285</v>
      </c>
      <c r="G388" s="251">
        <v>13</v>
      </c>
    </row>
    <row r="389" spans="2:7">
      <c r="B389" s="256" t="s">
        <v>9</v>
      </c>
      <c r="C389" s="250" t="s">
        <v>552</v>
      </c>
      <c r="D389" s="250" t="s">
        <v>492</v>
      </c>
      <c r="E389" s="251">
        <v>46</v>
      </c>
      <c r="F389" s="252">
        <v>0.46938775510204084</v>
      </c>
      <c r="G389" s="251">
        <v>36</v>
      </c>
    </row>
    <row r="390" spans="2:7">
      <c r="B390" s="256" t="s">
        <v>9</v>
      </c>
      <c r="C390" s="250" t="s">
        <v>552</v>
      </c>
      <c r="D390" s="250" t="s">
        <v>488</v>
      </c>
      <c r="E390" s="251">
        <v>13</v>
      </c>
      <c r="F390" s="252">
        <v>0.1326530612244898</v>
      </c>
      <c r="G390" s="251">
        <v>11</v>
      </c>
    </row>
    <row r="391" spans="2:7">
      <c r="B391" s="256" t="s">
        <v>9</v>
      </c>
      <c r="C391" s="250" t="s">
        <v>552</v>
      </c>
      <c r="D391" s="250" t="s">
        <v>838</v>
      </c>
      <c r="E391" s="251">
        <v>7</v>
      </c>
      <c r="F391" s="252">
        <v>7.1428571428571425E-2</v>
      </c>
      <c r="G391" s="251">
        <v>7</v>
      </c>
    </row>
    <row r="392" spans="2:7">
      <c r="B392" s="256" t="s">
        <v>9</v>
      </c>
      <c r="C392" s="250" t="s">
        <v>552</v>
      </c>
      <c r="D392" s="250" t="s">
        <v>14</v>
      </c>
      <c r="E392" s="251">
        <v>18</v>
      </c>
      <c r="F392" s="252">
        <v>0.18367346938775511</v>
      </c>
      <c r="G392" s="251">
        <v>18</v>
      </c>
    </row>
    <row r="393" spans="2:7">
      <c r="B393" s="256" t="s">
        <v>9</v>
      </c>
      <c r="C393" s="250" t="s">
        <v>848</v>
      </c>
      <c r="D393" s="250"/>
      <c r="E393" s="251">
        <v>98</v>
      </c>
      <c r="F393" s="252">
        <v>1</v>
      </c>
      <c r="G393" s="251">
        <v>61</v>
      </c>
    </row>
    <row r="394" spans="2:7">
      <c r="B394" s="256" t="s">
        <v>9</v>
      </c>
      <c r="C394" s="250" t="s">
        <v>553</v>
      </c>
      <c r="D394" s="250" t="s">
        <v>491</v>
      </c>
      <c r="E394" s="251">
        <v>7</v>
      </c>
      <c r="F394" s="252">
        <v>0.10294117647058823</v>
      </c>
      <c r="G394" s="251">
        <v>7</v>
      </c>
    </row>
    <row r="395" spans="2:7">
      <c r="B395" s="256" t="s">
        <v>9</v>
      </c>
      <c r="C395" s="250" t="s">
        <v>553</v>
      </c>
      <c r="D395" s="250" t="s">
        <v>492</v>
      </c>
      <c r="E395" s="251">
        <v>33</v>
      </c>
      <c r="F395" s="252">
        <v>0.48529411764705882</v>
      </c>
      <c r="G395" s="251">
        <v>26</v>
      </c>
    </row>
    <row r="396" spans="2:7">
      <c r="B396" s="256" t="s">
        <v>9</v>
      </c>
      <c r="C396" s="250" t="s">
        <v>553</v>
      </c>
      <c r="D396" s="250" t="s">
        <v>488</v>
      </c>
      <c r="E396" s="251">
        <v>10</v>
      </c>
      <c r="F396" s="252">
        <v>0.14705882352941177</v>
      </c>
      <c r="G396" s="251">
        <v>7</v>
      </c>
    </row>
    <row r="397" spans="2:7">
      <c r="B397" s="256" t="s">
        <v>9</v>
      </c>
      <c r="C397" s="250" t="s">
        <v>553</v>
      </c>
      <c r="D397" s="250" t="s">
        <v>838</v>
      </c>
      <c r="E397" s="251">
        <v>2</v>
      </c>
      <c r="F397" s="252">
        <v>2.9411764705882353E-2</v>
      </c>
      <c r="G397" s="251">
        <v>2</v>
      </c>
    </row>
    <row r="398" spans="2:7">
      <c r="B398" s="256" t="s">
        <v>9</v>
      </c>
      <c r="C398" s="250" t="s">
        <v>553</v>
      </c>
      <c r="D398" s="250" t="s">
        <v>14</v>
      </c>
      <c r="E398" s="251">
        <v>16</v>
      </c>
      <c r="F398" s="252">
        <v>0.23529411764705882</v>
      </c>
      <c r="G398" s="251">
        <v>16</v>
      </c>
    </row>
    <row r="399" spans="2:7">
      <c r="B399" s="256" t="s">
        <v>9</v>
      </c>
      <c r="C399" s="250" t="s">
        <v>849</v>
      </c>
      <c r="D399" s="250"/>
      <c r="E399" s="251">
        <v>68</v>
      </c>
      <c r="F399" s="252">
        <v>1</v>
      </c>
      <c r="G399" s="251">
        <v>43</v>
      </c>
    </row>
    <row r="400" spans="2:7">
      <c r="B400" s="256" t="s">
        <v>9</v>
      </c>
      <c r="C400" s="250" t="s">
        <v>253</v>
      </c>
      <c r="D400" s="250" t="s">
        <v>491</v>
      </c>
      <c r="E400" s="251">
        <v>91</v>
      </c>
      <c r="F400" s="252">
        <v>0.20267260579064589</v>
      </c>
      <c r="G400" s="251">
        <v>68</v>
      </c>
    </row>
    <row r="401" spans="2:7">
      <c r="B401" s="256" t="s">
        <v>9</v>
      </c>
      <c r="C401" s="250" t="s">
        <v>253</v>
      </c>
      <c r="D401" s="250" t="s">
        <v>492</v>
      </c>
      <c r="E401" s="251">
        <v>215</v>
      </c>
      <c r="F401" s="252">
        <v>0.47884187082405344</v>
      </c>
      <c r="G401" s="251">
        <v>169</v>
      </c>
    </row>
    <row r="402" spans="2:7">
      <c r="B402" s="256" t="s">
        <v>9</v>
      </c>
      <c r="C402" s="250" t="s">
        <v>253</v>
      </c>
      <c r="D402" s="250" t="s">
        <v>850</v>
      </c>
      <c r="E402" s="251">
        <v>19</v>
      </c>
      <c r="F402" s="252">
        <v>4.2316258351893093E-2</v>
      </c>
      <c r="G402" s="251">
        <v>18</v>
      </c>
    </row>
    <row r="403" spans="2:7">
      <c r="B403" s="256" t="s">
        <v>9</v>
      </c>
      <c r="C403" s="250" t="s">
        <v>253</v>
      </c>
      <c r="D403" s="250" t="s">
        <v>851</v>
      </c>
      <c r="E403" s="251">
        <v>7</v>
      </c>
      <c r="F403" s="252">
        <v>1.5590200445434299E-2</v>
      </c>
      <c r="G403" s="251">
        <v>7</v>
      </c>
    </row>
    <row r="404" spans="2:7">
      <c r="B404" s="256" t="s">
        <v>9</v>
      </c>
      <c r="C404" s="250" t="s">
        <v>253</v>
      </c>
      <c r="D404" s="250" t="s">
        <v>852</v>
      </c>
      <c r="E404" s="251">
        <v>9</v>
      </c>
      <c r="F404" s="252">
        <v>2.0044543429844099E-2</v>
      </c>
      <c r="G404" s="251">
        <v>9</v>
      </c>
    </row>
    <row r="405" spans="2:7">
      <c r="B405" s="256" t="s">
        <v>9</v>
      </c>
      <c r="C405" s="250" t="s">
        <v>253</v>
      </c>
      <c r="D405" s="250" t="s">
        <v>853</v>
      </c>
      <c r="E405" s="251">
        <v>2</v>
      </c>
      <c r="F405" s="252">
        <v>4.4543429844097994E-3</v>
      </c>
      <c r="G405" s="251">
        <v>2</v>
      </c>
    </row>
    <row r="406" spans="2:7">
      <c r="B406" s="256" t="s">
        <v>9</v>
      </c>
      <c r="C406" s="250" t="s">
        <v>253</v>
      </c>
      <c r="D406" s="250" t="s">
        <v>404</v>
      </c>
      <c r="E406" s="251">
        <v>13</v>
      </c>
      <c r="F406" s="252">
        <v>2.8953229398663696E-2</v>
      </c>
      <c r="G406" s="251">
        <v>12</v>
      </c>
    </row>
    <row r="407" spans="2:7">
      <c r="B407" s="256" t="s">
        <v>9</v>
      </c>
      <c r="C407" s="250" t="s">
        <v>253</v>
      </c>
      <c r="D407" s="250" t="s">
        <v>854</v>
      </c>
      <c r="E407" s="251">
        <v>4</v>
      </c>
      <c r="F407" s="252">
        <v>8.9086859688195987E-3</v>
      </c>
      <c r="G407" s="251">
        <v>4</v>
      </c>
    </row>
    <row r="408" spans="2:7">
      <c r="B408" s="256" t="s">
        <v>9</v>
      </c>
      <c r="C408" s="250" t="s">
        <v>253</v>
      </c>
      <c r="D408" s="250" t="s">
        <v>855</v>
      </c>
      <c r="E408" s="251">
        <v>6</v>
      </c>
      <c r="F408" s="252">
        <v>1.3363028953229399E-2</v>
      </c>
      <c r="G408" s="251">
        <v>5</v>
      </c>
    </row>
    <row r="409" spans="2:7">
      <c r="B409" s="256" t="s">
        <v>9</v>
      </c>
      <c r="C409" s="250" t="s">
        <v>253</v>
      </c>
      <c r="D409" s="250" t="s">
        <v>856</v>
      </c>
      <c r="E409" s="251">
        <v>4</v>
      </c>
      <c r="F409" s="252">
        <v>8.9086859688195987E-3</v>
      </c>
      <c r="G409" s="251">
        <v>4</v>
      </c>
    </row>
    <row r="410" spans="2:7">
      <c r="B410" s="256" t="s">
        <v>9</v>
      </c>
      <c r="C410" s="250" t="s">
        <v>253</v>
      </c>
      <c r="D410" s="250" t="s">
        <v>857</v>
      </c>
      <c r="E410" s="251">
        <v>10</v>
      </c>
      <c r="F410" s="252">
        <v>2.2271714922048998E-2</v>
      </c>
      <c r="G410" s="251">
        <v>10</v>
      </c>
    </row>
    <row r="411" spans="2:7">
      <c r="B411" s="256" t="s">
        <v>9</v>
      </c>
      <c r="C411" s="250" t="s">
        <v>253</v>
      </c>
      <c r="D411" s="250" t="s">
        <v>493</v>
      </c>
      <c r="E411" s="251">
        <v>5</v>
      </c>
      <c r="F411" s="252">
        <v>1.1135857461024499E-2</v>
      </c>
      <c r="G411" s="251">
        <v>5</v>
      </c>
    </row>
    <row r="412" spans="2:7">
      <c r="B412" s="256" t="s">
        <v>9</v>
      </c>
      <c r="C412" s="250" t="s">
        <v>253</v>
      </c>
      <c r="D412" s="250" t="s">
        <v>858</v>
      </c>
      <c r="E412" s="251">
        <v>7</v>
      </c>
      <c r="F412" s="252">
        <v>1.5590200445434299E-2</v>
      </c>
      <c r="G412" s="251">
        <v>6</v>
      </c>
    </row>
    <row r="413" spans="2:7">
      <c r="B413" s="256" t="s">
        <v>9</v>
      </c>
      <c r="C413" s="250" t="s">
        <v>253</v>
      </c>
      <c r="D413" s="250" t="s">
        <v>14</v>
      </c>
      <c r="E413" s="251">
        <v>57</v>
      </c>
      <c r="F413" s="252">
        <v>0.12694877505567928</v>
      </c>
      <c r="G413" s="251">
        <v>56</v>
      </c>
    </row>
    <row r="414" spans="2:7">
      <c r="B414" s="256" t="s">
        <v>9</v>
      </c>
      <c r="C414" s="250" t="s">
        <v>254</v>
      </c>
      <c r="D414" s="250"/>
      <c r="E414" s="251">
        <v>449</v>
      </c>
      <c r="F414" s="252">
        <v>1</v>
      </c>
      <c r="G414" s="251">
        <v>253</v>
      </c>
    </row>
    <row r="415" spans="2:7">
      <c r="B415" s="256" t="s">
        <v>9</v>
      </c>
      <c r="C415" s="250" t="s">
        <v>554</v>
      </c>
      <c r="D415" s="250" t="s">
        <v>491</v>
      </c>
      <c r="E415" s="251">
        <v>12</v>
      </c>
      <c r="F415" s="252">
        <v>0.22222222222222221</v>
      </c>
      <c r="G415" s="251">
        <v>11</v>
      </c>
    </row>
    <row r="416" spans="2:7">
      <c r="B416" s="256" t="s">
        <v>9</v>
      </c>
      <c r="C416" s="250" t="s">
        <v>554</v>
      </c>
      <c r="D416" s="250" t="s">
        <v>492</v>
      </c>
      <c r="E416" s="251">
        <v>23</v>
      </c>
      <c r="F416" s="252">
        <v>0.42592592592592593</v>
      </c>
      <c r="G416" s="251">
        <v>19</v>
      </c>
    </row>
    <row r="417" spans="2:7">
      <c r="B417" s="256" t="s">
        <v>9</v>
      </c>
      <c r="C417" s="250" t="s">
        <v>554</v>
      </c>
      <c r="D417" s="250" t="s">
        <v>851</v>
      </c>
      <c r="E417" s="251">
        <v>1</v>
      </c>
      <c r="F417" s="252">
        <v>1.8518518518518517E-2</v>
      </c>
      <c r="G417" s="251">
        <v>1</v>
      </c>
    </row>
    <row r="418" spans="2:7">
      <c r="B418" s="256" t="s">
        <v>9</v>
      </c>
      <c r="C418" s="250" t="s">
        <v>554</v>
      </c>
      <c r="D418" s="250" t="s">
        <v>853</v>
      </c>
      <c r="E418" s="251">
        <v>1</v>
      </c>
      <c r="F418" s="252">
        <v>1.8518518518518517E-2</v>
      </c>
      <c r="G418" s="251">
        <v>1</v>
      </c>
    </row>
    <row r="419" spans="2:7">
      <c r="B419" s="256" t="s">
        <v>9</v>
      </c>
      <c r="C419" s="250" t="s">
        <v>554</v>
      </c>
      <c r="D419" s="250" t="s">
        <v>404</v>
      </c>
      <c r="E419" s="251">
        <v>4</v>
      </c>
      <c r="F419" s="252">
        <v>7.407407407407407E-2</v>
      </c>
      <c r="G419" s="251">
        <v>4</v>
      </c>
    </row>
    <row r="420" spans="2:7">
      <c r="B420" s="256" t="s">
        <v>9</v>
      </c>
      <c r="C420" s="250" t="s">
        <v>554</v>
      </c>
      <c r="D420" s="250" t="s">
        <v>856</v>
      </c>
      <c r="E420" s="251">
        <v>2</v>
      </c>
      <c r="F420" s="252">
        <v>3.7037037037037035E-2</v>
      </c>
      <c r="G420" s="251">
        <v>2</v>
      </c>
    </row>
    <row r="421" spans="2:7">
      <c r="B421" s="256" t="s">
        <v>9</v>
      </c>
      <c r="C421" s="250" t="s">
        <v>554</v>
      </c>
      <c r="D421" s="250" t="s">
        <v>857</v>
      </c>
      <c r="E421" s="251">
        <v>1</v>
      </c>
      <c r="F421" s="252">
        <v>1.8518518518518517E-2</v>
      </c>
      <c r="G421" s="251">
        <v>1</v>
      </c>
    </row>
    <row r="422" spans="2:7">
      <c r="B422" s="256" t="s">
        <v>9</v>
      </c>
      <c r="C422" s="250" t="s">
        <v>554</v>
      </c>
      <c r="D422" s="250" t="s">
        <v>859</v>
      </c>
      <c r="E422" s="251">
        <v>2</v>
      </c>
      <c r="F422" s="252">
        <v>3.7037037037037035E-2</v>
      </c>
      <c r="G422" s="251">
        <v>2</v>
      </c>
    </row>
    <row r="423" spans="2:7">
      <c r="B423" s="256" t="s">
        <v>9</v>
      </c>
      <c r="C423" s="250" t="s">
        <v>554</v>
      </c>
      <c r="D423" s="250" t="s">
        <v>860</v>
      </c>
      <c r="E423" s="251">
        <v>1</v>
      </c>
      <c r="F423" s="252">
        <v>1.8518518518518517E-2</v>
      </c>
      <c r="G423" s="251">
        <v>1</v>
      </c>
    </row>
    <row r="424" spans="2:7">
      <c r="B424" s="256" t="s">
        <v>9</v>
      </c>
      <c r="C424" s="250" t="s">
        <v>554</v>
      </c>
      <c r="D424" s="250" t="s">
        <v>14</v>
      </c>
      <c r="E424" s="251">
        <v>7</v>
      </c>
      <c r="F424" s="252">
        <v>0.12962962962962962</v>
      </c>
      <c r="G424" s="251">
        <v>7</v>
      </c>
    </row>
    <row r="425" spans="2:7">
      <c r="B425" s="256" t="s">
        <v>9</v>
      </c>
      <c r="C425" s="250" t="s">
        <v>861</v>
      </c>
      <c r="D425" s="250"/>
      <c r="E425" s="251">
        <v>54</v>
      </c>
      <c r="F425" s="252">
        <v>1</v>
      </c>
      <c r="G425" s="251">
        <v>32</v>
      </c>
    </row>
    <row r="426" spans="2:7">
      <c r="B426" s="256" t="s">
        <v>9</v>
      </c>
      <c r="C426" s="250" t="s">
        <v>555</v>
      </c>
      <c r="D426" s="250" t="s">
        <v>491</v>
      </c>
      <c r="E426" s="251">
        <v>2</v>
      </c>
      <c r="F426" s="252">
        <v>0.2</v>
      </c>
      <c r="G426" s="251">
        <v>2</v>
      </c>
    </row>
    <row r="427" spans="2:7">
      <c r="B427" s="256" t="s">
        <v>9</v>
      </c>
      <c r="C427" s="250" t="s">
        <v>555</v>
      </c>
      <c r="D427" s="250" t="s">
        <v>492</v>
      </c>
      <c r="E427" s="251">
        <v>3</v>
      </c>
      <c r="F427" s="252">
        <v>0.3</v>
      </c>
      <c r="G427" s="251">
        <v>3</v>
      </c>
    </row>
    <row r="428" spans="2:7">
      <c r="B428" s="256" t="s">
        <v>9</v>
      </c>
      <c r="C428" s="250" t="s">
        <v>555</v>
      </c>
      <c r="D428" s="250" t="s">
        <v>862</v>
      </c>
      <c r="E428" s="251">
        <v>1</v>
      </c>
      <c r="F428" s="252">
        <v>0.1</v>
      </c>
      <c r="G428" s="251">
        <v>1</v>
      </c>
    </row>
    <row r="429" spans="2:7">
      <c r="B429" s="256" t="s">
        <v>9</v>
      </c>
      <c r="C429" s="250" t="s">
        <v>555</v>
      </c>
      <c r="D429" s="250" t="s">
        <v>851</v>
      </c>
      <c r="E429" s="251">
        <v>1</v>
      </c>
      <c r="F429" s="252">
        <v>0.1</v>
      </c>
      <c r="G429" s="251">
        <v>1</v>
      </c>
    </row>
    <row r="430" spans="2:7">
      <c r="B430" s="256" t="s">
        <v>9</v>
      </c>
      <c r="C430" s="250" t="s">
        <v>555</v>
      </c>
      <c r="D430" s="250" t="s">
        <v>852</v>
      </c>
      <c r="E430" s="251">
        <v>1</v>
      </c>
      <c r="F430" s="252">
        <v>0.1</v>
      </c>
      <c r="G430" s="251">
        <v>1</v>
      </c>
    </row>
    <row r="431" spans="2:7">
      <c r="B431" s="256" t="s">
        <v>9</v>
      </c>
      <c r="C431" s="250" t="s">
        <v>555</v>
      </c>
      <c r="D431" s="250" t="s">
        <v>404</v>
      </c>
      <c r="E431" s="251">
        <v>1</v>
      </c>
      <c r="F431" s="252">
        <v>0.1</v>
      </c>
      <c r="G431" s="251">
        <v>1</v>
      </c>
    </row>
    <row r="432" spans="2:7">
      <c r="B432" s="256" t="s">
        <v>9</v>
      </c>
      <c r="C432" s="250" t="s">
        <v>555</v>
      </c>
      <c r="D432" s="250" t="s">
        <v>863</v>
      </c>
      <c r="E432" s="251">
        <v>1</v>
      </c>
      <c r="F432" s="252">
        <v>0.1</v>
      </c>
      <c r="G432" s="251">
        <v>1</v>
      </c>
    </row>
    <row r="433" spans="2:7">
      <c r="B433" s="256" t="s">
        <v>9</v>
      </c>
      <c r="C433" s="250" t="s">
        <v>864</v>
      </c>
      <c r="D433" s="250"/>
      <c r="E433" s="251">
        <v>10</v>
      </c>
      <c r="F433" s="252">
        <v>1</v>
      </c>
      <c r="G433" s="251">
        <v>5</v>
      </c>
    </row>
    <row r="434" spans="2:7">
      <c r="B434" s="256" t="s">
        <v>9</v>
      </c>
      <c r="C434" s="250" t="s">
        <v>479</v>
      </c>
      <c r="D434" s="250" t="s">
        <v>491</v>
      </c>
      <c r="E434" s="251">
        <v>29</v>
      </c>
      <c r="F434" s="252">
        <v>0.28712871287128711</v>
      </c>
      <c r="G434" s="251">
        <v>23</v>
      </c>
    </row>
    <row r="435" spans="2:7">
      <c r="B435" s="256" t="s">
        <v>9</v>
      </c>
      <c r="C435" s="250" t="s">
        <v>479</v>
      </c>
      <c r="D435" s="250" t="s">
        <v>492</v>
      </c>
      <c r="E435" s="251">
        <v>55</v>
      </c>
      <c r="F435" s="252">
        <v>0.54455445544554459</v>
      </c>
      <c r="G435" s="251">
        <v>50</v>
      </c>
    </row>
    <row r="436" spans="2:7">
      <c r="B436" s="256" t="s">
        <v>9</v>
      </c>
      <c r="C436" s="250" t="s">
        <v>479</v>
      </c>
      <c r="D436" s="250" t="s">
        <v>865</v>
      </c>
      <c r="E436" s="251">
        <v>1</v>
      </c>
      <c r="F436" s="252">
        <v>9.9009900990099011E-3</v>
      </c>
      <c r="G436" s="251">
        <v>1</v>
      </c>
    </row>
    <row r="437" spans="2:7">
      <c r="B437" s="256" t="s">
        <v>9</v>
      </c>
      <c r="C437" s="250" t="s">
        <v>479</v>
      </c>
      <c r="D437" s="250" t="s">
        <v>495</v>
      </c>
      <c r="E437" s="251">
        <v>2</v>
      </c>
      <c r="F437" s="252">
        <v>1.9801980198019802E-2</v>
      </c>
      <c r="G437" s="251">
        <v>2</v>
      </c>
    </row>
    <row r="438" spans="2:7">
      <c r="B438" s="256" t="s">
        <v>9</v>
      </c>
      <c r="C438" s="250" t="s">
        <v>479</v>
      </c>
      <c r="D438" s="250" t="s">
        <v>14</v>
      </c>
      <c r="E438" s="251">
        <v>14</v>
      </c>
      <c r="F438" s="252">
        <v>0.13861386138613863</v>
      </c>
      <c r="G438" s="251">
        <v>14</v>
      </c>
    </row>
    <row r="439" spans="2:7">
      <c r="B439" s="256" t="s">
        <v>9</v>
      </c>
      <c r="C439" s="250" t="s">
        <v>496</v>
      </c>
      <c r="D439" s="250"/>
      <c r="E439" s="251">
        <v>101</v>
      </c>
      <c r="F439" s="252">
        <v>1</v>
      </c>
      <c r="G439" s="251">
        <v>66</v>
      </c>
    </row>
    <row r="440" spans="2:7">
      <c r="B440" s="256" t="s">
        <v>9</v>
      </c>
      <c r="C440" s="250" t="s">
        <v>556</v>
      </c>
      <c r="D440" s="250" t="s">
        <v>491</v>
      </c>
      <c r="E440" s="251">
        <v>38</v>
      </c>
      <c r="F440" s="252">
        <v>0.14785992217898833</v>
      </c>
      <c r="G440" s="251">
        <v>27</v>
      </c>
    </row>
    <row r="441" spans="2:7">
      <c r="B441" s="256" t="s">
        <v>9</v>
      </c>
      <c r="C441" s="250" t="s">
        <v>556</v>
      </c>
      <c r="D441" s="250" t="s">
        <v>492</v>
      </c>
      <c r="E441" s="251">
        <v>171</v>
      </c>
      <c r="F441" s="252">
        <v>0.66536964980544744</v>
      </c>
      <c r="G441" s="251">
        <v>132</v>
      </c>
    </row>
    <row r="442" spans="2:7">
      <c r="B442" s="256" t="s">
        <v>9</v>
      </c>
      <c r="C442" s="250" t="s">
        <v>556</v>
      </c>
      <c r="D442" s="250" t="s">
        <v>494</v>
      </c>
      <c r="E442" s="251">
        <v>1</v>
      </c>
      <c r="F442" s="252">
        <v>3.8910505836575876E-3</v>
      </c>
      <c r="G442" s="251">
        <v>1</v>
      </c>
    </row>
    <row r="443" spans="2:7">
      <c r="B443" s="256" t="s">
        <v>9</v>
      </c>
      <c r="C443" s="250" t="s">
        <v>556</v>
      </c>
      <c r="D443" s="250" t="s">
        <v>866</v>
      </c>
      <c r="E443" s="251">
        <v>6</v>
      </c>
      <c r="F443" s="252">
        <v>2.3346303501945526E-2</v>
      </c>
      <c r="G443" s="251">
        <v>6</v>
      </c>
    </row>
    <row r="444" spans="2:7">
      <c r="B444" s="256" t="s">
        <v>9</v>
      </c>
      <c r="C444" s="250" t="s">
        <v>556</v>
      </c>
      <c r="D444" s="250" t="s">
        <v>867</v>
      </c>
      <c r="E444" s="251">
        <v>1</v>
      </c>
      <c r="F444" s="252">
        <v>3.8910505836575876E-3</v>
      </c>
      <c r="G444" s="251">
        <v>1</v>
      </c>
    </row>
    <row r="445" spans="2:7">
      <c r="B445" s="256" t="s">
        <v>9</v>
      </c>
      <c r="C445" s="250" t="s">
        <v>556</v>
      </c>
      <c r="D445" s="250" t="s">
        <v>14</v>
      </c>
      <c r="E445" s="251">
        <v>40</v>
      </c>
      <c r="F445" s="252">
        <v>0.1556420233463035</v>
      </c>
      <c r="G445" s="251">
        <v>39</v>
      </c>
    </row>
    <row r="446" spans="2:7">
      <c r="B446" s="256" t="s">
        <v>9</v>
      </c>
      <c r="C446" s="250" t="s">
        <v>868</v>
      </c>
      <c r="D446" s="250"/>
      <c r="E446" s="251">
        <v>257</v>
      </c>
      <c r="F446" s="252">
        <v>1</v>
      </c>
      <c r="G446" s="251">
        <v>168</v>
      </c>
    </row>
    <row r="447" spans="2:7">
      <c r="B447" s="256" t="s">
        <v>9</v>
      </c>
      <c r="C447" s="250" t="s">
        <v>557</v>
      </c>
      <c r="D447" s="250" t="s">
        <v>491</v>
      </c>
      <c r="E447" s="251">
        <v>67</v>
      </c>
      <c r="F447" s="252">
        <v>0.26377952755905509</v>
      </c>
      <c r="G447" s="251">
        <v>44</v>
      </c>
    </row>
    <row r="448" spans="2:7">
      <c r="B448" s="256" t="s">
        <v>9</v>
      </c>
      <c r="C448" s="250" t="s">
        <v>557</v>
      </c>
      <c r="D448" s="250" t="s">
        <v>492</v>
      </c>
      <c r="E448" s="251">
        <v>160</v>
      </c>
      <c r="F448" s="252">
        <v>0.62992125984251968</v>
      </c>
      <c r="G448" s="251">
        <v>112</v>
      </c>
    </row>
    <row r="449" spans="2:7">
      <c r="B449" s="256" t="s">
        <v>9</v>
      </c>
      <c r="C449" s="250" t="s">
        <v>557</v>
      </c>
      <c r="D449" s="250" t="s">
        <v>866</v>
      </c>
      <c r="E449" s="251">
        <v>6</v>
      </c>
      <c r="F449" s="252">
        <v>2.3622047244094488E-2</v>
      </c>
      <c r="G449" s="251">
        <v>6</v>
      </c>
    </row>
    <row r="450" spans="2:7">
      <c r="B450" s="256" t="s">
        <v>9</v>
      </c>
      <c r="C450" s="250" t="s">
        <v>557</v>
      </c>
      <c r="D450" s="250" t="s">
        <v>867</v>
      </c>
      <c r="E450" s="251">
        <v>1</v>
      </c>
      <c r="F450" s="252">
        <v>3.937007874015748E-3</v>
      </c>
      <c r="G450" s="251">
        <v>1</v>
      </c>
    </row>
    <row r="451" spans="2:7">
      <c r="B451" s="256" t="s">
        <v>9</v>
      </c>
      <c r="C451" s="250" t="s">
        <v>557</v>
      </c>
      <c r="D451" s="250" t="s">
        <v>869</v>
      </c>
      <c r="E451" s="251">
        <v>1</v>
      </c>
      <c r="F451" s="252">
        <v>3.937007874015748E-3</v>
      </c>
      <c r="G451" s="251">
        <v>1</v>
      </c>
    </row>
    <row r="452" spans="2:7">
      <c r="B452" s="256" t="s">
        <v>9</v>
      </c>
      <c r="C452" s="250" t="s">
        <v>557</v>
      </c>
      <c r="D452" s="250" t="s">
        <v>14</v>
      </c>
      <c r="E452" s="251">
        <v>19</v>
      </c>
      <c r="F452" s="252">
        <v>7.4803149606299218E-2</v>
      </c>
      <c r="G452" s="251">
        <v>19</v>
      </c>
    </row>
    <row r="453" spans="2:7">
      <c r="B453" s="256" t="s">
        <v>9</v>
      </c>
      <c r="C453" s="250" t="s">
        <v>870</v>
      </c>
      <c r="D453" s="250"/>
      <c r="E453" s="251">
        <v>254</v>
      </c>
      <c r="F453" s="252">
        <v>1</v>
      </c>
      <c r="G453" s="251">
        <v>147</v>
      </c>
    </row>
    <row r="454" spans="2:7">
      <c r="B454" s="256" t="s">
        <v>9</v>
      </c>
      <c r="C454" s="250" t="s">
        <v>558</v>
      </c>
      <c r="D454" s="250" t="s">
        <v>491</v>
      </c>
      <c r="E454" s="251">
        <v>38</v>
      </c>
      <c r="F454" s="252">
        <v>0.35849056603773582</v>
      </c>
      <c r="G454" s="251">
        <v>27</v>
      </c>
    </row>
    <row r="455" spans="2:7">
      <c r="B455" s="256" t="s">
        <v>9</v>
      </c>
      <c r="C455" s="250" t="s">
        <v>558</v>
      </c>
      <c r="D455" s="250" t="s">
        <v>492</v>
      </c>
      <c r="E455" s="251">
        <v>53</v>
      </c>
      <c r="F455" s="252">
        <v>0.5</v>
      </c>
      <c r="G455" s="251">
        <v>49</v>
      </c>
    </row>
    <row r="456" spans="2:7">
      <c r="B456" s="256" t="s">
        <v>9</v>
      </c>
      <c r="C456" s="250" t="s">
        <v>558</v>
      </c>
      <c r="D456" s="250" t="s">
        <v>866</v>
      </c>
      <c r="E456" s="251">
        <v>3</v>
      </c>
      <c r="F456" s="252">
        <v>2.8301886792452831E-2</v>
      </c>
      <c r="G456" s="251">
        <v>3</v>
      </c>
    </row>
    <row r="457" spans="2:7">
      <c r="B457" s="256" t="s">
        <v>9</v>
      </c>
      <c r="C457" s="250" t="s">
        <v>558</v>
      </c>
      <c r="D457" s="250" t="s">
        <v>14</v>
      </c>
      <c r="E457" s="251">
        <v>12</v>
      </c>
      <c r="F457" s="252">
        <v>0.11320754716981132</v>
      </c>
      <c r="G457" s="251">
        <v>12</v>
      </c>
    </row>
    <row r="458" spans="2:7">
      <c r="B458" s="256" t="s">
        <v>9</v>
      </c>
      <c r="C458" s="250" t="s">
        <v>871</v>
      </c>
      <c r="D458" s="250"/>
      <c r="E458" s="251">
        <v>106</v>
      </c>
      <c r="F458" s="252">
        <v>1</v>
      </c>
      <c r="G458" s="251">
        <v>67</v>
      </c>
    </row>
    <row r="459" spans="2:7">
      <c r="B459" s="256" t="s">
        <v>9</v>
      </c>
      <c r="C459" s="250" t="s">
        <v>559</v>
      </c>
      <c r="D459" s="250" t="s">
        <v>491</v>
      </c>
      <c r="E459" s="251">
        <v>50</v>
      </c>
      <c r="F459" s="252">
        <v>0.26455026455026454</v>
      </c>
      <c r="G459" s="251">
        <v>45</v>
      </c>
    </row>
    <row r="460" spans="2:7">
      <c r="B460" s="256" t="s">
        <v>9</v>
      </c>
      <c r="C460" s="250" t="s">
        <v>559</v>
      </c>
      <c r="D460" s="250" t="s">
        <v>492</v>
      </c>
      <c r="E460" s="251">
        <v>108</v>
      </c>
      <c r="F460" s="252">
        <v>0.5714285714285714</v>
      </c>
      <c r="G460" s="251">
        <v>92</v>
      </c>
    </row>
    <row r="461" spans="2:7">
      <c r="B461" s="256" t="s">
        <v>9</v>
      </c>
      <c r="C461" s="250" t="s">
        <v>559</v>
      </c>
      <c r="D461" s="250" t="s">
        <v>494</v>
      </c>
      <c r="E461" s="251">
        <v>1</v>
      </c>
      <c r="F461" s="252">
        <v>5.2910052910052907E-3</v>
      </c>
      <c r="G461" s="251">
        <v>1</v>
      </c>
    </row>
    <row r="462" spans="2:7">
      <c r="B462" s="256" t="s">
        <v>9</v>
      </c>
      <c r="C462" s="250" t="s">
        <v>559</v>
      </c>
      <c r="D462" s="250" t="s">
        <v>872</v>
      </c>
      <c r="E462" s="251">
        <v>1</v>
      </c>
      <c r="F462" s="252">
        <v>5.2910052910052907E-3</v>
      </c>
      <c r="G462" s="251">
        <v>1</v>
      </c>
    </row>
    <row r="463" spans="2:7">
      <c r="B463" s="256" t="s">
        <v>9</v>
      </c>
      <c r="C463" s="250" t="s">
        <v>559</v>
      </c>
      <c r="D463" s="250" t="s">
        <v>860</v>
      </c>
      <c r="E463" s="251">
        <v>4</v>
      </c>
      <c r="F463" s="252">
        <v>2.1164021164021163E-2</v>
      </c>
      <c r="G463" s="251">
        <v>4</v>
      </c>
    </row>
    <row r="464" spans="2:7">
      <c r="B464" s="256" t="s">
        <v>9</v>
      </c>
      <c r="C464" s="250" t="s">
        <v>559</v>
      </c>
      <c r="D464" s="250" t="s">
        <v>14</v>
      </c>
      <c r="E464" s="251">
        <v>25</v>
      </c>
      <c r="F464" s="252">
        <v>0.13227513227513227</v>
      </c>
      <c r="G464" s="251">
        <v>25</v>
      </c>
    </row>
    <row r="465" spans="2:7">
      <c r="B465" s="256" t="s">
        <v>9</v>
      </c>
      <c r="C465" s="250" t="s">
        <v>873</v>
      </c>
      <c r="D465" s="250"/>
      <c r="E465" s="251">
        <v>189</v>
      </c>
      <c r="F465" s="252">
        <v>1</v>
      </c>
      <c r="G465" s="251">
        <v>127</v>
      </c>
    </row>
    <row r="466" spans="2:7">
      <c r="B466" s="256" t="s">
        <v>9</v>
      </c>
      <c r="C466" s="250" t="s">
        <v>560</v>
      </c>
      <c r="D466" s="250" t="s">
        <v>491</v>
      </c>
      <c r="E466" s="251">
        <v>3</v>
      </c>
      <c r="F466" s="252">
        <v>0.16666666666666666</v>
      </c>
      <c r="G466" s="251">
        <v>3</v>
      </c>
    </row>
    <row r="467" spans="2:7">
      <c r="B467" s="256" t="s">
        <v>9</v>
      </c>
      <c r="C467" s="250" t="s">
        <v>560</v>
      </c>
      <c r="D467" s="250" t="s">
        <v>492</v>
      </c>
      <c r="E467" s="251">
        <v>3</v>
      </c>
      <c r="F467" s="252">
        <v>0.16666666666666666</v>
      </c>
      <c r="G467" s="251">
        <v>3</v>
      </c>
    </row>
    <row r="468" spans="2:7">
      <c r="B468" s="256" t="s">
        <v>9</v>
      </c>
      <c r="C468" s="250" t="s">
        <v>560</v>
      </c>
      <c r="D468" s="250" t="s">
        <v>851</v>
      </c>
      <c r="E468" s="251">
        <v>3</v>
      </c>
      <c r="F468" s="252">
        <v>0.16666666666666666</v>
      </c>
      <c r="G468" s="251">
        <v>3</v>
      </c>
    </row>
    <row r="469" spans="2:7">
      <c r="B469" s="256" t="s">
        <v>9</v>
      </c>
      <c r="C469" s="250" t="s">
        <v>560</v>
      </c>
      <c r="D469" s="250" t="s">
        <v>852</v>
      </c>
      <c r="E469" s="251">
        <v>1</v>
      </c>
      <c r="F469" s="252">
        <v>5.5555555555555552E-2</v>
      </c>
      <c r="G469" s="251">
        <v>1</v>
      </c>
    </row>
    <row r="470" spans="2:7">
      <c r="B470" s="256" t="s">
        <v>9</v>
      </c>
      <c r="C470" s="250" t="s">
        <v>560</v>
      </c>
      <c r="D470" s="250" t="s">
        <v>853</v>
      </c>
      <c r="E470" s="251">
        <v>2</v>
      </c>
      <c r="F470" s="252">
        <v>0.1111111111111111</v>
      </c>
      <c r="G470" s="251">
        <v>2</v>
      </c>
    </row>
    <row r="471" spans="2:7">
      <c r="B471" s="256" t="s">
        <v>9</v>
      </c>
      <c r="C471" s="250" t="s">
        <v>560</v>
      </c>
      <c r="D471" s="250" t="s">
        <v>404</v>
      </c>
      <c r="E471" s="251">
        <v>3</v>
      </c>
      <c r="F471" s="252">
        <v>0.16666666666666666</v>
      </c>
      <c r="G471" s="251">
        <v>3</v>
      </c>
    </row>
    <row r="472" spans="2:7">
      <c r="B472" s="256" t="s">
        <v>9</v>
      </c>
      <c r="C472" s="250" t="s">
        <v>560</v>
      </c>
      <c r="D472" s="250" t="s">
        <v>855</v>
      </c>
      <c r="E472" s="251">
        <v>1</v>
      </c>
      <c r="F472" s="252">
        <v>5.5555555555555552E-2</v>
      </c>
      <c r="G472" s="251">
        <v>1</v>
      </c>
    </row>
    <row r="473" spans="2:7">
      <c r="B473" s="256" t="s">
        <v>9</v>
      </c>
      <c r="C473" s="250" t="s">
        <v>560</v>
      </c>
      <c r="D473" s="250" t="s">
        <v>856</v>
      </c>
      <c r="E473" s="251">
        <v>1</v>
      </c>
      <c r="F473" s="252">
        <v>5.5555555555555552E-2</v>
      </c>
      <c r="G473" s="251">
        <v>1</v>
      </c>
    </row>
    <row r="474" spans="2:7">
      <c r="B474" s="256" t="s">
        <v>9</v>
      </c>
      <c r="C474" s="250" t="s">
        <v>560</v>
      </c>
      <c r="D474" s="250" t="s">
        <v>857</v>
      </c>
      <c r="E474" s="251">
        <v>1</v>
      </c>
      <c r="F474" s="252">
        <v>5.5555555555555552E-2</v>
      </c>
      <c r="G474" s="251">
        <v>1</v>
      </c>
    </row>
    <row r="475" spans="2:7">
      <c r="B475" s="256" t="s">
        <v>9</v>
      </c>
      <c r="C475" s="250" t="s">
        <v>874</v>
      </c>
      <c r="D475" s="250"/>
      <c r="E475" s="251">
        <v>18</v>
      </c>
      <c r="F475" s="252">
        <v>1</v>
      </c>
      <c r="G475" s="251">
        <v>11</v>
      </c>
    </row>
    <row r="476" spans="2:7">
      <c r="B476" s="256" t="s">
        <v>9</v>
      </c>
      <c r="C476" s="250" t="s">
        <v>561</v>
      </c>
      <c r="D476" s="250" t="s">
        <v>875</v>
      </c>
      <c r="E476" s="251">
        <v>39</v>
      </c>
      <c r="F476" s="252">
        <v>0.36792452830188677</v>
      </c>
      <c r="G476" s="251">
        <v>31</v>
      </c>
    </row>
    <row r="477" spans="2:7">
      <c r="B477" s="256" t="s">
        <v>9</v>
      </c>
      <c r="C477" s="250" t="s">
        <v>561</v>
      </c>
      <c r="D477" s="250" t="s">
        <v>492</v>
      </c>
      <c r="E477" s="251">
        <v>49</v>
      </c>
      <c r="F477" s="252">
        <v>0.46226415094339623</v>
      </c>
      <c r="G477" s="251">
        <v>42</v>
      </c>
    </row>
    <row r="478" spans="2:7">
      <c r="B478" s="256" t="s">
        <v>9</v>
      </c>
      <c r="C478" s="250" t="s">
        <v>561</v>
      </c>
      <c r="D478" s="250" t="s">
        <v>876</v>
      </c>
      <c r="E478" s="251">
        <v>4</v>
      </c>
      <c r="F478" s="252">
        <v>3.7735849056603772E-2</v>
      </c>
      <c r="G478" s="251">
        <v>4</v>
      </c>
    </row>
    <row r="479" spans="2:7">
      <c r="B479" s="256" t="s">
        <v>9</v>
      </c>
      <c r="C479" s="250" t="s">
        <v>561</v>
      </c>
      <c r="D479" s="250" t="s">
        <v>14</v>
      </c>
      <c r="E479" s="251">
        <v>14</v>
      </c>
      <c r="F479" s="252">
        <v>0.13207547169811321</v>
      </c>
      <c r="G479" s="251">
        <v>14</v>
      </c>
    </row>
    <row r="480" spans="2:7">
      <c r="B480" s="256" t="s">
        <v>9</v>
      </c>
      <c r="C480" s="250" t="s">
        <v>877</v>
      </c>
      <c r="D480" s="250"/>
      <c r="E480" s="251">
        <v>106</v>
      </c>
      <c r="F480" s="252">
        <v>1</v>
      </c>
      <c r="G480" s="251">
        <v>69</v>
      </c>
    </row>
    <row r="481" spans="2:7">
      <c r="B481" s="256" t="s">
        <v>9</v>
      </c>
      <c r="C481" s="250" t="s">
        <v>562</v>
      </c>
      <c r="D481" s="250" t="s">
        <v>875</v>
      </c>
      <c r="E481" s="251">
        <v>14</v>
      </c>
      <c r="F481" s="252">
        <v>0.3888888888888889</v>
      </c>
      <c r="G481" s="251">
        <v>12</v>
      </c>
    </row>
    <row r="482" spans="2:7">
      <c r="B482" s="256" t="s">
        <v>9</v>
      </c>
      <c r="C482" s="250" t="s">
        <v>562</v>
      </c>
      <c r="D482" s="250" t="s">
        <v>492</v>
      </c>
      <c r="E482" s="251">
        <v>18</v>
      </c>
      <c r="F482" s="252">
        <v>0.5</v>
      </c>
      <c r="G482" s="251">
        <v>14</v>
      </c>
    </row>
    <row r="483" spans="2:7">
      <c r="B483" s="256" t="s">
        <v>9</v>
      </c>
      <c r="C483" s="250" t="s">
        <v>562</v>
      </c>
      <c r="D483" s="250" t="s">
        <v>876</v>
      </c>
      <c r="E483" s="251">
        <v>1</v>
      </c>
      <c r="F483" s="252">
        <v>2.7777777777777776E-2</v>
      </c>
      <c r="G483" s="251">
        <v>1</v>
      </c>
    </row>
    <row r="484" spans="2:7">
      <c r="B484" s="256" t="s">
        <v>9</v>
      </c>
      <c r="C484" s="250" t="s">
        <v>562</v>
      </c>
      <c r="D484" s="250" t="s">
        <v>14</v>
      </c>
      <c r="E484" s="251">
        <v>3</v>
      </c>
      <c r="F484" s="252">
        <v>8.3333333333333329E-2</v>
      </c>
      <c r="G484" s="251">
        <v>3</v>
      </c>
    </row>
    <row r="485" spans="2:7">
      <c r="B485" s="256" t="s">
        <v>9</v>
      </c>
      <c r="C485" s="250" t="s">
        <v>878</v>
      </c>
      <c r="D485" s="250"/>
      <c r="E485" s="251">
        <v>36</v>
      </c>
      <c r="F485" s="252">
        <v>1</v>
      </c>
      <c r="G485" s="251">
        <v>20</v>
      </c>
    </row>
    <row r="486" spans="2:7">
      <c r="B486" s="256" t="s">
        <v>9</v>
      </c>
      <c r="C486" s="250" t="s">
        <v>563</v>
      </c>
      <c r="D486" s="250" t="s">
        <v>875</v>
      </c>
      <c r="E486" s="251">
        <v>26</v>
      </c>
      <c r="F486" s="252">
        <v>0.32500000000000001</v>
      </c>
      <c r="G486" s="251">
        <v>25</v>
      </c>
    </row>
    <row r="487" spans="2:7">
      <c r="B487" s="256" t="s">
        <v>9</v>
      </c>
      <c r="C487" s="250" t="s">
        <v>563</v>
      </c>
      <c r="D487" s="250" t="s">
        <v>492</v>
      </c>
      <c r="E487" s="251">
        <v>43</v>
      </c>
      <c r="F487" s="252">
        <v>0.53749999999999998</v>
      </c>
      <c r="G487" s="251">
        <v>38</v>
      </c>
    </row>
    <row r="488" spans="2:7">
      <c r="B488" s="256" t="s">
        <v>9</v>
      </c>
      <c r="C488" s="250" t="s">
        <v>563</v>
      </c>
      <c r="D488" s="250" t="s">
        <v>876</v>
      </c>
      <c r="E488" s="251">
        <v>5</v>
      </c>
      <c r="F488" s="252">
        <v>6.25E-2</v>
      </c>
      <c r="G488" s="251">
        <v>4</v>
      </c>
    </row>
    <row r="489" spans="2:7">
      <c r="B489" s="256" t="s">
        <v>9</v>
      </c>
      <c r="C489" s="250" t="s">
        <v>563</v>
      </c>
      <c r="D489" s="250" t="s">
        <v>14</v>
      </c>
      <c r="E489" s="251">
        <v>6</v>
      </c>
      <c r="F489" s="252">
        <v>7.4999999999999997E-2</v>
      </c>
      <c r="G489" s="251">
        <v>6</v>
      </c>
    </row>
    <row r="490" spans="2:7">
      <c r="B490" s="256" t="s">
        <v>9</v>
      </c>
      <c r="C490" s="250" t="s">
        <v>879</v>
      </c>
      <c r="D490" s="250"/>
      <c r="E490" s="251">
        <v>80</v>
      </c>
      <c r="F490" s="252">
        <v>1</v>
      </c>
      <c r="G490" s="251">
        <v>57</v>
      </c>
    </row>
    <row r="491" spans="2:7">
      <c r="B491" s="256" t="s">
        <v>9</v>
      </c>
      <c r="C491" s="250" t="s">
        <v>564</v>
      </c>
      <c r="D491" s="250" t="s">
        <v>491</v>
      </c>
      <c r="E491" s="251">
        <v>12</v>
      </c>
      <c r="F491" s="252">
        <v>0.27906976744186046</v>
      </c>
      <c r="G491" s="251">
        <v>11</v>
      </c>
    </row>
    <row r="492" spans="2:7">
      <c r="B492" s="256" t="s">
        <v>9</v>
      </c>
      <c r="C492" s="250" t="s">
        <v>564</v>
      </c>
      <c r="D492" s="250" t="s">
        <v>492</v>
      </c>
      <c r="E492" s="251">
        <v>24</v>
      </c>
      <c r="F492" s="252">
        <v>0.55813953488372092</v>
      </c>
      <c r="G492" s="251">
        <v>21</v>
      </c>
    </row>
    <row r="493" spans="2:7">
      <c r="B493" s="256" t="s">
        <v>9</v>
      </c>
      <c r="C493" s="250" t="s">
        <v>564</v>
      </c>
      <c r="D493" s="250" t="s">
        <v>876</v>
      </c>
      <c r="E493" s="251">
        <v>2</v>
      </c>
      <c r="F493" s="252">
        <v>4.6511627906976744E-2</v>
      </c>
      <c r="G493" s="251">
        <v>2</v>
      </c>
    </row>
    <row r="494" spans="2:7">
      <c r="B494" s="256" t="s">
        <v>9</v>
      </c>
      <c r="C494" s="250" t="s">
        <v>564</v>
      </c>
      <c r="D494" s="250" t="s">
        <v>14</v>
      </c>
      <c r="E494" s="251">
        <v>5</v>
      </c>
      <c r="F494" s="252">
        <v>0.11627906976744186</v>
      </c>
      <c r="G494" s="251">
        <v>5</v>
      </c>
    </row>
    <row r="495" spans="2:7">
      <c r="B495" s="256" t="s">
        <v>9</v>
      </c>
      <c r="C495" s="250" t="s">
        <v>880</v>
      </c>
      <c r="D495" s="250"/>
      <c r="E495" s="251">
        <v>43</v>
      </c>
      <c r="F495" s="252">
        <v>1</v>
      </c>
      <c r="G495" s="251">
        <v>27</v>
      </c>
    </row>
    <row r="496" spans="2:7">
      <c r="B496" s="256" t="s">
        <v>9</v>
      </c>
      <c r="C496" s="250" t="s">
        <v>565</v>
      </c>
      <c r="D496" s="250" t="s">
        <v>491</v>
      </c>
      <c r="E496" s="251">
        <v>22</v>
      </c>
      <c r="F496" s="252">
        <v>0.48888888888888887</v>
      </c>
      <c r="G496" s="251">
        <v>13</v>
      </c>
    </row>
    <row r="497" spans="2:7">
      <c r="B497" s="256" t="s">
        <v>9</v>
      </c>
      <c r="C497" s="250" t="s">
        <v>565</v>
      </c>
      <c r="D497" s="250" t="s">
        <v>492</v>
      </c>
      <c r="E497" s="251">
        <v>18</v>
      </c>
      <c r="F497" s="252">
        <v>0.4</v>
      </c>
      <c r="G497" s="251">
        <v>16</v>
      </c>
    </row>
    <row r="498" spans="2:7">
      <c r="B498" s="256" t="s">
        <v>9</v>
      </c>
      <c r="C498" s="250" t="s">
        <v>565</v>
      </c>
      <c r="D498" s="250" t="s">
        <v>14</v>
      </c>
      <c r="E498" s="251">
        <v>5</v>
      </c>
      <c r="F498" s="252">
        <v>0.1111111111111111</v>
      </c>
      <c r="G498" s="251">
        <v>5</v>
      </c>
    </row>
    <row r="499" spans="2:7">
      <c r="B499" s="256" t="s">
        <v>9</v>
      </c>
      <c r="C499" s="250" t="s">
        <v>881</v>
      </c>
      <c r="D499" s="250"/>
      <c r="E499" s="251">
        <v>45</v>
      </c>
      <c r="F499" s="252">
        <v>1</v>
      </c>
      <c r="G499" s="251">
        <v>29</v>
      </c>
    </row>
    <row r="500" spans="2:7">
      <c r="B500" s="256" t="s">
        <v>9</v>
      </c>
      <c r="C500" s="250" t="s">
        <v>566</v>
      </c>
      <c r="D500" s="250" t="s">
        <v>491</v>
      </c>
      <c r="E500" s="251">
        <v>1</v>
      </c>
      <c r="F500" s="252">
        <v>1</v>
      </c>
      <c r="G500" s="251">
        <v>1</v>
      </c>
    </row>
    <row r="501" spans="2:7">
      <c r="B501" s="256" t="s">
        <v>9</v>
      </c>
      <c r="C501" s="250" t="s">
        <v>882</v>
      </c>
      <c r="D501" s="250"/>
      <c r="E501" s="251">
        <v>1</v>
      </c>
      <c r="F501" s="252">
        <v>1</v>
      </c>
      <c r="G501" s="251">
        <v>1</v>
      </c>
    </row>
    <row r="502" spans="2:7">
      <c r="B502" s="256" t="s">
        <v>9</v>
      </c>
      <c r="C502" s="250" t="s">
        <v>567</v>
      </c>
      <c r="D502" s="250" t="s">
        <v>491</v>
      </c>
      <c r="E502" s="251">
        <v>10</v>
      </c>
      <c r="F502" s="252">
        <v>0.33333333333333331</v>
      </c>
      <c r="G502" s="251">
        <v>9</v>
      </c>
    </row>
    <row r="503" spans="2:7">
      <c r="B503" s="256" t="s">
        <v>9</v>
      </c>
      <c r="C503" s="250" t="s">
        <v>567</v>
      </c>
      <c r="D503" s="250" t="s">
        <v>492</v>
      </c>
      <c r="E503" s="251">
        <v>12</v>
      </c>
      <c r="F503" s="252">
        <v>0.4</v>
      </c>
      <c r="G503" s="251">
        <v>10</v>
      </c>
    </row>
    <row r="504" spans="2:7">
      <c r="B504" s="256" t="s">
        <v>9</v>
      </c>
      <c r="C504" s="250" t="s">
        <v>567</v>
      </c>
      <c r="D504" s="250" t="s">
        <v>883</v>
      </c>
      <c r="E504" s="251">
        <v>2</v>
      </c>
      <c r="F504" s="252">
        <v>6.6666666666666666E-2</v>
      </c>
      <c r="G504" s="251">
        <v>1</v>
      </c>
    </row>
    <row r="505" spans="2:7">
      <c r="B505" s="256" t="s">
        <v>9</v>
      </c>
      <c r="C505" s="250" t="s">
        <v>567</v>
      </c>
      <c r="D505" s="250" t="s">
        <v>884</v>
      </c>
      <c r="E505" s="251">
        <v>4</v>
      </c>
      <c r="F505" s="252">
        <v>0.13333333333333333</v>
      </c>
      <c r="G505" s="251">
        <v>3</v>
      </c>
    </row>
    <row r="506" spans="2:7">
      <c r="B506" s="256" t="s">
        <v>9</v>
      </c>
      <c r="C506" s="250" t="s">
        <v>567</v>
      </c>
      <c r="D506" s="250" t="s">
        <v>14</v>
      </c>
      <c r="E506" s="251">
        <v>2</v>
      </c>
      <c r="F506" s="252">
        <v>6.6666666666666666E-2</v>
      </c>
      <c r="G506" s="251">
        <v>2</v>
      </c>
    </row>
    <row r="507" spans="2:7">
      <c r="B507" s="256" t="s">
        <v>9</v>
      </c>
      <c r="C507" s="250" t="s">
        <v>885</v>
      </c>
      <c r="D507" s="250"/>
      <c r="E507" s="251">
        <v>30</v>
      </c>
      <c r="F507" s="252">
        <v>1</v>
      </c>
      <c r="G507" s="251">
        <v>15</v>
      </c>
    </row>
    <row r="508" spans="2:7">
      <c r="B508" s="256" t="s">
        <v>9</v>
      </c>
      <c r="C508" s="250" t="s">
        <v>568</v>
      </c>
      <c r="D508" s="250" t="s">
        <v>492</v>
      </c>
      <c r="E508" s="251">
        <v>1</v>
      </c>
      <c r="F508" s="252">
        <v>1</v>
      </c>
      <c r="G508" s="251">
        <v>1</v>
      </c>
    </row>
    <row r="509" spans="2:7">
      <c r="B509" s="256" t="s">
        <v>9</v>
      </c>
      <c r="C509" s="250" t="s">
        <v>886</v>
      </c>
      <c r="D509" s="250"/>
      <c r="E509" s="251">
        <v>1</v>
      </c>
      <c r="F509" s="252">
        <v>1</v>
      </c>
      <c r="G509" s="251">
        <v>1</v>
      </c>
    </row>
    <row r="510" spans="2:7">
      <c r="B510" s="256" t="s">
        <v>9</v>
      </c>
      <c r="C510" s="250" t="s">
        <v>569</v>
      </c>
      <c r="D510" s="250" t="s">
        <v>887</v>
      </c>
      <c r="E510" s="251">
        <v>8</v>
      </c>
      <c r="F510" s="252">
        <v>0.32</v>
      </c>
      <c r="G510" s="251">
        <v>8</v>
      </c>
    </row>
    <row r="511" spans="2:7">
      <c r="B511" s="256" t="s">
        <v>9</v>
      </c>
      <c r="C511" s="250" t="s">
        <v>569</v>
      </c>
      <c r="D511" s="250" t="s">
        <v>492</v>
      </c>
      <c r="E511" s="251">
        <v>15</v>
      </c>
      <c r="F511" s="252">
        <v>0.6</v>
      </c>
      <c r="G511" s="251">
        <v>13</v>
      </c>
    </row>
    <row r="512" spans="2:7">
      <c r="B512" s="256" t="s">
        <v>9</v>
      </c>
      <c r="C512" s="250" t="s">
        <v>569</v>
      </c>
      <c r="D512" s="250" t="s">
        <v>14</v>
      </c>
      <c r="E512" s="251">
        <v>2</v>
      </c>
      <c r="F512" s="252">
        <v>0.08</v>
      </c>
      <c r="G512" s="251">
        <v>2</v>
      </c>
    </row>
    <row r="513" spans="2:7">
      <c r="B513" s="256" t="s">
        <v>9</v>
      </c>
      <c r="C513" s="250" t="s">
        <v>888</v>
      </c>
      <c r="D513" s="250"/>
      <c r="E513" s="251">
        <v>25</v>
      </c>
      <c r="F513" s="252">
        <v>1</v>
      </c>
      <c r="G513" s="251">
        <v>19</v>
      </c>
    </row>
    <row r="514" spans="2:7">
      <c r="B514" s="256" t="s">
        <v>9</v>
      </c>
      <c r="C514" s="250" t="s">
        <v>570</v>
      </c>
      <c r="D514" s="250" t="s">
        <v>889</v>
      </c>
      <c r="E514" s="251">
        <v>1</v>
      </c>
      <c r="F514" s="252">
        <v>0.5</v>
      </c>
      <c r="G514" s="251">
        <v>1</v>
      </c>
    </row>
    <row r="515" spans="2:7">
      <c r="B515" s="256" t="s">
        <v>9</v>
      </c>
      <c r="C515" s="250" t="s">
        <v>570</v>
      </c>
      <c r="D515" s="250" t="s">
        <v>890</v>
      </c>
      <c r="E515" s="251">
        <v>1</v>
      </c>
      <c r="F515" s="252">
        <v>0.5</v>
      </c>
      <c r="G515" s="251">
        <v>1</v>
      </c>
    </row>
    <row r="516" spans="2:7">
      <c r="B516" s="256" t="s">
        <v>9</v>
      </c>
      <c r="C516" s="250" t="s">
        <v>891</v>
      </c>
      <c r="D516" s="250"/>
      <c r="E516" s="251">
        <v>2</v>
      </c>
      <c r="F516" s="252">
        <v>1</v>
      </c>
      <c r="G516" s="251">
        <v>1</v>
      </c>
    </row>
    <row r="517" spans="2:7">
      <c r="B517" s="256" t="s">
        <v>9</v>
      </c>
      <c r="C517" s="250" t="s">
        <v>571</v>
      </c>
      <c r="D517" s="250" t="s">
        <v>491</v>
      </c>
      <c r="E517" s="251">
        <v>27</v>
      </c>
      <c r="F517" s="252">
        <v>0.38028169014084506</v>
      </c>
      <c r="G517" s="251">
        <v>19</v>
      </c>
    </row>
    <row r="518" spans="2:7">
      <c r="B518" s="256" t="s">
        <v>9</v>
      </c>
      <c r="C518" s="250" t="s">
        <v>571</v>
      </c>
      <c r="D518" s="250" t="s">
        <v>492</v>
      </c>
      <c r="E518" s="251">
        <v>35</v>
      </c>
      <c r="F518" s="252">
        <v>0.49295774647887325</v>
      </c>
      <c r="G518" s="251">
        <v>33</v>
      </c>
    </row>
    <row r="519" spans="2:7">
      <c r="B519" s="256" t="s">
        <v>9</v>
      </c>
      <c r="C519" s="250" t="s">
        <v>571</v>
      </c>
      <c r="D519" s="250" t="s">
        <v>846</v>
      </c>
      <c r="E519" s="251">
        <v>1</v>
      </c>
      <c r="F519" s="252">
        <v>1.4084507042253521E-2</v>
      </c>
      <c r="G519" s="251">
        <v>1</v>
      </c>
    </row>
    <row r="520" spans="2:7">
      <c r="B520" s="256" t="s">
        <v>9</v>
      </c>
      <c r="C520" s="250" t="s">
        <v>571</v>
      </c>
      <c r="D520" s="250" t="s">
        <v>497</v>
      </c>
      <c r="E520" s="251">
        <v>1</v>
      </c>
      <c r="F520" s="252">
        <v>1.4084507042253521E-2</v>
      </c>
      <c r="G520" s="251">
        <v>1</v>
      </c>
    </row>
    <row r="521" spans="2:7">
      <c r="B521" s="256" t="s">
        <v>9</v>
      </c>
      <c r="C521" s="250" t="s">
        <v>571</v>
      </c>
      <c r="D521" s="250" t="s">
        <v>14</v>
      </c>
      <c r="E521" s="251">
        <v>7</v>
      </c>
      <c r="F521" s="252">
        <v>9.8591549295774641E-2</v>
      </c>
      <c r="G521" s="251">
        <v>7</v>
      </c>
    </row>
    <row r="522" spans="2:7">
      <c r="B522" s="256" t="s">
        <v>9</v>
      </c>
      <c r="C522" s="250" t="s">
        <v>892</v>
      </c>
      <c r="D522" s="250"/>
      <c r="E522" s="251">
        <v>71</v>
      </c>
      <c r="F522" s="252">
        <v>1</v>
      </c>
      <c r="G522" s="251">
        <v>48</v>
      </c>
    </row>
    <row r="523" spans="2:7">
      <c r="B523" s="256" t="s">
        <v>9</v>
      </c>
      <c r="C523" s="250" t="s">
        <v>480</v>
      </c>
      <c r="D523" s="250" t="s">
        <v>491</v>
      </c>
      <c r="E523" s="251">
        <v>18</v>
      </c>
      <c r="F523" s="252">
        <v>0.42857142857142855</v>
      </c>
      <c r="G523" s="251">
        <v>15</v>
      </c>
    </row>
    <row r="524" spans="2:7">
      <c r="B524" s="256" t="s">
        <v>9</v>
      </c>
      <c r="C524" s="250" t="s">
        <v>480</v>
      </c>
      <c r="D524" s="250" t="s">
        <v>492</v>
      </c>
      <c r="E524" s="251">
        <v>22</v>
      </c>
      <c r="F524" s="252">
        <v>0.52380952380952384</v>
      </c>
      <c r="G524" s="251">
        <v>21</v>
      </c>
    </row>
    <row r="525" spans="2:7">
      <c r="B525" s="256" t="s">
        <v>9</v>
      </c>
      <c r="C525" s="250" t="s">
        <v>480</v>
      </c>
      <c r="D525" s="250" t="s">
        <v>497</v>
      </c>
      <c r="E525" s="251">
        <v>1</v>
      </c>
      <c r="F525" s="252">
        <v>2.3809523809523808E-2</v>
      </c>
      <c r="G525" s="251">
        <v>1</v>
      </c>
    </row>
    <row r="526" spans="2:7">
      <c r="B526" s="256" t="s">
        <v>9</v>
      </c>
      <c r="C526" s="250" t="s">
        <v>480</v>
      </c>
      <c r="D526" s="250" t="s">
        <v>14</v>
      </c>
      <c r="E526" s="251">
        <v>1</v>
      </c>
      <c r="F526" s="252">
        <v>2.3809523809523808E-2</v>
      </c>
      <c r="G526" s="251">
        <v>1</v>
      </c>
    </row>
    <row r="527" spans="2:7">
      <c r="B527" s="256" t="s">
        <v>9</v>
      </c>
      <c r="C527" s="250" t="s">
        <v>498</v>
      </c>
      <c r="D527" s="250"/>
      <c r="E527" s="251">
        <v>42</v>
      </c>
      <c r="F527" s="252">
        <v>1</v>
      </c>
      <c r="G527" s="251">
        <v>29</v>
      </c>
    </row>
    <row r="528" spans="2:7">
      <c r="B528" s="256" t="s">
        <v>9</v>
      </c>
      <c r="C528" s="250" t="s">
        <v>572</v>
      </c>
      <c r="D528" s="250" t="s">
        <v>492</v>
      </c>
      <c r="E528" s="251">
        <v>12</v>
      </c>
      <c r="F528" s="252">
        <v>0.75</v>
      </c>
      <c r="G528" s="251">
        <v>10</v>
      </c>
    </row>
    <row r="529" spans="2:7">
      <c r="B529" s="256" t="s">
        <v>9</v>
      </c>
      <c r="C529" s="250" t="s">
        <v>572</v>
      </c>
      <c r="D529" s="250" t="s">
        <v>14</v>
      </c>
      <c r="E529" s="251">
        <v>4</v>
      </c>
      <c r="F529" s="252">
        <v>0.25</v>
      </c>
      <c r="G529" s="251">
        <v>4</v>
      </c>
    </row>
    <row r="530" spans="2:7">
      <c r="B530" s="256" t="s">
        <v>9</v>
      </c>
      <c r="C530" s="250" t="s">
        <v>893</v>
      </c>
      <c r="D530" s="250"/>
      <c r="E530" s="251">
        <v>16</v>
      </c>
      <c r="F530" s="252">
        <v>1</v>
      </c>
      <c r="G530" s="251">
        <v>13</v>
      </c>
    </row>
    <row r="531" spans="2:7">
      <c r="B531" s="256" t="s">
        <v>9</v>
      </c>
      <c r="C531" s="250" t="s">
        <v>573</v>
      </c>
      <c r="D531" s="250" t="s">
        <v>491</v>
      </c>
      <c r="E531" s="251">
        <v>8</v>
      </c>
      <c r="F531" s="252">
        <v>0.34782608695652173</v>
      </c>
      <c r="G531" s="251">
        <v>8</v>
      </c>
    </row>
    <row r="532" spans="2:7">
      <c r="B532" s="256" t="s">
        <v>9</v>
      </c>
      <c r="C532" s="250" t="s">
        <v>573</v>
      </c>
      <c r="D532" s="250" t="s">
        <v>492</v>
      </c>
      <c r="E532" s="251">
        <v>11</v>
      </c>
      <c r="F532" s="252">
        <v>0.47826086956521741</v>
      </c>
      <c r="G532" s="251">
        <v>9</v>
      </c>
    </row>
    <row r="533" spans="2:7">
      <c r="B533" s="256" t="s">
        <v>9</v>
      </c>
      <c r="C533" s="250" t="s">
        <v>573</v>
      </c>
      <c r="D533" s="250" t="s">
        <v>894</v>
      </c>
      <c r="E533" s="251">
        <v>1</v>
      </c>
      <c r="F533" s="252">
        <v>4.3478260869565216E-2</v>
      </c>
      <c r="G533" s="251">
        <v>1</v>
      </c>
    </row>
    <row r="534" spans="2:7">
      <c r="B534" s="256" t="s">
        <v>9</v>
      </c>
      <c r="C534" s="250" t="s">
        <v>573</v>
      </c>
      <c r="D534" s="250" t="s">
        <v>497</v>
      </c>
      <c r="E534" s="251">
        <v>1</v>
      </c>
      <c r="F534" s="252">
        <v>4.3478260869565216E-2</v>
      </c>
      <c r="G534" s="251">
        <v>1</v>
      </c>
    </row>
    <row r="535" spans="2:7">
      <c r="B535" s="256" t="s">
        <v>9</v>
      </c>
      <c r="C535" s="250" t="s">
        <v>573</v>
      </c>
      <c r="D535" s="250" t="s">
        <v>14</v>
      </c>
      <c r="E535" s="251">
        <v>2</v>
      </c>
      <c r="F535" s="252">
        <v>8.6956521739130432E-2</v>
      </c>
      <c r="G535" s="251">
        <v>2</v>
      </c>
    </row>
    <row r="536" spans="2:7">
      <c r="B536" s="256" t="s">
        <v>9</v>
      </c>
      <c r="C536" s="250" t="s">
        <v>895</v>
      </c>
      <c r="D536" s="250"/>
      <c r="E536" s="251">
        <v>23</v>
      </c>
      <c r="F536" s="252">
        <v>1</v>
      </c>
      <c r="G536" s="251">
        <v>18</v>
      </c>
    </row>
    <row r="537" spans="2:7">
      <c r="B537" s="256" t="s">
        <v>9</v>
      </c>
      <c r="C537" s="250" t="s">
        <v>574</v>
      </c>
      <c r="D537" s="250" t="s">
        <v>896</v>
      </c>
      <c r="E537" s="251">
        <v>10</v>
      </c>
      <c r="F537" s="252">
        <v>0.37037037037037035</v>
      </c>
      <c r="G537" s="251">
        <v>10</v>
      </c>
    </row>
    <row r="538" spans="2:7">
      <c r="B538" s="256" t="s">
        <v>9</v>
      </c>
      <c r="C538" s="250" t="s">
        <v>574</v>
      </c>
      <c r="D538" s="250" t="s">
        <v>897</v>
      </c>
      <c r="E538" s="251">
        <v>2</v>
      </c>
      <c r="F538" s="252">
        <v>7.407407407407407E-2</v>
      </c>
      <c r="G538" s="251">
        <v>2</v>
      </c>
    </row>
    <row r="539" spans="2:7">
      <c r="B539" s="256" t="s">
        <v>9</v>
      </c>
      <c r="C539" s="250" t="s">
        <v>574</v>
      </c>
      <c r="D539" s="250" t="s">
        <v>898</v>
      </c>
      <c r="E539" s="251">
        <v>1</v>
      </c>
      <c r="F539" s="252">
        <v>3.7037037037037035E-2</v>
      </c>
      <c r="G539" s="251">
        <v>1</v>
      </c>
    </row>
    <row r="540" spans="2:7">
      <c r="B540" s="256" t="s">
        <v>9</v>
      </c>
      <c r="C540" s="250" t="s">
        <v>574</v>
      </c>
      <c r="D540" s="250" t="s">
        <v>899</v>
      </c>
      <c r="E540" s="251">
        <v>1</v>
      </c>
      <c r="F540" s="252">
        <v>3.7037037037037035E-2</v>
      </c>
      <c r="G540" s="251">
        <v>1</v>
      </c>
    </row>
    <row r="541" spans="2:7">
      <c r="B541" s="256" t="s">
        <v>9</v>
      </c>
      <c r="C541" s="250" t="s">
        <v>574</v>
      </c>
      <c r="D541" s="250" t="s">
        <v>497</v>
      </c>
      <c r="E541" s="251">
        <v>1</v>
      </c>
      <c r="F541" s="252">
        <v>3.7037037037037035E-2</v>
      </c>
      <c r="G541" s="251">
        <v>1</v>
      </c>
    </row>
    <row r="542" spans="2:7">
      <c r="B542" s="256" t="s">
        <v>9</v>
      </c>
      <c r="C542" s="250" t="s">
        <v>574</v>
      </c>
      <c r="D542" s="250" t="s">
        <v>14</v>
      </c>
      <c r="E542" s="251">
        <v>2</v>
      </c>
      <c r="F542" s="252">
        <v>7.407407407407407E-2</v>
      </c>
      <c r="G542" s="251">
        <v>2</v>
      </c>
    </row>
    <row r="543" spans="2:7">
      <c r="B543" s="256" t="s">
        <v>9</v>
      </c>
      <c r="C543" s="250" t="s">
        <v>574</v>
      </c>
      <c r="D543" s="250" t="s">
        <v>18</v>
      </c>
      <c r="E543" s="251">
        <v>10</v>
      </c>
      <c r="F543" s="252">
        <v>0.37037037037037035</v>
      </c>
      <c r="G543" s="251">
        <v>9</v>
      </c>
    </row>
    <row r="544" spans="2:7">
      <c r="B544" s="256" t="s">
        <v>9</v>
      </c>
      <c r="C544" s="250" t="s">
        <v>900</v>
      </c>
      <c r="D544" s="250"/>
      <c r="E544" s="251">
        <v>27</v>
      </c>
      <c r="F544" s="252">
        <v>1</v>
      </c>
      <c r="G544" s="251">
        <v>22</v>
      </c>
    </row>
    <row r="545" spans="2:7">
      <c r="B545" s="256" t="s">
        <v>9</v>
      </c>
      <c r="C545" s="250" t="s">
        <v>481</v>
      </c>
      <c r="D545" s="250" t="s">
        <v>896</v>
      </c>
      <c r="E545" s="251">
        <v>116</v>
      </c>
      <c r="F545" s="252">
        <v>0.29441624365482233</v>
      </c>
      <c r="G545" s="251">
        <v>105</v>
      </c>
    </row>
    <row r="546" spans="2:7">
      <c r="B546" s="256" t="s">
        <v>9</v>
      </c>
      <c r="C546" s="250" t="s">
        <v>481</v>
      </c>
      <c r="D546" s="250" t="s">
        <v>499</v>
      </c>
      <c r="E546" s="251">
        <v>124</v>
      </c>
      <c r="F546" s="252">
        <v>0.31472081218274112</v>
      </c>
      <c r="G546" s="251">
        <v>107</v>
      </c>
    </row>
    <row r="547" spans="2:7">
      <c r="B547" s="256" t="s">
        <v>9</v>
      </c>
      <c r="C547" s="250" t="s">
        <v>481</v>
      </c>
      <c r="D547" s="250" t="s">
        <v>901</v>
      </c>
      <c r="E547" s="251">
        <v>83</v>
      </c>
      <c r="F547" s="252">
        <v>0.21065989847715735</v>
      </c>
      <c r="G547" s="251">
        <v>77</v>
      </c>
    </row>
    <row r="548" spans="2:7">
      <c r="B548" s="256" t="s">
        <v>9</v>
      </c>
      <c r="C548" s="250" t="s">
        <v>481</v>
      </c>
      <c r="D548" s="250" t="s">
        <v>902</v>
      </c>
      <c r="E548" s="251">
        <v>1</v>
      </c>
      <c r="F548" s="252">
        <v>2.5380710659898475E-3</v>
      </c>
      <c r="G548" s="251">
        <v>1</v>
      </c>
    </row>
    <row r="549" spans="2:7">
      <c r="B549" s="256" t="s">
        <v>9</v>
      </c>
      <c r="C549" s="250" t="s">
        <v>481</v>
      </c>
      <c r="D549" s="250" t="s">
        <v>903</v>
      </c>
      <c r="E549" s="251">
        <v>25</v>
      </c>
      <c r="F549" s="252">
        <v>6.3451776649746189E-2</v>
      </c>
      <c r="G549" s="251">
        <v>25</v>
      </c>
    </row>
    <row r="550" spans="2:7">
      <c r="B550" s="256" t="s">
        <v>9</v>
      </c>
      <c r="C550" s="250" t="s">
        <v>481</v>
      </c>
      <c r="D550" s="250" t="s">
        <v>904</v>
      </c>
      <c r="E550" s="251">
        <v>1</v>
      </c>
      <c r="F550" s="252">
        <v>2.5380710659898475E-3</v>
      </c>
      <c r="G550" s="251">
        <v>1</v>
      </c>
    </row>
    <row r="551" spans="2:7">
      <c r="B551" s="256" t="s">
        <v>9</v>
      </c>
      <c r="C551" s="250" t="s">
        <v>481</v>
      </c>
      <c r="D551" s="250" t="s">
        <v>905</v>
      </c>
      <c r="E551" s="251">
        <v>13</v>
      </c>
      <c r="F551" s="252">
        <v>3.2994923857868022E-2</v>
      </c>
      <c r="G551" s="251">
        <v>13</v>
      </c>
    </row>
    <row r="552" spans="2:7">
      <c r="B552" s="256" t="s">
        <v>9</v>
      </c>
      <c r="C552" s="250" t="s">
        <v>481</v>
      </c>
      <c r="D552" s="250" t="s">
        <v>14</v>
      </c>
      <c r="E552" s="251">
        <v>15</v>
      </c>
      <c r="F552" s="252">
        <v>3.8071065989847719E-2</v>
      </c>
      <c r="G552" s="251">
        <v>15</v>
      </c>
    </row>
    <row r="553" spans="2:7">
      <c r="B553" s="256" t="s">
        <v>9</v>
      </c>
      <c r="C553" s="250" t="s">
        <v>481</v>
      </c>
      <c r="D553" s="250" t="s">
        <v>18</v>
      </c>
      <c r="E553" s="251">
        <v>16</v>
      </c>
      <c r="F553" s="252">
        <v>4.060913705583756E-2</v>
      </c>
      <c r="G553" s="251">
        <v>15</v>
      </c>
    </row>
    <row r="554" spans="2:7">
      <c r="B554" s="256" t="s">
        <v>9</v>
      </c>
      <c r="C554" s="250" t="s">
        <v>500</v>
      </c>
      <c r="D554" s="250"/>
      <c r="E554" s="251">
        <v>394</v>
      </c>
      <c r="F554" s="252">
        <v>1</v>
      </c>
      <c r="G554" s="251">
        <v>200</v>
      </c>
    </row>
    <row r="555" spans="2:7">
      <c r="B555" s="256" t="s">
        <v>9</v>
      </c>
      <c r="C555" s="250" t="s">
        <v>575</v>
      </c>
      <c r="D555" s="250" t="s">
        <v>896</v>
      </c>
      <c r="E555" s="251">
        <v>19</v>
      </c>
      <c r="F555" s="252">
        <v>0.3392857142857143</v>
      </c>
      <c r="G555" s="251">
        <v>18</v>
      </c>
    </row>
    <row r="556" spans="2:7">
      <c r="B556" s="256" t="s">
        <v>9</v>
      </c>
      <c r="C556" s="250" t="s">
        <v>575</v>
      </c>
      <c r="D556" s="250" t="s">
        <v>906</v>
      </c>
      <c r="E556" s="251">
        <v>9</v>
      </c>
      <c r="F556" s="252">
        <v>0.16071428571428573</v>
      </c>
      <c r="G556" s="251">
        <v>7</v>
      </c>
    </row>
    <row r="557" spans="2:7">
      <c r="B557" s="256" t="s">
        <v>9</v>
      </c>
      <c r="C557" s="250" t="s">
        <v>575</v>
      </c>
      <c r="D557" s="250" t="s">
        <v>902</v>
      </c>
      <c r="E557" s="251">
        <v>3</v>
      </c>
      <c r="F557" s="252">
        <v>5.3571428571428568E-2</v>
      </c>
      <c r="G557" s="251">
        <v>3</v>
      </c>
    </row>
    <row r="558" spans="2:7">
      <c r="B558" s="256" t="s">
        <v>9</v>
      </c>
      <c r="C558" s="250" t="s">
        <v>575</v>
      </c>
      <c r="D558" s="250" t="s">
        <v>903</v>
      </c>
      <c r="E558" s="251">
        <v>8</v>
      </c>
      <c r="F558" s="252">
        <v>0.14285714285714285</v>
      </c>
      <c r="G558" s="251">
        <v>7</v>
      </c>
    </row>
    <row r="559" spans="2:7">
      <c r="B559" s="256" t="s">
        <v>9</v>
      </c>
      <c r="C559" s="250" t="s">
        <v>575</v>
      </c>
      <c r="D559" s="250" t="s">
        <v>907</v>
      </c>
      <c r="E559" s="251">
        <v>1</v>
      </c>
      <c r="F559" s="252">
        <v>1.7857142857142856E-2</v>
      </c>
      <c r="G559" s="251">
        <v>1</v>
      </c>
    </row>
    <row r="560" spans="2:7">
      <c r="B560" s="256" t="s">
        <v>9</v>
      </c>
      <c r="C560" s="250" t="s">
        <v>575</v>
      </c>
      <c r="D560" s="250" t="s">
        <v>908</v>
      </c>
      <c r="E560" s="251">
        <v>1</v>
      </c>
      <c r="F560" s="252">
        <v>1.7857142857142856E-2</v>
      </c>
      <c r="G560" s="251">
        <v>1</v>
      </c>
    </row>
    <row r="561" spans="2:7">
      <c r="B561" s="256" t="s">
        <v>9</v>
      </c>
      <c r="C561" s="250" t="s">
        <v>575</v>
      </c>
      <c r="D561" s="250" t="s">
        <v>14</v>
      </c>
      <c r="E561" s="251">
        <v>8</v>
      </c>
      <c r="F561" s="252">
        <v>0.14285714285714285</v>
      </c>
      <c r="G561" s="251">
        <v>8</v>
      </c>
    </row>
    <row r="562" spans="2:7">
      <c r="B562" s="256" t="s">
        <v>9</v>
      </c>
      <c r="C562" s="250" t="s">
        <v>575</v>
      </c>
      <c r="D562" s="250" t="s">
        <v>18</v>
      </c>
      <c r="E562" s="251">
        <v>7</v>
      </c>
      <c r="F562" s="252">
        <v>0.125</v>
      </c>
      <c r="G562" s="251">
        <v>6</v>
      </c>
    </row>
    <row r="563" spans="2:7">
      <c r="B563" s="256" t="s">
        <v>9</v>
      </c>
      <c r="C563" s="250" t="s">
        <v>909</v>
      </c>
      <c r="D563" s="250"/>
      <c r="E563" s="251">
        <v>56</v>
      </c>
      <c r="F563" s="252">
        <v>1</v>
      </c>
      <c r="G563" s="251">
        <v>31</v>
      </c>
    </row>
    <row r="564" spans="2:7">
      <c r="B564" s="256" t="s">
        <v>9</v>
      </c>
      <c r="C564" s="250" t="s">
        <v>306</v>
      </c>
      <c r="D564" s="250" t="s">
        <v>501</v>
      </c>
      <c r="E564" s="251">
        <v>4</v>
      </c>
      <c r="F564" s="252">
        <v>3.1007751937984496E-2</v>
      </c>
      <c r="G564" s="251">
        <v>4</v>
      </c>
    </row>
    <row r="565" spans="2:7">
      <c r="B565" s="256" t="s">
        <v>9</v>
      </c>
      <c r="C565" s="250" t="s">
        <v>306</v>
      </c>
      <c r="D565" s="250" t="s">
        <v>910</v>
      </c>
      <c r="E565" s="251">
        <v>3</v>
      </c>
      <c r="F565" s="252">
        <v>2.3255813953488372E-2</v>
      </c>
      <c r="G565" s="251">
        <v>3</v>
      </c>
    </row>
    <row r="566" spans="2:7">
      <c r="B566" s="256" t="s">
        <v>9</v>
      </c>
      <c r="C566" s="250" t="s">
        <v>306</v>
      </c>
      <c r="D566" s="250" t="s">
        <v>911</v>
      </c>
      <c r="E566" s="251">
        <v>3</v>
      </c>
      <c r="F566" s="252">
        <v>2.3255813953488372E-2</v>
      </c>
      <c r="G566" s="251">
        <v>2</v>
      </c>
    </row>
    <row r="567" spans="2:7">
      <c r="B567" s="256" t="s">
        <v>9</v>
      </c>
      <c r="C567" s="250" t="s">
        <v>306</v>
      </c>
      <c r="D567" s="250" t="s">
        <v>14</v>
      </c>
      <c r="E567" s="251">
        <v>20</v>
      </c>
      <c r="F567" s="252">
        <v>0.15503875968992248</v>
      </c>
      <c r="G567" s="251">
        <v>20</v>
      </c>
    </row>
    <row r="568" spans="2:7">
      <c r="B568" s="256" t="s">
        <v>9</v>
      </c>
      <c r="C568" s="250" t="s">
        <v>306</v>
      </c>
      <c r="D568" s="250" t="s">
        <v>912</v>
      </c>
      <c r="E568" s="251">
        <v>6</v>
      </c>
      <c r="F568" s="252">
        <v>4.6511627906976744E-2</v>
      </c>
      <c r="G568" s="251">
        <v>6</v>
      </c>
    </row>
    <row r="569" spans="2:7">
      <c r="B569" s="256" t="s">
        <v>9</v>
      </c>
      <c r="C569" s="250" t="s">
        <v>306</v>
      </c>
      <c r="D569" s="250" t="s">
        <v>913</v>
      </c>
      <c r="E569" s="251">
        <v>1</v>
      </c>
      <c r="F569" s="252">
        <v>7.7519379844961239E-3</v>
      </c>
      <c r="G569" s="251">
        <v>1</v>
      </c>
    </row>
    <row r="570" spans="2:7">
      <c r="B570" s="256" t="s">
        <v>9</v>
      </c>
      <c r="C570" s="250" t="s">
        <v>306</v>
      </c>
      <c r="D570" s="250" t="s">
        <v>914</v>
      </c>
      <c r="E570" s="251">
        <v>8</v>
      </c>
      <c r="F570" s="252">
        <v>6.2015503875968991E-2</v>
      </c>
      <c r="G570" s="251">
        <v>4</v>
      </c>
    </row>
    <row r="571" spans="2:7">
      <c r="B571" s="256" t="s">
        <v>9</v>
      </c>
      <c r="C571" s="250" t="s">
        <v>306</v>
      </c>
      <c r="D571" s="250" t="s">
        <v>915</v>
      </c>
      <c r="E571" s="251">
        <v>1</v>
      </c>
      <c r="F571" s="252">
        <v>7.7519379844961239E-3</v>
      </c>
      <c r="G571" s="251">
        <v>1</v>
      </c>
    </row>
    <row r="572" spans="2:7">
      <c r="B572" s="256" t="s">
        <v>9</v>
      </c>
      <c r="C572" s="250" t="s">
        <v>306</v>
      </c>
      <c r="D572" s="250" t="s">
        <v>18</v>
      </c>
      <c r="E572" s="251">
        <v>83</v>
      </c>
      <c r="F572" s="252">
        <v>0.64341085271317833</v>
      </c>
      <c r="G572" s="251">
        <v>79</v>
      </c>
    </row>
    <row r="573" spans="2:7">
      <c r="B573" s="256" t="s">
        <v>9</v>
      </c>
      <c r="C573" s="250" t="s">
        <v>314</v>
      </c>
      <c r="D573" s="250"/>
      <c r="E573" s="251">
        <v>129</v>
      </c>
      <c r="F573" s="252">
        <v>1</v>
      </c>
      <c r="G573" s="251">
        <v>115</v>
      </c>
    </row>
    <row r="574" spans="2:7">
      <c r="B574" s="256" t="s">
        <v>9</v>
      </c>
      <c r="C574" s="250" t="s">
        <v>14</v>
      </c>
      <c r="D574" s="250" t="s">
        <v>14</v>
      </c>
      <c r="E574" s="251">
        <v>88</v>
      </c>
      <c r="F574" s="252">
        <v>1</v>
      </c>
      <c r="G574" s="251">
        <v>1</v>
      </c>
    </row>
    <row r="575" spans="2:7">
      <c r="B575" s="256" t="s">
        <v>9</v>
      </c>
      <c r="C575" s="250" t="s">
        <v>265</v>
      </c>
      <c r="D575" s="250"/>
      <c r="E575" s="251">
        <v>88</v>
      </c>
      <c r="F575" s="252">
        <v>1</v>
      </c>
      <c r="G575" s="251">
        <v>1</v>
      </c>
    </row>
    <row r="576" spans="2:7">
      <c r="B576" s="256" t="s">
        <v>133</v>
      </c>
      <c r="C576" s="257"/>
      <c r="D576" s="257"/>
      <c r="E576" s="251">
        <v>3634</v>
      </c>
      <c r="F576" s="252"/>
      <c r="G576" s="251">
        <v>932</v>
      </c>
    </row>
    <row r="577" spans="2:7">
      <c r="B577" s="250" t="s">
        <v>257</v>
      </c>
      <c r="C577" s="250" t="s">
        <v>576</v>
      </c>
      <c r="D577" s="250" t="s">
        <v>916</v>
      </c>
      <c r="E577" s="251">
        <v>2</v>
      </c>
      <c r="F577" s="252">
        <v>0.66666666666666663</v>
      </c>
      <c r="G577" s="251">
        <v>2</v>
      </c>
    </row>
    <row r="578" spans="2:7">
      <c r="B578" s="250" t="s">
        <v>257</v>
      </c>
      <c r="C578" s="250" t="s">
        <v>576</v>
      </c>
      <c r="D578" s="250" t="s">
        <v>917</v>
      </c>
      <c r="E578" s="251">
        <v>1</v>
      </c>
      <c r="F578" s="252">
        <v>0.33333333333333331</v>
      </c>
      <c r="G578" s="251">
        <v>1</v>
      </c>
    </row>
    <row r="579" spans="2:7">
      <c r="B579" s="250" t="s">
        <v>257</v>
      </c>
      <c r="C579" s="250" t="s">
        <v>918</v>
      </c>
      <c r="D579" s="250"/>
      <c r="E579" s="251">
        <v>3</v>
      </c>
      <c r="F579" s="252">
        <v>1</v>
      </c>
      <c r="G579" s="251">
        <v>3</v>
      </c>
    </row>
    <row r="580" spans="2:7">
      <c r="B580" s="250" t="s">
        <v>257</v>
      </c>
      <c r="C580" s="250" t="s">
        <v>577</v>
      </c>
      <c r="D580" s="250" t="s">
        <v>916</v>
      </c>
      <c r="E580" s="251">
        <v>5</v>
      </c>
      <c r="F580" s="252">
        <v>0.23809523809523808</v>
      </c>
      <c r="G580" s="251">
        <v>5</v>
      </c>
    </row>
    <row r="581" spans="2:7">
      <c r="B581" s="250" t="s">
        <v>257</v>
      </c>
      <c r="C581" s="250" t="s">
        <v>577</v>
      </c>
      <c r="D581" s="250" t="s">
        <v>434</v>
      </c>
      <c r="E581" s="251">
        <v>2</v>
      </c>
      <c r="F581" s="252">
        <v>9.5238095238095233E-2</v>
      </c>
      <c r="G581" s="251">
        <v>2</v>
      </c>
    </row>
    <row r="582" spans="2:7">
      <c r="B582" s="250" t="s">
        <v>257</v>
      </c>
      <c r="C582" s="250" t="s">
        <v>577</v>
      </c>
      <c r="D582" s="250" t="s">
        <v>919</v>
      </c>
      <c r="E582" s="251">
        <v>8</v>
      </c>
      <c r="F582" s="252">
        <v>0.38095238095238093</v>
      </c>
      <c r="G582" s="251">
        <v>7</v>
      </c>
    </row>
    <row r="583" spans="2:7">
      <c r="B583" s="250" t="s">
        <v>257</v>
      </c>
      <c r="C583" s="250" t="s">
        <v>577</v>
      </c>
      <c r="D583" s="250" t="s">
        <v>920</v>
      </c>
      <c r="E583" s="251">
        <v>5</v>
      </c>
      <c r="F583" s="252">
        <v>0.23809523809523808</v>
      </c>
      <c r="G583" s="251">
        <v>5</v>
      </c>
    </row>
    <row r="584" spans="2:7">
      <c r="B584" s="250" t="s">
        <v>257</v>
      </c>
      <c r="C584" s="250" t="s">
        <v>577</v>
      </c>
      <c r="D584" s="250" t="s">
        <v>14</v>
      </c>
      <c r="E584" s="251">
        <v>1</v>
      </c>
      <c r="F584" s="252">
        <v>4.7619047619047616E-2</v>
      </c>
      <c r="G584" s="251">
        <v>1</v>
      </c>
    </row>
    <row r="585" spans="2:7">
      <c r="B585" s="250" t="s">
        <v>257</v>
      </c>
      <c r="C585" s="250" t="s">
        <v>921</v>
      </c>
      <c r="D585" s="250"/>
      <c r="E585" s="251">
        <v>21</v>
      </c>
      <c r="F585" s="252">
        <v>1</v>
      </c>
      <c r="G585" s="251">
        <v>17</v>
      </c>
    </row>
    <row r="586" spans="2:7">
      <c r="B586" s="250" t="s">
        <v>257</v>
      </c>
      <c r="C586" s="250" t="s">
        <v>578</v>
      </c>
      <c r="D586" s="250" t="s">
        <v>917</v>
      </c>
      <c r="E586" s="251">
        <v>1</v>
      </c>
      <c r="F586" s="252">
        <v>0.1</v>
      </c>
      <c r="G586" s="251">
        <v>1</v>
      </c>
    </row>
    <row r="587" spans="2:7">
      <c r="B587" s="250" t="s">
        <v>257</v>
      </c>
      <c r="C587" s="250" t="s">
        <v>578</v>
      </c>
      <c r="D587" s="250" t="s">
        <v>919</v>
      </c>
      <c r="E587" s="251">
        <v>5</v>
      </c>
      <c r="F587" s="252">
        <v>0.5</v>
      </c>
      <c r="G587" s="251">
        <v>5</v>
      </c>
    </row>
    <row r="588" spans="2:7">
      <c r="B588" s="250" t="s">
        <v>257</v>
      </c>
      <c r="C588" s="250" t="s">
        <v>578</v>
      </c>
      <c r="D588" s="250" t="s">
        <v>920</v>
      </c>
      <c r="E588" s="251">
        <v>3</v>
      </c>
      <c r="F588" s="252">
        <v>0.3</v>
      </c>
      <c r="G588" s="251">
        <v>3</v>
      </c>
    </row>
    <row r="589" spans="2:7">
      <c r="B589" s="250" t="s">
        <v>257</v>
      </c>
      <c r="C589" s="250" t="s">
        <v>578</v>
      </c>
      <c r="D589" s="250" t="s">
        <v>922</v>
      </c>
      <c r="E589" s="251">
        <v>1</v>
      </c>
      <c r="F589" s="252">
        <v>0.1</v>
      </c>
      <c r="G589" s="251">
        <v>1</v>
      </c>
    </row>
    <row r="590" spans="2:7">
      <c r="B590" s="250" t="s">
        <v>257</v>
      </c>
      <c r="C590" s="250" t="s">
        <v>923</v>
      </c>
      <c r="D590" s="250"/>
      <c r="E590" s="251">
        <v>10</v>
      </c>
      <c r="F590" s="252">
        <v>1</v>
      </c>
      <c r="G590" s="251">
        <v>8</v>
      </c>
    </row>
    <row r="591" spans="2:7">
      <c r="B591" s="250" t="s">
        <v>257</v>
      </c>
      <c r="C591" s="250" t="s">
        <v>579</v>
      </c>
      <c r="D591" s="250" t="s">
        <v>916</v>
      </c>
      <c r="E591" s="251">
        <v>8</v>
      </c>
      <c r="F591" s="252">
        <v>0.72727272727272729</v>
      </c>
      <c r="G591" s="251">
        <v>8</v>
      </c>
    </row>
    <row r="592" spans="2:7">
      <c r="B592" s="250" t="s">
        <v>257</v>
      </c>
      <c r="C592" s="250" t="s">
        <v>579</v>
      </c>
      <c r="D592" s="250" t="s">
        <v>917</v>
      </c>
      <c r="E592" s="251">
        <v>1</v>
      </c>
      <c r="F592" s="252">
        <v>9.0909090909090912E-2</v>
      </c>
      <c r="G592" s="251">
        <v>1</v>
      </c>
    </row>
    <row r="593" spans="2:7">
      <c r="B593" s="250" t="s">
        <v>257</v>
      </c>
      <c r="C593" s="250" t="s">
        <v>579</v>
      </c>
      <c r="D593" s="250" t="s">
        <v>14</v>
      </c>
      <c r="E593" s="251">
        <v>2</v>
      </c>
      <c r="F593" s="252">
        <v>0.18181818181818182</v>
      </c>
      <c r="G593" s="251">
        <v>2</v>
      </c>
    </row>
    <row r="594" spans="2:7">
      <c r="B594" s="250" t="s">
        <v>257</v>
      </c>
      <c r="C594" s="250" t="s">
        <v>924</v>
      </c>
      <c r="D594" s="250"/>
      <c r="E594" s="251">
        <v>11</v>
      </c>
      <c r="F594" s="252">
        <v>1</v>
      </c>
      <c r="G594" s="251">
        <v>10</v>
      </c>
    </row>
    <row r="595" spans="2:7">
      <c r="B595" s="250" t="s">
        <v>257</v>
      </c>
      <c r="C595" s="250" t="s">
        <v>433</v>
      </c>
      <c r="D595" s="250" t="s">
        <v>916</v>
      </c>
      <c r="E595" s="251">
        <v>1</v>
      </c>
      <c r="F595" s="252">
        <v>0.5</v>
      </c>
      <c r="G595" s="251">
        <v>1</v>
      </c>
    </row>
    <row r="596" spans="2:7">
      <c r="B596" s="250" t="s">
        <v>257</v>
      </c>
      <c r="C596" s="250" t="s">
        <v>433</v>
      </c>
      <c r="D596" s="250" t="s">
        <v>434</v>
      </c>
      <c r="E596" s="251">
        <v>1</v>
      </c>
      <c r="F596" s="252">
        <v>0.5</v>
      </c>
      <c r="G596" s="251">
        <v>1</v>
      </c>
    </row>
    <row r="597" spans="2:7">
      <c r="B597" s="250" t="s">
        <v>257</v>
      </c>
      <c r="C597" s="250" t="s">
        <v>435</v>
      </c>
      <c r="D597" s="250"/>
      <c r="E597" s="251">
        <v>2</v>
      </c>
      <c r="F597" s="252">
        <v>1</v>
      </c>
      <c r="G597" s="251">
        <v>2</v>
      </c>
    </row>
    <row r="598" spans="2:7">
      <c r="B598" s="250" t="s">
        <v>257</v>
      </c>
      <c r="C598" s="250" t="s">
        <v>580</v>
      </c>
      <c r="D598" s="250" t="s">
        <v>916</v>
      </c>
      <c r="E598" s="251">
        <v>3</v>
      </c>
      <c r="F598" s="252">
        <v>0.6</v>
      </c>
      <c r="G598" s="251">
        <v>3</v>
      </c>
    </row>
    <row r="599" spans="2:7">
      <c r="B599" s="250" t="s">
        <v>257</v>
      </c>
      <c r="C599" s="250" t="s">
        <v>580</v>
      </c>
      <c r="D599" s="250" t="s">
        <v>917</v>
      </c>
      <c r="E599" s="251">
        <v>2</v>
      </c>
      <c r="F599" s="252">
        <v>0.4</v>
      </c>
      <c r="G599" s="251">
        <v>2</v>
      </c>
    </row>
    <row r="600" spans="2:7">
      <c r="B600" s="250" t="s">
        <v>257</v>
      </c>
      <c r="C600" s="250" t="s">
        <v>925</v>
      </c>
      <c r="D600" s="250"/>
      <c r="E600" s="251">
        <v>5</v>
      </c>
      <c r="F600" s="252">
        <v>1</v>
      </c>
      <c r="G600" s="251">
        <v>5</v>
      </c>
    </row>
    <row r="601" spans="2:7">
      <c r="B601" s="250" t="s">
        <v>257</v>
      </c>
      <c r="C601" s="250" t="s">
        <v>581</v>
      </c>
      <c r="D601" s="250" t="s">
        <v>916</v>
      </c>
      <c r="E601" s="251">
        <v>1</v>
      </c>
      <c r="F601" s="252">
        <v>0.5</v>
      </c>
      <c r="G601" s="251">
        <v>1</v>
      </c>
    </row>
    <row r="602" spans="2:7">
      <c r="B602" s="250" t="s">
        <v>257</v>
      </c>
      <c r="C602" s="250" t="s">
        <v>581</v>
      </c>
      <c r="D602" s="250" t="s">
        <v>917</v>
      </c>
      <c r="E602" s="251">
        <v>1</v>
      </c>
      <c r="F602" s="252">
        <v>0.5</v>
      </c>
      <c r="G602" s="251">
        <v>1</v>
      </c>
    </row>
    <row r="603" spans="2:7">
      <c r="B603" s="250" t="s">
        <v>257</v>
      </c>
      <c r="C603" s="250" t="s">
        <v>926</v>
      </c>
      <c r="D603" s="250"/>
      <c r="E603" s="251">
        <v>2</v>
      </c>
      <c r="F603" s="252">
        <v>1</v>
      </c>
      <c r="G603" s="251">
        <v>1</v>
      </c>
    </row>
    <row r="604" spans="2:7">
      <c r="B604" s="250" t="s">
        <v>257</v>
      </c>
      <c r="C604" s="250" t="s">
        <v>582</v>
      </c>
      <c r="D604" s="250" t="s">
        <v>927</v>
      </c>
      <c r="E604" s="251">
        <v>1</v>
      </c>
      <c r="F604" s="252">
        <v>0.33333333333333331</v>
      </c>
      <c r="G604" s="251">
        <v>1</v>
      </c>
    </row>
    <row r="605" spans="2:7">
      <c r="B605" s="250" t="s">
        <v>257</v>
      </c>
      <c r="C605" s="250" t="s">
        <v>582</v>
      </c>
      <c r="D605" s="250" t="s">
        <v>928</v>
      </c>
      <c r="E605" s="251">
        <v>2</v>
      </c>
      <c r="F605" s="252">
        <v>0.66666666666666663</v>
      </c>
      <c r="G605" s="251">
        <v>2</v>
      </c>
    </row>
    <row r="606" spans="2:7">
      <c r="B606" s="250" t="s">
        <v>257</v>
      </c>
      <c r="C606" s="250" t="s">
        <v>929</v>
      </c>
      <c r="D606" s="250"/>
      <c r="E606" s="251">
        <v>3</v>
      </c>
      <c r="F606" s="252">
        <v>1</v>
      </c>
      <c r="G606" s="251">
        <v>2</v>
      </c>
    </row>
    <row r="607" spans="2:7">
      <c r="B607" s="250" t="s">
        <v>257</v>
      </c>
      <c r="C607" s="250" t="s">
        <v>583</v>
      </c>
      <c r="D607" s="250" t="s">
        <v>928</v>
      </c>
      <c r="E607" s="251">
        <v>1</v>
      </c>
      <c r="F607" s="252">
        <v>1</v>
      </c>
      <c r="G607" s="251">
        <v>1</v>
      </c>
    </row>
    <row r="608" spans="2:7">
      <c r="B608" s="250" t="s">
        <v>257</v>
      </c>
      <c r="C608" s="250" t="s">
        <v>930</v>
      </c>
      <c r="D608" s="250"/>
      <c r="E608" s="251">
        <v>1</v>
      </c>
      <c r="F608" s="252">
        <v>1</v>
      </c>
      <c r="G608" s="251">
        <v>1</v>
      </c>
    </row>
    <row r="609" spans="2:7">
      <c r="B609" s="250" t="s">
        <v>403</v>
      </c>
      <c r="C609" s="250"/>
      <c r="D609" s="250"/>
      <c r="E609" s="251">
        <v>58</v>
      </c>
      <c r="F609" s="252"/>
      <c r="G609" s="251">
        <v>44</v>
      </c>
    </row>
    <row r="610" spans="2:7">
      <c r="B610" s="256" t="s">
        <v>259</v>
      </c>
      <c r="C610" s="250" t="s">
        <v>584</v>
      </c>
      <c r="D610" s="250" t="s">
        <v>931</v>
      </c>
      <c r="E610" s="251">
        <v>1</v>
      </c>
      <c r="F610" s="252">
        <v>1</v>
      </c>
      <c r="G610" s="251">
        <v>1</v>
      </c>
    </row>
    <row r="611" spans="2:7">
      <c r="B611" s="256" t="s">
        <v>259</v>
      </c>
      <c r="C611" s="250" t="s">
        <v>932</v>
      </c>
      <c r="D611" s="250"/>
      <c r="E611" s="251">
        <v>1</v>
      </c>
      <c r="F611" s="252">
        <v>1</v>
      </c>
      <c r="G611" s="251">
        <v>1</v>
      </c>
    </row>
    <row r="612" spans="2:7">
      <c r="B612" s="256" t="s">
        <v>259</v>
      </c>
      <c r="C612" s="250" t="s">
        <v>585</v>
      </c>
      <c r="D612" s="250" t="s">
        <v>933</v>
      </c>
      <c r="E612" s="251">
        <v>1</v>
      </c>
      <c r="F612" s="252">
        <v>0.125</v>
      </c>
      <c r="G612" s="251">
        <v>1</v>
      </c>
    </row>
    <row r="613" spans="2:7">
      <c r="B613" s="256" t="s">
        <v>259</v>
      </c>
      <c r="C613" s="250" t="s">
        <v>585</v>
      </c>
      <c r="D613" s="250" t="s">
        <v>934</v>
      </c>
      <c r="E613" s="251">
        <v>1</v>
      </c>
      <c r="F613" s="252">
        <v>0.125</v>
      </c>
      <c r="G613" s="251">
        <v>1</v>
      </c>
    </row>
    <row r="614" spans="2:7">
      <c r="B614" s="256" t="s">
        <v>259</v>
      </c>
      <c r="C614" s="250" t="s">
        <v>585</v>
      </c>
      <c r="D614" s="250" t="s">
        <v>935</v>
      </c>
      <c r="E614" s="251">
        <v>1</v>
      </c>
      <c r="F614" s="252">
        <v>0.125</v>
      </c>
      <c r="G614" s="251">
        <v>1</v>
      </c>
    </row>
    <row r="615" spans="2:7">
      <c r="B615" s="256" t="s">
        <v>259</v>
      </c>
      <c r="C615" s="250" t="s">
        <v>585</v>
      </c>
      <c r="D615" s="250" t="s">
        <v>936</v>
      </c>
      <c r="E615" s="251">
        <v>3</v>
      </c>
      <c r="F615" s="252">
        <v>0.375</v>
      </c>
      <c r="G615" s="251">
        <v>3</v>
      </c>
    </row>
    <row r="616" spans="2:7">
      <c r="B616" s="256" t="s">
        <v>259</v>
      </c>
      <c r="C616" s="250" t="s">
        <v>585</v>
      </c>
      <c r="D616" s="250" t="s">
        <v>14</v>
      </c>
      <c r="E616" s="251">
        <v>1</v>
      </c>
      <c r="F616" s="252">
        <v>0.125</v>
      </c>
      <c r="G616" s="251">
        <v>1</v>
      </c>
    </row>
    <row r="617" spans="2:7">
      <c r="B617" s="256" t="s">
        <v>259</v>
      </c>
      <c r="C617" s="250" t="s">
        <v>585</v>
      </c>
      <c r="D617" s="250" t="s">
        <v>18</v>
      </c>
      <c r="E617" s="251">
        <v>1</v>
      </c>
      <c r="F617" s="252">
        <v>0.125</v>
      </c>
      <c r="G617" s="251">
        <v>1</v>
      </c>
    </row>
    <row r="618" spans="2:7">
      <c r="B618" s="256" t="s">
        <v>259</v>
      </c>
      <c r="C618" s="250" t="s">
        <v>937</v>
      </c>
      <c r="D618" s="250"/>
      <c r="E618" s="251">
        <v>8</v>
      </c>
      <c r="F618" s="252">
        <v>1</v>
      </c>
      <c r="G618" s="251">
        <v>8</v>
      </c>
    </row>
    <row r="619" spans="2:7">
      <c r="B619" s="256" t="s">
        <v>259</v>
      </c>
      <c r="C619" s="250" t="s">
        <v>586</v>
      </c>
      <c r="D619" s="250" t="s">
        <v>938</v>
      </c>
      <c r="E619" s="251">
        <v>2</v>
      </c>
      <c r="F619" s="252">
        <v>0.4</v>
      </c>
      <c r="G619" s="251">
        <v>2</v>
      </c>
    </row>
    <row r="620" spans="2:7">
      <c r="B620" s="256" t="s">
        <v>259</v>
      </c>
      <c r="C620" s="250" t="s">
        <v>586</v>
      </c>
      <c r="D620" s="250" t="s">
        <v>14</v>
      </c>
      <c r="E620" s="251">
        <v>2</v>
      </c>
      <c r="F620" s="252">
        <v>0.4</v>
      </c>
      <c r="G620" s="251">
        <v>2</v>
      </c>
    </row>
    <row r="621" spans="2:7">
      <c r="B621" s="256" t="s">
        <v>259</v>
      </c>
      <c r="C621" s="250" t="s">
        <v>586</v>
      </c>
      <c r="D621" s="250" t="s">
        <v>18</v>
      </c>
      <c r="E621" s="251">
        <v>1</v>
      </c>
      <c r="F621" s="252">
        <v>0.2</v>
      </c>
      <c r="G621" s="251">
        <v>1</v>
      </c>
    </row>
    <row r="622" spans="2:7">
      <c r="B622" s="256" t="s">
        <v>259</v>
      </c>
      <c r="C622" s="250" t="s">
        <v>939</v>
      </c>
      <c r="D622" s="250"/>
      <c r="E622" s="251">
        <v>5</v>
      </c>
      <c r="F622" s="252">
        <v>1</v>
      </c>
      <c r="G622" s="251">
        <v>5</v>
      </c>
    </row>
    <row r="623" spans="2:7">
      <c r="B623" s="256" t="s">
        <v>259</v>
      </c>
      <c r="C623" s="250" t="s">
        <v>463</v>
      </c>
      <c r="D623" s="250" t="s">
        <v>940</v>
      </c>
      <c r="E623" s="251">
        <v>8</v>
      </c>
      <c r="F623" s="252">
        <v>0.72727272727272729</v>
      </c>
      <c r="G623" s="251">
        <v>8</v>
      </c>
    </row>
    <row r="624" spans="2:7">
      <c r="B624" s="256" t="s">
        <v>259</v>
      </c>
      <c r="C624" s="250" t="s">
        <v>463</v>
      </c>
      <c r="D624" s="250" t="s">
        <v>466</v>
      </c>
      <c r="E624" s="251">
        <v>2</v>
      </c>
      <c r="F624" s="252">
        <v>0.18181818181818182</v>
      </c>
      <c r="G624" s="251">
        <v>1</v>
      </c>
    </row>
    <row r="625" spans="2:7">
      <c r="B625" s="256" t="s">
        <v>259</v>
      </c>
      <c r="C625" s="250" t="s">
        <v>463</v>
      </c>
      <c r="D625" s="250" t="s">
        <v>18</v>
      </c>
      <c r="E625" s="251">
        <v>1</v>
      </c>
      <c r="F625" s="252">
        <v>9.0909090909090912E-2</v>
      </c>
      <c r="G625" s="251">
        <v>1</v>
      </c>
    </row>
    <row r="626" spans="2:7">
      <c r="B626" s="256" t="s">
        <v>259</v>
      </c>
      <c r="C626" s="250" t="s">
        <v>467</v>
      </c>
      <c r="D626" s="250"/>
      <c r="E626" s="251">
        <v>11</v>
      </c>
      <c r="F626" s="252">
        <v>1</v>
      </c>
      <c r="G626" s="251">
        <v>10</v>
      </c>
    </row>
    <row r="627" spans="2:7">
      <c r="B627" s="256" t="s">
        <v>259</v>
      </c>
      <c r="C627" s="250" t="s">
        <v>260</v>
      </c>
      <c r="D627" s="250" t="s">
        <v>941</v>
      </c>
      <c r="E627" s="251">
        <v>1</v>
      </c>
      <c r="F627" s="252">
        <v>0.16666666666666666</v>
      </c>
      <c r="G627" s="251">
        <v>1</v>
      </c>
    </row>
    <row r="628" spans="2:7">
      <c r="B628" s="256" t="s">
        <v>259</v>
      </c>
      <c r="C628" s="250" t="s">
        <v>260</v>
      </c>
      <c r="D628" s="250" t="s">
        <v>14</v>
      </c>
      <c r="E628" s="251">
        <v>1</v>
      </c>
      <c r="F628" s="252">
        <v>0.16666666666666666</v>
      </c>
      <c r="G628" s="251">
        <v>1</v>
      </c>
    </row>
    <row r="629" spans="2:7">
      <c r="B629" s="256" t="s">
        <v>259</v>
      </c>
      <c r="C629" s="250" t="s">
        <v>260</v>
      </c>
      <c r="D629" s="250" t="s">
        <v>18</v>
      </c>
      <c r="E629" s="251">
        <v>4</v>
      </c>
      <c r="F629" s="252">
        <v>0.66666666666666663</v>
      </c>
      <c r="G629" s="251">
        <v>4</v>
      </c>
    </row>
    <row r="630" spans="2:7">
      <c r="B630" s="256" t="s">
        <v>259</v>
      </c>
      <c r="C630" s="250" t="s">
        <v>264</v>
      </c>
      <c r="D630" s="250"/>
      <c r="E630" s="251">
        <v>6</v>
      </c>
      <c r="F630" s="252">
        <v>1</v>
      </c>
      <c r="G630" s="251">
        <v>5</v>
      </c>
    </row>
    <row r="631" spans="2:7">
      <c r="B631" s="256" t="s">
        <v>259</v>
      </c>
      <c r="C631" s="250" t="s">
        <v>421</v>
      </c>
      <c r="D631" s="250" t="s">
        <v>14</v>
      </c>
      <c r="E631" s="251">
        <v>2</v>
      </c>
      <c r="F631" s="252">
        <v>0.5</v>
      </c>
      <c r="G631" s="251">
        <v>2</v>
      </c>
    </row>
    <row r="632" spans="2:7">
      <c r="B632" s="256" t="s">
        <v>259</v>
      </c>
      <c r="C632" s="250" t="s">
        <v>421</v>
      </c>
      <c r="D632" s="250" t="s">
        <v>18</v>
      </c>
      <c r="E632" s="251">
        <v>2</v>
      </c>
      <c r="F632" s="252">
        <v>0.5</v>
      </c>
      <c r="G632" s="251">
        <v>2</v>
      </c>
    </row>
    <row r="633" spans="2:7">
      <c r="B633" s="256" t="s">
        <v>259</v>
      </c>
      <c r="C633" s="250" t="s">
        <v>428</v>
      </c>
      <c r="D633" s="250"/>
      <c r="E633" s="251">
        <v>4</v>
      </c>
      <c r="F633" s="252">
        <v>1</v>
      </c>
      <c r="G633" s="251">
        <v>4</v>
      </c>
    </row>
    <row r="634" spans="2:7">
      <c r="B634" s="256" t="s">
        <v>259</v>
      </c>
      <c r="C634" s="250" t="s">
        <v>14</v>
      </c>
      <c r="D634" s="250" t="s">
        <v>14</v>
      </c>
      <c r="E634" s="251">
        <v>7</v>
      </c>
      <c r="F634" s="252">
        <v>1</v>
      </c>
      <c r="G634" s="251">
        <v>1</v>
      </c>
    </row>
    <row r="635" spans="2:7">
      <c r="B635" s="256" t="s">
        <v>259</v>
      </c>
      <c r="C635" s="250" t="s">
        <v>265</v>
      </c>
      <c r="D635" s="250"/>
      <c r="E635" s="251">
        <v>7</v>
      </c>
      <c r="F635" s="252">
        <v>1</v>
      </c>
      <c r="G635" s="251">
        <v>1</v>
      </c>
    </row>
    <row r="636" spans="2:7">
      <c r="B636" s="256" t="s">
        <v>261</v>
      </c>
      <c r="C636" s="257"/>
      <c r="D636" s="257"/>
      <c r="E636" s="251">
        <v>42</v>
      </c>
      <c r="F636" s="252"/>
      <c r="G636" s="251">
        <v>31</v>
      </c>
    </row>
    <row r="637" spans="2:7">
      <c r="B637" s="256" t="s">
        <v>10</v>
      </c>
      <c r="C637" s="250" t="s">
        <v>587</v>
      </c>
      <c r="D637" s="250" t="s">
        <v>942</v>
      </c>
      <c r="E637" s="251">
        <v>11</v>
      </c>
      <c r="F637" s="252">
        <v>0.27500000000000002</v>
      </c>
      <c r="G637" s="251">
        <v>10</v>
      </c>
    </row>
    <row r="638" spans="2:7">
      <c r="B638" s="256" t="s">
        <v>10</v>
      </c>
      <c r="C638" s="250" t="s">
        <v>587</v>
      </c>
      <c r="D638" s="250" t="s">
        <v>943</v>
      </c>
      <c r="E638" s="251">
        <v>12</v>
      </c>
      <c r="F638" s="252">
        <v>0.3</v>
      </c>
      <c r="G638" s="251">
        <v>11</v>
      </c>
    </row>
    <row r="639" spans="2:7">
      <c r="B639" s="256" t="s">
        <v>10</v>
      </c>
      <c r="C639" s="250" t="s">
        <v>587</v>
      </c>
      <c r="D639" s="250" t="s">
        <v>14</v>
      </c>
      <c r="E639" s="251">
        <v>4</v>
      </c>
      <c r="F639" s="252">
        <v>0.1</v>
      </c>
      <c r="G639" s="251">
        <v>4</v>
      </c>
    </row>
    <row r="640" spans="2:7">
      <c r="B640" s="256" t="s">
        <v>10</v>
      </c>
      <c r="C640" s="250" t="s">
        <v>587</v>
      </c>
      <c r="D640" s="250" t="s">
        <v>18</v>
      </c>
      <c r="E640" s="251">
        <v>13</v>
      </c>
      <c r="F640" s="252">
        <v>0.32500000000000001</v>
      </c>
      <c r="G640" s="251">
        <v>13</v>
      </c>
    </row>
    <row r="641" spans="2:7">
      <c r="B641" s="256" t="s">
        <v>10</v>
      </c>
      <c r="C641" s="250" t="s">
        <v>944</v>
      </c>
      <c r="D641" s="250"/>
      <c r="E641" s="251">
        <v>40</v>
      </c>
      <c r="F641" s="252">
        <v>1</v>
      </c>
      <c r="G641" s="251">
        <v>33</v>
      </c>
    </row>
    <row r="642" spans="2:7">
      <c r="B642" s="256" t="s">
        <v>10</v>
      </c>
      <c r="C642" s="250" t="s">
        <v>588</v>
      </c>
      <c r="D642" s="250" t="s">
        <v>945</v>
      </c>
      <c r="E642" s="251">
        <v>4</v>
      </c>
      <c r="F642" s="252">
        <v>0.44444444444444442</v>
      </c>
      <c r="G642" s="251">
        <v>4</v>
      </c>
    </row>
    <row r="643" spans="2:7">
      <c r="B643" s="256" t="s">
        <v>10</v>
      </c>
      <c r="C643" s="250" t="s">
        <v>588</v>
      </c>
      <c r="D643" s="250" t="s">
        <v>946</v>
      </c>
      <c r="E643" s="251">
        <v>2</v>
      </c>
      <c r="F643" s="252">
        <v>0.22222222222222221</v>
      </c>
      <c r="G643" s="251">
        <v>2</v>
      </c>
    </row>
    <row r="644" spans="2:7">
      <c r="B644" s="256" t="s">
        <v>10</v>
      </c>
      <c r="C644" s="250" t="s">
        <v>588</v>
      </c>
      <c r="D644" s="250" t="s">
        <v>947</v>
      </c>
      <c r="E644" s="251">
        <v>1</v>
      </c>
      <c r="F644" s="252">
        <v>0.1111111111111111</v>
      </c>
      <c r="G644" s="251">
        <v>1</v>
      </c>
    </row>
    <row r="645" spans="2:7">
      <c r="B645" s="256" t="s">
        <v>10</v>
      </c>
      <c r="C645" s="250" t="s">
        <v>588</v>
      </c>
      <c r="D645" s="250" t="s">
        <v>18</v>
      </c>
      <c r="E645" s="251">
        <v>2</v>
      </c>
      <c r="F645" s="252">
        <v>0.22222222222222221</v>
      </c>
      <c r="G645" s="251">
        <v>2</v>
      </c>
    </row>
    <row r="646" spans="2:7">
      <c r="B646" s="256" t="s">
        <v>10</v>
      </c>
      <c r="C646" s="250" t="s">
        <v>948</v>
      </c>
      <c r="D646" s="250"/>
      <c r="E646" s="251">
        <v>9</v>
      </c>
      <c r="F646" s="252">
        <v>1</v>
      </c>
      <c r="G646" s="251">
        <v>9</v>
      </c>
    </row>
    <row r="647" spans="2:7">
      <c r="B647" s="256" t="s">
        <v>10</v>
      </c>
      <c r="C647" s="250" t="s">
        <v>589</v>
      </c>
      <c r="D647" s="250" t="s">
        <v>949</v>
      </c>
      <c r="E647" s="251">
        <v>29</v>
      </c>
      <c r="F647" s="252">
        <v>0.31182795698924731</v>
      </c>
      <c r="G647" s="251">
        <v>29</v>
      </c>
    </row>
    <row r="648" spans="2:7">
      <c r="B648" s="256" t="s">
        <v>10</v>
      </c>
      <c r="C648" s="250" t="s">
        <v>589</v>
      </c>
      <c r="D648" s="250" t="s">
        <v>950</v>
      </c>
      <c r="E648" s="251">
        <v>13</v>
      </c>
      <c r="F648" s="252">
        <v>0.13978494623655913</v>
      </c>
      <c r="G648" s="251">
        <v>12</v>
      </c>
    </row>
    <row r="649" spans="2:7">
      <c r="B649" s="256" t="s">
        <v>10</v>
      </c>
      <c r="C649" s="250" t="s">
        <v>589</v>
      </c>
      <c r="D649" s="250" t="s">
        <v>951</v>
      </c>
      <c r="E649" s="251">
        <v>2</v>
      </c>
      <c r="F649" s="252">
        <v>2.1505376344086023E-2</v>
      </c>
      <c r="G649" s="251">
        <v>2</v>
      </c>
    </row>
    <row r="650" spans="2:7">
      <c r="B650" s="256" t="s">
        <v>10</v>
      </c>
      <c r="C650" s="250" t="s">
        <v>589</v>
      </c>
      <c r="D650" s="250" t="s">
        <v>952</v>
      </c>
      <c r="E650" s="251">
        <v>4</v>
      </c>
      <c r="F650" s="252">
        <v>4.3010752688172046E-2</v>
      </c>
      <c r="G650" s="251">
        <v>4</v>
      </c>
    </row>
    <row r="651" spans="2:7">
      <c r="B651" s="256" t="s">
        <v>10</v>
      </c>
      <c r="C651" s="250" t="s">
        <v>589</v>
      </c>
      <c r="D651" s="250" t="s">
        <v>953</v>
      </c>
      <c r="E651" s="251">
        <v>1</v>
      </c>
      <c r="F651" s="252">
        <v>1.0752688172043012E-2</v>
      </c>
      <c r="G651" s="251">
        <v>1</v>
      </c>
    </row>
    <row r="652" spans="2:7">
      <c r="B652" s="256" t="s">
        <v>10</v>
      </c>
      <c r="C652" s="250" t="s">
        <v>589</v>
      </c>
      <c r="D652" s="250" t="s">
        <v>954</v>
      </c>
      <c r="E652" s="251">
        <v>1</v>
      </c>
      <c r="F652" s="252">
        <v>1.0752688172043012E-2</v>
      </c>
      <c r="G652" s="251">
        <v>1</v>
      </c>
    </row>
    <row r="653" spans="2:7">
      <c r="B653" s="256" t="s">
        <v>10</v>
      </c>
      <c r="C653" s="250" t="s">
        <v>589</v>
      </c>
      <c r="D653" s="250" t="s">
        <v>955</v>
      </c>
      <c r="E653" s="251">
        <v>3</v>
      </c>
      <c r="F653" s="252">
        <v>3.2258064516129031E-2</v>
      </c>
      <c r="G653" s="251">
        <v>3</v>
      </c>
    </row>
    <row r="654" spans="2:7">
      <c r="B654" s="256" t="s">
        <v>10</v>
      </c>
      <c r="C654" s="250" t="s">
        <v>589</v>
      </c>
      <c r="D654" s="250" t="s">
        <v>14</v>
      </c>
      <c r="E654" s="251">
        <v>7</v>
      </c>
      <c r="F654" s="252">
        <v>7.5268817204301078E-2</v>
      </c>
      <c r="G654" s="251">
        <v>7</v>
      </c>
    </row>
    <row r="655" spans="2:7">
      <c r="B655" s="256" t="s">
        <v>10</v>
      </c>
      <c r="C655" s="250" t="s">
        <v>589</v>
      </c>
      <c r="D655" s="250" t="s">
        <v>956</v>
      </c>
      <c r="E655" s="251">
        <v>2</v>
      </c>
      <c r="F655" s="252">
        <v>2.1505376344086023E-2</v>
      </c>
      <c r="G655" s="251">
        <v>2</v>
      </c>
    </row>
    <row r="656" spans="2:7">
      <c r="B656" s="256" t="s">
        <v>10</v>
      </c>
      <c r="C656" s="250" t="s">
        <v>589</v>
      </c>
      <c r="D656" s="250" t="s">
        <v>957</v>
      </c>
      <c r="E656" s="251">
        <v>3</v>
      </c>
      <c r="F656" s="252">
        <v>3.2258064516129031E-2</v>
      </c>
      <c r="G656" s="251">
        <v>3</v>
      </c>
    </row>
    <row r="657" spans="2:7">
      <c r="B657" s="256" t="s">
        <v>10</v>
      </c>
      <c r="C657" s="250" t="s">
        <v>589</v>
      </c>
      <c r="D657" s="250" t="s">
        <v>958</v>
      </c>
      <c r="E657" s="251">
        <v>5</v>
      </c>
      <c r="F657" s="252">
        <v>5.3763440860215055E-2</v>
      </c>
      <c r="G657" s="251">
        <v>5</v>
      </c>
    </row>
    <row r="658" spans="2:7">
      <c r="B658" s="256" t="s">
        <v>10</v>
      </c>
      <c r="C658" s="250" t="s">
        <v>589</v>
      </c>
      <c r="D658" s="250" t="s">
        <v>18</v>
      </c>
      <c r="E658" s="251">
        <v>23</v>
      </c>
      <c r="F658" s="252">
        <v>0.24731182795698925</v>
      </c>
      <c r="G658" s="251">
        <v>21</v>
      </c>
    </row>
    <row r="659" spans="2:7">
      <c r="B659" s="256" t="s">
        <v>10</v>
      </c>
      <c r="C659" s="250" t="s">
        <v>959</v>
      </c>
      <c r="D659" s="250"/>
      <c r="E659" s="251">
        <v>93</v>
      </c>
      <c r="F659" s="252">
        <v>1</v>
      </c>
      <c r="G659" s="251">
        <v>83</v>
      </c>
    </row>
    <row r="660" spans="2:7">
      <c r="B660" s="256" t="s">
        <v>10</v>
      </c>
      <c r="C660" s="250" t="s">
        <v>590</v>
      </c>
      <c r="D660" s="250" t="s">
        <v>960</v>
      </c>
      <c r="E660" s="251">
        <v>4</v>
      </c>
      <c r="F660" s="252">
        <v>1.8957345971563982E-2</v>
      </c>
      <c r="G660" s="251">
        <v>4</v>
      </c>
    </row>
    <row r="661" spans="2:7">
      <c r="B661" s="256" t="s">
        <v>10</v>
      </c>
      <c r="C661" s="250" t="s">
        <v>590</v>
      </c>
      <c r="D661" s="250" t="s">
        <v>961</v>
      </c>
      <c r="E661" s="251">
        <v>5</v>
      </c>
      <c r="F661" s="252">
        <v>2.3696682464454975E-2</v>
      </c>
      <c r="G661" s="251">
        <v>5</v>
      </c>
    </row>
    <row r="662" spans="2:7">
      <c r="B662" s="256" t="s">
        <v>10</v>
      </c>
      <c r="C662" s="250" t="s">
        <v>590</v>
      </c>
      <c r="D662" s="250" t="s">
        <v>962</v>
      </c>
      <c r="E662" s="251">
        <v>38</v>
      </c>
      <c r="F662" s="252">
        <v>0.18009478672985782</v>
      </c>
      <c r="G662" s="251">
        <v>36</v>
      </c>
    </row>
    <row r="663" spans="2:7">
      <c r="B663" s="256" t="s">
        <v>10</v>
      </c>
      <c r="C663" s="250" t="s">
        <v>590</v>
      </c>
      <c r="D663" s="250" t="s">
        <v>963</v>
      </c>
      <c r="E663" s="251">
        <v>12</v>
      </c>
      <c r="F663" s="252">
        <v>5.6872037914691941E-2</v>
      </c>
      <c r="G663" s="251">
        <v>11</v>
      </c>
    </row>
    <row r="664" spans="2:7">
      <c r="B664" s="256" t="s">
        <v>10</v>
      </c>
      <c r="C664" s="250" t="s">
        <v>590</v>
      </c>
      <c r="D664" s="250" t="s">
        <v>964</v>
      </c>
      <c r="E664" s="251">
        <v>33</v>
      </c>
      <c r="F664" s="252">
        <v>0.15639810426540285</v>
      </c>
      <c r="G664" s="251">
        <v>31</v>
      </c>
    </row>
    <row r="665" spans="2:7">
      <c r="B665" s="256" t="s">
        <v>10</v>
      </c>
      <c r="C665" s="250" t="s">
        <v>590</v>
      </c>
      <c r="D665" s="250" t="s">
        <v>965</v>
      </c>
      <c r="E665" s="251">
        <v>5</v>
      </c>
      <c r="F665" s="252">
        <v>2.3696682464454975E-2</v>
      </c>
      <c r="G665" s="251">
        <v>5</v>
      </c>
    </row>
    <row r="666" spans="2:7">
      <c r="B666" s="256" t="s">
        <v>10</v>
      </c>
      <c r="C666" s="250" t="s">
        <v>590</v>
      </c>
      <c r="D666" s="250" t="s">
        <v>966</v>
      </c>
      <c r="E666" s="251">
        <v>34</v>
      </c>
      <c r="F666" s="252">
        <v>0.16113744075829384</v>
      </c>
      <c r="G666" s="251">
        <v>33</v>
      </c>
    </row>
    <row r="667" spans="2:7">
      <c r="B667" s="256" t="s">
        <v>10</v>
      </c>
      <c r="C667" s="250" t="s">
        <v>590</v>
      </c>
      <c r="D667" s="250" t="s">
        <v>967</v>
      </c>
      <c r="E667" s="251">
        <v>34</v>
      </c>
      <c r="F667" s="252">
        <v>0.16113744075829384</v>
      </c>
      <c r="G667" s="251">
        <v>33</v>
      </c>
    </row>
    <row r="668" spans="2:7">
      <c r="B668" s="256" t="s">
        <v>10</v>
      </c>
      <c r="C668" s="250" t="s">
        <v>590</v>
      </c>
      <c r="D668" s="250" t="s">
        <v>968</v>
      </c>
      <c r="E668" s="251">
        <v>4</v>
      </c>
      <c r="F668" s="252">
        <v>1.8957345971563982E-2</v>
      </c>
      <c r="G668" s="251">
        <v>4</v>
      </c>
    </row>
    <row r="669" spans="2:7">
      <c r="B669" s="256" t="s">
        <v>10</v>
      </c>
      <c r="C669" s="250" t="s">
        <v>590</v>
      </c>
      <c r="D669" s="250" t="s">
        <v>969</v>
      </c>
      <c r="E669" s="251">
        <v>4</v>
      </c>
      <c r="F669" s="252">
        <v>1.8957345971563982E-2</v>
      </c>
      <c r="G669" s="251">
        <v>4</v>
      </c>
    </row>
    <row r="670" spans="2:7">
      <c r="B670" s="256" t="s">
        <v>10</v>
      </c>
      <c r="C670" s="250" t="s">
        <v>590</v>
      </c>
      <c r="D670" s="250" t="s">
        <v>14</v>
      </c>
      <c r="E670" s="251">
        <v>11</v>
      </c>
      <c r="F670" s="252">
        <v>5.2132701421800945E-2</v>
      </c>
      <c r="G670" s="251">
        <v>11</v>
      </c>
    </row>
    <row r="671" spans="2:7">
      <c r="B671" s="256" t="s">
        <v>10</v>
      </c>
      <c r="C671" s="250" t="s">
        <v>590</v>
      </c>
      <c r="D671" s="250" t="s">
        <v>18</v>
      </c>
      <c r="E671" s="251">
        <v>27</v>
      </c>
      <c r="F671" s="252">
        <v>0.12796208530805686</v>
      </c>
      <c r="G671" s="251">
        <v>25</v>
      </c>
    </row>
    <row r="672" spans="2:7">
      <c r="B672" s="256" t="s">
        <v>10</v>
      </c>
      <c r="C672" s="250" t="s">
        <v>970</v>
      </c>
      <c r="D672" s="250"/>
      <c r="E672" s="251">
        <v>211</v>
      </c>
      <c r="F672" s="252">
        <v>1</v>
      </c>
      <c r="G672" s="251">
        <v>164</v>
      </c>
    </row>
    <row r="673" spans="2:7">
      <c r="B673" s="256" t="s">
        <v>10</v>
      </c>
      <c r="C673" s="250" t="s">
        <v>591</v>
      </c>
      <c r="D673" s="250" t="s">
        <v>971</v>
      </c>
      <c r="E673" s="251">
        <v>6</v>
      </c>
      <c r="F673" s="252">
        <v>0.15789473684210525</v>
      </c>
      <c r="G673" s="251">
        <v>6</v>
      </c>
    </row>
    <row r="674" spans="2:7">
      <c r="B674" s="256" t="s">
        <v>10</v>
      </c>
      <c r="C674" s="250" t="s">
        <v>591</v>
      </c>
      <c r="D674" s="250" t="s">
        <v>972</v>
      </c>
      <c r="E674" s="251">
        <v>5</v>
      </c>
      <c r="F674" s="252">
        <v>0.13157894736842105</v>
      </c>
      <c r="G674" s="251">
        <v>5</v>
      </c>
    </row>
    <row r="675" spans="2:7">
      <c r="B675" s="256" t="s">
        <v>10</v>
      </c>
      <c r="C675" s="250" t="s">
        <v>591</v>
      </c>
      <c r="D675" s="250" t="s">
        <v>973</v>
      </c>
      <c r="E675" s="251">
        <v>3</v>
      </c>
      <c r="F675" s="252">
        <v>7.8947368421052627E-2</v>
      </c>
      <c r="G675" s="251">
        <v>3</v>
      </c>
    </row>
    <row r="676" spans="2:7">
      <c r="B676" s="256" t="s">
        <v>10</v>
      </c>
      <c r="C676" s="250" t="s">
        <v>591</v>
      </c>
      <c r="D676" s="250" t="s">
        <v>974</v>
      </c>
      <c r="E676" s="251">
        <v>3</v>
      </c>
      <c r="F676" s="252">
        <v>7.8947368421052627E-2</v>
      </c>
      <c r="G676" s="251">
        <v>3</v>
      </c>
    </row>
    <row r="677" spans="2:7">
      <c r="B677" s="256" t="s">
        <v>10</v>
      </c>
      <c r="C677" s="250" t="s">
        <v>591</v>
      </c>
      <c r="D677" s="250" t="s">
        <v>975</v>
      </c>
      <c r="E677" s="251">
        <v>1</v>
      </c>
      <c r="F677" s="252">
        <v>2.6315789473684209E-2</v>
      </c>
      <c r="G677" s="251">
        <v>1</v>
      </c>
    </row>
    <row r="678" spans="2:7">
      <c r="B678" s="256" t="s">
        <v>10</v>
      </c>
      <c r="C678" s="250" t="s">
        <v>591</v>
      </c>
      <c r="D678" s="250" t="s">
        <v>976</v>
      </c>
      <c r="E678" s="251">
        <v>17</v>
      </c>
      <c r="F678" s="252">
        <v>0.44736842105263158</v>
      </c>
      <c r="G678" s="251">
        <v>16</v>
      </c>
    </row>
    <row r="679" spans="2:7">
      <c r="B679" s="256" t="s">
        <v>10</v>
      </c>
      <c r="C679" s="250" t="s">
        <v>591</v>
      </c>
      <c r="D679" s="250" t="s">
        <v>977</v>
      </c>
      <c r="E679" s="251">
        <v>1</v>
      </c>
      <c r="F679" s="252">
        <v>2.6315789473684209E-2</v>
      </c>
      <c r="G679" s="251">
        <v>1</v>
      </c>
    </row>
    <row r="680" spans="2:7">
      <c r="B680" s="256" t="s">
        <v>10</v>
      </c>
      <c r="C680" s="250" t="s">
        <v>591</v>
      </c>
      <c r="D680" s="250" t="s">
        <v>14</v>
      </c>
      <c r="E680" s="251">
        <v>2</v>
      </c>
      <c r="F680" s="252">
        <v>5.2631578947368418E-2</v>
      </c>
      <c r="G680" s="251">
        <v>2</v>
      </c>
    </row>
    <row r="681" spans="2:7">
      <c r="B681" s="256" t="s">
        <v>10</v>
      </c>
      <c r="C681" s="250" t="s">
        <v>978</v>
      </c>
      <c r="D681" s="250"/>
      <c r="E681" s="251">
        <v>38</v>
      </c>
      <c r="F681" s="252">
        <v>1</v>
      </c>
      <c r="G681" s="251">
        <v>30</v>
      </c>
    </row>
    <row r="682" spans="2:7">
      <c r="B682" s="256" t="s">
        <v>10</v>
      </c>
      <c r="C682" s="250" t="s">
        <v>592</v>
      </c>
      <c r="D682" s="250" t="s">
        <v>979</v>
      </c>
      <c r="E682" s="251">
        <v>67</v>
      </c>
      <c r="F682" s="252">
        <v>0.55371900826446285</v>
      </c>
      <c r="G682" s="251">
        <v>64</v>
      </c>
    </row>
    <row r="683" spans="2:7">
      <c r="B683" s="256" t="s">
        <v>10</v>
      </c>
      <c r="C683" s="250" t="s">
        <v>592</v>
      </c>
      <c r="D683" s="250" t="s">
        <v>980</v>
      </c>
      <c r="E683" s="251">
        <v>30</v>
      </c>
      <c r="F683" s="252">
        <v>0.24793388429752067</v>
      </c>
      <c r="G683" s="251">
        <v>30</v>
      </c>
    </row>
    <row r="684" spans="2:7">
      <c r="B684" s="256" t="s">
        <v>10</v>
      </c>
      <c r="C684" s="250" t="s">
        <v>592</v>
      </c>
      <c r="D684" s="250" t="s">
        <v>14</v>
      </c>
      <c r="E684" s="251">
        <v>10</v>
      </c>
      <c r="F684" s="252">
        <v>8.2644628099173556E-2</v>
      </c>
      <c r="G684" s="251">
        <v>10</v>
      </c>
    </row>
    <row r="685" spans="2:7">
      <c r="B685" s="256" t="s">
        <v>10</v>
      </c>
      <c r="C685" s="250" t="s">
        <v>592</v>
      </c>
      <c r="D685" s="250" t="s">
        <v>18</v>
      </c>
      <c r="E685" s="251">
        <v>14</v>
      </c>
      <c r="F685" s="252">
        <v>0.11570247933884298</v>
      </c>
      <c r="G685" s="251">
        <v>12</v>
      </c>
    </row>
    <row r="686" spans="2:7">
      <c r="B686" s="256" t="s">
        <v>10</v>
      </c>
      <c r="C686" s="250" t="s">
        <v>981</v>
      </c>
      <c r="D686" s="250"/>
      <c r="E686" s="251">
        <v>121</v>
      </c>
      <c r="F686" s="252">
        <v>1</v>
      </c>
      <c r="G686" s="251">
        <v>105</v>
      </c>
    </row>
    <row r="687" spans="2:7">
      <c r="B687" s="256" t="s">
        <v>10</v>
      </c>
      <c r="C687" s="250" t="s">
        <v>593</v>
      </c>
      <c r="D687" s="250" t="s">
        <v>982</v>
      </c>
      <c r="E687" s="251">
        <v>11</v>
      </c>
      <c r="F687" s="252">
        <v>0.36666666666666664</v>
      </c>
      <c r="G687" s="251">
        <v>11</v>
      </c>
    </row>
    <row r="688" spans="2:7">
      <c r="B688" s="256" t="s">
        <v>10</v>
      </c>
      <c r="C688" s="250" t="s">
        <v>593</v>
      </c>
      <c r="D688" s="250" t="s">
        <v>983</v>
      </c>
      <c r="E688" s="251">
        <v>3</v>
      </c>
      <c r="F688" s="252">
        <v>0.1</v>
      </c>
      <c r="G688" s="251">
        <v>3</v>
      </c>
    </row>
    <row r="689" spans="2:7">
      <c r="B689" s="256" t="s">
        <v>10</v>
      </c>
      <c r="C689" s="250" t="s">
        <v>593</v>
      </c>
      <c r="D689" s="250" t="s">
        <v>984</v>
      </c>
      <c r="E689" s="251">
        <v>2</v>
      </c>
      <c r="F689" s="252">
        <v>6.6666666666666666E-2</v>
      </c>
      <c r="G689" s="251">
        <v>2</v>
      </c>
    </row>
    <row r="690" spans="2:7">
      <c r="B690" s="256" t="s">
        <v>10</v>
      </c>
      <c r="C690" s="250" t="s">
        <v>593</v>
      </c>
      <c r="D690" s="250" t="s">
        <v>14</v>
      </c>
      <c r="E690" s="251">
        <v>1</v>
      </c>
      <c r="F690" s="252">
        <v>3.3333333333333333E-2</v>
      </c>
      <c r="G690" s="251">
        <v>1</v>
      </c>
    </row>
    <row r="691" spans="2:7">
      <c r="B691" s="256" t="s">
        <v>10</v>
      </c>
      <c r="C691" s="250" t="s">
        <v>593</v>
      </c>
      <c r="D691" s="250" t="s">
        <v>18</v>
      </c>
      <c r="E691" s="251">
        <v>13</v>
      </c>
      <c r="F691" s="252">
        <v>0.43333333333333335</v>
      </c>
      <c r="G691" s="251">
        <v>12</v>
      </c>
    </row>
    <row r="692" spans="2:7">
      <c r="B692" s="256" t="s">
        <v>10</v>
      </c>
      <c r="C692" s="250" t="s">
        <v>985</v>
      </c>
      <c r="D692" s="250"/>
      <c r="E692" s="251">
        <v>30</v>
      </c>
      <c r="F692" s="252">
        <v>1</v>
      </c>
      <c r="G692" s="251">
        <v>25</v>
      </c>
    </row>
    <row r="693" spans="2:7">
      <c r="B693" s="256" t="s">
        <v>10</v>
      </c>
      <c r="C693" s="250" t="s">
        <v>307</v>
      </c>
      <c r="D693" s="250" t="s">
        <v>986</v>
      </c>
      <c r="E693" s="251">
        <v>26</v>
      </c>
      <c r="F693" s="252">
        <v>0.20634920634920634</v>
      </c>
      <c r="G693" s="251">
        <v>26</v>
      </c>
    </row>
    <row r="694" spans="2:7">
      <c r="B694" s="256" t="s">
        <v>10</v>
      </c>
      <c r="C694" s="250" t="s">
        <v>307</v>
      </c>
      <c r="D694" s="250" t="s">
        <v>987</v>
      </c>
      <c r="E694" s="251">
        <v>24</v>
      </c>
      <c r="F694" s="252">
        <v>0.19047619047619047</v>
      </c>
      <c r="G694" s="251">
        <v>24</v>
      </c>
    </row>
    <row r="695" spans="2:7">
      <c r="B695" s="256" t="s">
        <v>10</v>
      </c>
      <c r="C695" s="250" t="s">
        <v>307</v>
      </c>
      <c r="D695" s="250" t="s">
        <v>988</v>
      </c>
      <c r="E695" s="251">
        <v>24</v>
      </c>
      <c r="F695" s="252">
        <v>0.19047619047619047</v>
      </c>
      <c r="G695" s="251">
        <v>24</v>
      </c>
    </row>
    <row r="696" spans="2:7">
      <c r="B696" s="256" t="s">
        <v>10</v>
      </c>
      <c r="C696" s="250" t="s">
        <v>307</v>
      </c>
      <c r="D696" s="250" t="s">
        <v>989</v>
      </c>
      <c r="E696" s="251">
        <v>3</v>
      </c>
      <c r="F696" s="252">
        <v>2.3809523809523808E-2</v>
      </c>
      <c r="G696" s="251">
        <v>3</v>
      </c>
    </row>
    <row r="697" spans="2:7">
      <c r="B697" s="256" t="s">
        <v>10</v>
      </c>
      <c r="C697" s="250" t="s">
        <v>307</v>
      </c>
      <c r="D697" s="250" t="s">
        <v>429</v>
      </c>
      <c r="E697" s="251">
        <v>7</v>
      </c>
      <c r="F697" s="252">
        <v>5.5555555555555552E-2</v>
      </c>
      <c r="G697" s="251">
        <v>7</v>
      </c>
    </row>
    <row r="698" spans="2:7">
      <c r="B698" s="256" t="s">
        <v>10</v>
      </c>
      <c r="C698" s="250" t="s">
        <v>307</v>
      </c>
      <c r="D698" s="250" t="s">
        <v>990</v>
      </c>
      <c r="E698" s="251">
        <v>8</v>
      </c>
      <c r="F698" s="252">
        <v>6.3492063492063489E-2</v>
      </c>
      <c r="G698" s="251">
        <v>8</v>
      </c>
    </row>
    <row r="699" spans="2:7">
      <c r="B699" s="256" t="s">
        <v>10</v>
      </c>
      <c r="C699" s="250" t="s">
        <v>307</v>
      </c>
      <c r="D699" s="250" t="s">
        <v>14</v>
      </c>
      <c r="E699" s="251">
        <v>12</v>
      </c>
      <c r="F699" s="252">
        <v>9.5238095238095233E-2</v>
      </c>
      <c r="G699" s="251">
        <v>12</v>
      </c>
    </row>
    <row r="700" spans="2:7">
      <c r="B700" s="256" t="s">
        <v>10</v>
      </c>
      <c r="C700" s="250" t="s">
        <v>307</v>
      </c>
      <c r="D700" s="250" t="s">
        <v>18</v>
      </c>
      <c r="E700" s="251">
        <v>22</v>
      </c>
      <c r="F700" s="252">
        <v>0.17460317460317459</v>
      </c>
      <c r="G700" s="251">
        <v>22</v>
      </c>
    </row>
    <row r="701" spans="2:7">
      <c r="B701" s="256" t="s">
        <v>10</v>
      </c>
      <c r="C701" s="250" t="s">
        <v>315</v>
      </c>
      <c r="D701" s="250"/>
      <c r="E701" s="251">
        <v>126</v>
      </c>
      <c r="F701" s="252">
        <v>1</v>
      </c>
      <c r="G701" s="251">
        <v>101</v>
      </c>
    </row>
    <row r="702" spans="2:7">
      <c r="B702" s="256" t="s">
        <v>10</v>
      </c>
      <c r="C702" s="250" t="s">
        <v>594</v>
      </c>
      <c r="D702" s="250" t="s">
        <v>991</v>
      </c>
      <c r="E702" s="251">
        <v>17</v>
      </c>
      <c r="F702" s="252">
        <v>0.26984126984126983</v>
      </c>
      <c r="G702" s="251">
        <v>17</v>
      </c>
    </row>
    <row r="703" spans="2:7">
      <c r="B703" s="256" t="s">
        <v>10</v>
      </c>
      <c r="C703" s="250" t="s">
        <v>594</v>
      </c>
      <c r="D703" s="250" t="s">
        <v>992</v>
      </c>
      <c r="E703" s="251">
        <v>14</v>
      </c>
      <c r="F703" s="252">
        <v>0.22222222222222221</v>
      </c>
      <c r="G703" s="251">
        <v>14</v>
      </c>
    </row>
    <row r="704" spans="2:7">
      <c r="B704" s="256" t="s">
        <v>10</v>
      </c>
      <c r="C704" s="250" t="s">
        <v>594</v>
      </c>
      <c r="D704" s="250" t="s">
        <v>993</v>
      </c>
      <c r="E704" s="251">
        <v>6</v>
      </c>
      <c r="F704" s="252">
        <v>9.5238095238095233E-2</v>
      </c>
      <c r="G704" s="251">
        <v>6</v>
      </c>
    </row>
    <row r="705" spans="2:7">
      <c r="B705" s="256" t="s">
        <v>10</v>
      </c>
      <c r="C705" s="250" t="s">
        <v>594</v>
      </c>
      <c r="D705" s="250" t="s">
        <v>994</v>
      </c>
      <c r="E705" s="251">
        <v>4</v>
      </c>
      <c r="F705" s="252">
        <v>6.3492063492063489E-2</v>
      </c>
      <c r="G705" s="251">
        <v>3</v>
      </c>
    </row>
    <row r="706" spans="2:7">
      <c r="B706" s="256" t="s">
        <v>10</v>
      </c>
      <c r="C706" s="250" t="s">
        <v>594</v>
      </c>
      <c r="D706" s="250" t="s">
        <v>14</v>
      </c>
      <c r="E706" s="251">
        <v>5</v>
      </c>
      <c r="F706" s="252">
        <v>7.9365079365079361E-2</v>
      </c>
      <c r="G706" s="251">
        <v>5</v>
      </c>
    </row>
    <row r="707" spans="2:7">
      <c r="B707" s="256" t="s">
        <v>10</v>
      </c>
      <c r="C707" s="250" t="s">
        <v>594</v>
      </c>
      <c r="D707" s="250" t="s">
        <v>18</v>
      </c>
      <c r="E707" s="251">
        <v>17</v>
      </c>
      <c r="F707" s="252">
        <v>0.26984126984126983</v>
      </c>
      <c r="G707" s="251">
        <v>17</v>
      </c>
    </row>
    <row r="708" spans="2:7">
      <c r="B708" s="256" t="s">
        <v>10</v>
      </c>
      <c r="C708" s="250" t="s">
        <v>995</v>
      </c>
      <c r="D708" s="250"/>
      <c r="E708" s="251">
        <v>63</v>
      </c>
      <c r="F708" s="252">
        <v>1</v>
      </c>
      <c r="G708" s="251">
        <v>49</v>
      </c>
    </row>
    <row r="709" spans="2:7">
      <c r="B709" s="256" t="s">
        <v>10</v>
      </c>
      <c r="C709" s="250" t="s">
        <v>595</v>
      </c>
      <c r="D709" s="250" t="s">
        <v>727</v>
      </c>
      <c r="E709" s="251">
        <v>3</v>
      </c>
      <c r="F709" s="252">
        <v>0.14285714285714285</v>
      </c>
      <c r="G709" s="251">
        <v>3</v>
      </c>
    </row>
    <row r="710" spans="2:7">
      <c r="B710" s="256" t="s">
        <v>10</v>
      </c>
      <c r="C710" s="250" t="s">
        <v>595</v>
      </c>
      <c r="D710" s="250" t="s">
        <v>996</v>
      </c>
      <c r="E710" s="251">
        <v>1</v>
      </c>
      <c r="F710" s="252">
        <v>4.7619047619047616E-2</v>
      </c>
      <c r="G710" s="251">
        <v>1</v>
      </c>
    </row>
    <row r="711" spans="2:7">
      <c r="B711" s="256" t="s">
        <v>10</v>
      </c>
      <c r="C711" s="250" t="s">
        <v>595</v>
      </c>
      <c r="D711" s="250" t="s">
        <v>997</v>
      </c>
      <c r="E711" s="251">
        <v>3</v>
      </c>
      <c r="F711" s="252">
        <v>0.14285714285714285</v>
      </c>
      <c r="G711" s="251">
        <v>3</v>
      </c>
    </row>
    <row r="712" spans="2:7">
      <c r="B712" s="256" t="s">
        <v>10</v>
      </c>
      <c r="C712" s="250" t="s">
        <v>595</v>
      </c>
      <c r="D712" s="250" t="s">
        <v>998</v>
      </c>
      <c r="E712" s="251">
        <v>3</v>
      </c>
      <c r="F712" s="252">
        <v>0.14285714285714285</v>
      </c>
      <c r="G712" s="251">
        <v>3</v>
      </c>
    </row>
    <row r="713" spans="2:7">
      <c r="B713" s="256" t="s">
        <v>10</v>
      </c>
      <c r="C713" s="250" t="s">
        <v>595</v>
      </c>
      <c r="D713" s="250" t="s">
        <v>990</v>
      </c>
      <c r="E713" s="251">
        <v>2</v>
      </c>
      <c r="F713" s="252">
        <v>9.5238095238095233E-2</v>
      </c>
      <c r="G713" s="251">
        <v>2</v>
      </c>
    </row>
    <row r="714" spans="2:7">
      <c r="B714" s="256" t="s">
        <v>10</v>
      </c>
      <c r="C714" s="250" t="s">
        <v>595</v>
      </c>
      <c r="D714" s="250" t="s">
        <v>999</v>
      </c>
      <c r="E714" s="251">
        <v>2</v>
      </c>
      <c r="F714" s="252">
        <v>9.5238095238095233E-2</v>
      </c>
      <c r="G714" s="251">
        <v>2</v>
      </c>
    </row>
    <row r="715" spans="2:7">
      <c r="B715" s="256" t="s">
        <v>10</v>
      </c>
      <c r="C715" s="250" t="s">
        <v>595</v>
      </c>
      <c r="D715" s="250" t="s">
        <v>1000</v>
      </c>
      <c r="E715" s="251">
        <v>1</v>
      </c>
      <c r="F715" s="252">
        <v>4.7619047619047616E-2</v>
      </c>
      <c r="G715" s="251">
        <v>1</v>
      </c>
    </row>
    <row r="716" spans="2:7">
      <c r="B716" s="256" t="s">
        <v>10</v>
      </c>
      <c r="C716" s="250" t="s">
        <v>595</v>
      </c>
      <c r="D716" s="250" t="s">
        <v>14</v>
      </c>
      <c r="E716" s="251">
        <v>3</v>
      </c>
      <c r="F716" s="252">
        <v>0.14285714285714285</v>
      </c>
      <c r="G716" s="251">
        <v>3</v>
      </c>
    </row>
    <row r="717" spans="2:7">
      <c r="B717" s="256" t="s">
        <v>10</v>
      </c>
      <c r="C717" s="250" t="s">
        <v>595</v>
      </c>
      <c r="D717" s="250" t="s">
        <v>1001</v>
      </c>
      <c r="E717" s="251">
        <v>1</v>
      </c>
      <c r="F717" s="252">
        <v>4.7619047619047616E-2</v>
      </c>
      <c r="G717" s="251">
        <v>1</v>
      </c>
    </row>
    <row r="718" spans="2:7">
      <c r="B718" s="256" t="s">
        <v>10</v>
      </c>
      <c r="C718" s="250" t="s">
        <v>595</v>
      </c>
      <c r="D718" s="250" t="s">
        <v>18</v>
      </c>
      <c r="E718" s="251">
        <v>2</v>
      </c>
      <c r="F718" s="252">
        <v>9.5238095238095233E-2</v>
      </c>
      <c r="G718" s="251">
        <v>2</v>
      </c>
    </row>
    <row r="719" spans="2:7">
      <c r="B719" s="256" t="s">
        <v>10</v>
      </c>
      <c r="C719" s="250" t="s">
        <v>1002</v>
      </c>
      <c r="D719" s="250"/>
      <c r="E719" s="251">
        <v>21</v>
      </c>
      <c r="F719" s="252">
        <v>1</v>
      </c>
      <c r="G719" s="251">
        <v>18</v>
      </c>
    </row>
    <row r="720" spans="2:7">
      <c r="B720" s="256" t="s">
        <v>10</v>
      </c>
      <c r="C720" s="250" t="s">
        <v>596</v>
      </c>
      <c r="D720" s="250" t="s">
        <v>1003</v>
      </c>
      <c r="E720" s="251">
        <v>3</v>
      </c>
      <c r="F720" s="252">
        <v>0.6</v>
      </c>
      <c r="G720" s="251">
        <v>3</v>
      </c>
    </row>
    <row r="721" spans="2:7">
      <c r="B721" s="256" t="s">
        <v>10</v>
      </c>
      <c r="C721" s="250" t="s">
        <v>596</v>
      </c>
      <c r="D721" s="250" t="s">
        <v>1004</v>
      </c>
      <c r="E721" s="251">
        <v>1</v>
      </c>
      <c r="F721" s="252">
        <v>0.2</v>
      </c>
      <c r="G721" s="251">
        <v>1</v>
      </c>
    </row>
    <row r="722" spans="2:7">
      <c r="B722" s="256" t="s">
        <v>10</v>
      </c>
      <c r="C722" s="250" t="s">
        <v>596</v>
      </c>
      <c r="D722" s="250" t="s">
        <v>18</v>
      </c>
      <c r="E722" s="251">
        <v>1</v>
      </c>
      <c r="F722" s="252">
        <v>0.2</v>
      </c>
      <c r="G722" s="251">
        <v>1</v>
      </c>
    </row>
    <row r="723" spans="2:7">
      <c r="B723" s="256" t="s">
        <v>10</v>
      </c>
      <c r="C723" s="250" t="s">
        <v>1005</v>
      </c>
      <c r="D723" s="250"/>
      <c r="E723" s="251">
        <v>5</v>
      </c>
      <c r="F723" s="252">
        <v>1</v>
      </c>
      <c r="G723" s="251">
        <v>5</v>
      </c>
    </row>
    <row r="724" spans="2:7">
      <c r="B724" s="256" t="s">
        <v>10</v>
      </c>
      <c r="C724" s="250" t="s">
        <v>306</v>
      </c>
      <c r="D724" s="250" t="s">
        <v>1006</v>
      </c>
      <c r="E724" s="251">
        <v>1</v>
      </c>
      <c r="F724" s="252">
        <v>3.3333333333333333E-2</v>
      </c>
      <c r="G724" s="251">
        <v>1</v>
      </c>
    </row>
    <row r="725" spans="2:7">
      <c r="B725" s="256" t="s">
        <v>10</v>
      </c>
      <c r="C725" s="250" t="s">
        <v>306</v>
      </c>
      <c r="D725" s="250" t="s">
        <v>1007</v>
      </c>
      <c r="E725" s="251">
        <v>3</v>
      </c>
      <c r="F725" s="252">
        <v>0.1</v>
      </c>
      <c r="G725" s="251">
        <v>3</v>
      </c>
    </row>
    <row r="726" spans="2:7">
      <c r="B726" s="256" t="s">
        <v>10</v>
      </c>
      <c r="C726" s="250" t="s">
        <v>306</v>
      </c>
      <c r="D726" s="250" t="s">
        <v>1008</v>
      </c>
      <c r="E726" s="251">
        <v>3</v>
      </c>
      <c r="F726" s="252">
        <v>0.1</v>
      </c>
      <c r="G726" s="251">
        <v>3</v>
      </c>
    </row>
    <row r="727" spans="2:7">
      <c r="B727" s="256" t="s">
        <v>10</v>
      </c>
      <c r="C727" s="250" t="s">
        <v>306</v>
      </c>
      <c r="D727" s="250" t="s">
        <v>1009</v>
      </c>
      <c r="E727" s="251">
        <v>5</v>
      </c>
      <c r="F727" s="252">
        <v>0.16666666666666666</v>
      </c>
      <c r="G727" s="251">
        <v>5</v>
      </c>
    </row>
    <row r="728" spans="2:7">
      <c r="B728" s="256" t="s">
        <v>10</v>
      </c>
      <c r="C728" s="250" t="s">
        <v>306</v>
      </c>
      <c r="D728" s="250" t="s">
        <v>1010</v>
      </c>
      <c r="E728" s="251">
        <v>1</v>
      </c>
      <c r="F728" s="252">
        <v>3.3333333333333333E-2</v>
      </c>
      <c r="G728" s="251">
        <v>1</v>
      </c>
    </row>
    <row r="729" spans="2:7">
      <c r="B729" s="256" t="s">
        <v>10</v>
      </c>
      <c r="C729" s="250" t="s">
        <v>306</v>
      </c>
      <c r="D729" s="250" t="s">
        <v>1011</v>
      </c>
      <c r="E729" s="251">
        <v>1</v>
      </c>
      <c r="F729" s="252">
        <v>3.3333333333333333E-2</v>
      </c>
      <c r="G729" s="251">
        <v>1</v>
      </c>
    </row>
    <row r="730" spans="2:7">
      <c r="B730" s="256" t="s">
        <v>10</v>
      </c>
      <c r="C730" s="250" t="s">
        <v>306</v>
      </c>
      <c r="D730" s="250" t="s">
        <v>14</v>
      </c>
      <c r="E730" s="251">
        <v>4</v>
      </c>
      <c r="F730" s="252">
        <v>0.13333333333333333</v>
      </c>
      <c r="G730" s="251">
        <v>4</v>
      </c>
    </row>
    <row r="731" spans="2:7">
      <c r="B731" s="256" t="s">
        <v>10</v>
      </c>
      <c r="C731" s="250" t="s">
        <v>306</v>
      </c>
      <c r="D731" s="250" t="s">
        <v>18</v>
      </c>
      <c r="E731" s="251">
        <v>12</v>
      </c>
      <c r="F731" s="252">
        <v>0.4</v>
      </c>
      <c r="G731" s="251">
        <v>12</v>
      </c>
    </row>
    <row r="732" spans="2:7">
      <c r="B732" s="256" t="s">
        <v>10</v>
      </c>
      <c r="C732" s="250" t="s">
        <v>314</v>
      </c>
      <c r="D732" s="250"/>
      <c r="E732" s="251">
        <v>30</v>
      </c>
      <c r="F732" s="252">
        <v>1</v>
      </c>
      <c r="G732" s="251">
        <v>29</v>
      </c>
    </row>
    <row r="733" spans="2:7">
      <c r="B733" s="256" t="s">
        <v>10</v>
      </c>
      <c r="C733" s="250" t="s">
        <v>14</v>
      </c>
      <c r="D733" s="250" t="s">
        <v>14</v>
      </c>
      <c r="E733" s="251">
        <v>161</v>
      </c>
      <c r="F733" s="252">
        <v>1</v>
      </c>
      <c r="G733" s="251">
        <v>1</v>
      </c>
    </row>
    <row r="734" spans="2:7">
      <c r="B734" s="256" t="s">
        <v>10</v>
      </c>
      <c r="C734" s="250" t="s">
        <v>265</v>
      </c>
      <c r="D734" s="250"/>
      <c r="E734" s="251">
        <v>161</v>
      </c>
      <c r="F734" s="252">
        <v>1</v>
      </c>
      <c r="G734" s="251">
        <v>1</v>
      </c>
    </row>
    <row r="735" spans="2:7">
      <c r="B735" s="256" t="s">
        <v>262</v>
      </c>
      <c r="C735" s="257"/>
      <c r="D735" s="257"/>
      <c r="E735" s="251">
        <v>948</v>
      </c>
      <c r="F735" s="252"/>
      <c r="G735" s="251">
        <v>481</v>
      </c>
    </row>
    <row r="736" spans="2:7">
      <c r="B736" s="256" t="s">
        <v>597</v>
      </c>
      <c r="C736" s="250" t="s">
        <v>598</v>
      </c>
      <c r="D736" s="250" t="s">
        <v>1012</v>
      </c>
      <c r="E736" s="251">
        <v>6</v>
      </c>
      <c r="F736" s="252">
        <v>0.33333333333333331</v>
      </c>
      <c r="G736" s="251">
        <v>4</v>
      </c>
    </row>
    <row r="737" spans="2:7">
      <c r="B737" s="256" t="s">
        <v>597</v>
      </c>
      <c r="C737" s="250" t="s">
        <v>598</v>
      </c>
      <c r="D737" s="250" t="s">
        <v>1013</v>
      </c>
      <c r="E737" s="251">
        <v>2</v>
      </c>
      <c r="F737" s="252">
        <v>0.1111111111111111</v>
      </c>
      <c r="G737" s="251">
        <v>2</v>
      </c>
    </row>
    <row r="738" spans="2:7">
      <c r="B738" s="256" t="s">
        <v>597</v>
      </c>
      <c r="C738" s="250" t="s">
        <v>598</v>
      </c>
      <c r="D738" s="250" t="s">
        <v>426</v>
      </c>
      <c r="E738" s="251">
        <v>1</v>
      </c>
      <c r="F738" s="252">
        <v>5.5555555555555552E-2</v>
      </c>
      <c r="G738" s="251">
        <v>1</v>
      </c>
    </row>
    <row r="739" spans="2:7">
      <c r="B739" s="256" t="s">
        <v>597</v>
      </c>
      <c r="C739" s="250" t="s">
        <v>598</v>
      </c>
      <c r="D739" s="250" t="s">
        <v>1014</v>
      </c>
      <c r="E739" s="251">
        <v>3</v>
      </c>
      <c r="F739" s="252">
        <v>0.16666666666666666</v>
      </c>
      <c r="G739" s="251">
        <v>3</v>
      </c>
    </row>
    <row r="740" spans="2:7">
      <c r="B740" s="256" t="s">
        <v>597</v>
      </c>
      <c r="C740" s="250" t="s">
        <v>598</v>
      </c>
      <c r="D740" s="250" t="s">
        <v>1015</v>
      </c>
      <c r="E740" s="251">
        <v>1</v>
      </c>
      <c r="F740" s="252">
        <v>5.5555555555555552E-2</v>
      </c>
      <c r="G740" s="251">
        <v>1</v>
      </c>
    </row>
    <row r="741" spans="2:7">
      <c r="B741" s="256" t="s">
        <v>597</v>
      </c>
      <c r="C741" s="250" t="s">
        <v>598</v>
      </c>
      <c r="D741" s="250" t="s">
        <v>465</v>
      </c>
      <c r="E741" s="251">
        <v>2</v>
      </c>
      <c r="F741" s="252">
        <v>0.1111111111111111</v>
      </c>
      <c r="G741" s="251">
        <v>2</v>
      </c>
    </row>
    <row r="742" spans="2:7">
      <c r="B742" s="256" t="s">
        <v>597</v>
      </c>
      <c r="C742" s="250" t="s">
        <v>598</v>
      </c>
      <c r="D742" s="250" t="s">
        <v>18</v>
      </c>
      <c r="E742" s="251">
        <v>3</v>
      </c>
      <c r="F742" s="252">
        <v>0.16666666666666666</v>
      </c>
      <c r="G742" s="251">
        <v>3</v>
      </c>
    </row>
    <row r="743" spans="2:7">
      <c r="B743" s="256" t="s">
        <v>597</v>
      </c>
      <c r="C743" s="250" t="s">
        <v>1016</v>
      </c>
      <c r="D743" s="250"/>
      <c r="E743" s="251">
        <v>18</v>
      </c>
      <c r="F743" s="252">
        <v>1</v>
      </c>
      <c r="G743" s="251">
        <v>15</v>
      </c>
    </row>
    <row r="744" spans="2:7">
      <c r="B744" s="256" t="s">
        <v>597</v>
      </c>
      <c r="C744" s="250" t="s">
        <v>599</v>
      </c>
      <c r="D744" s="250" t="s">
        <v>1014</v>
      </c>
      <c r="E744" s="251">
        <v>1</v>
      </c>
      <c r="F744" s="252">
        <v>0.5</v>
      </c>
      <c r="G744" s="251">
        <v>1</v>
      </c>
    </row>
    <row r="745" spans="2:7">
      <c r="B745" s="256" t="s">
        <v>597</v>
      </c>
      <c r="C745" s="250" t="s">
        <v>599</v>
      </c>
      <c r="D745" s="250" t="s">
        <v>1017</v>
      </c>
      <c r="E745" s="251">
        <v>1</v>
      </c>
      <c r="F745" s="252">
        <v>0.5</v>
      </c>
      <c r="G745" s="251">
        <v>1</v>
      </c>
    </row>
    <row r="746" spans="2:7">
      <c r="B746" s="256" t="s">
        <v>597</v>
      </c>
      <c r="C746" s="250" t="s">
        <v>1018</v>
      </c>
      <c r="D746" s="250"/>
      <c r="E746" s="251">
        <v>2</v>
      </c>
      <c r="F746" s="252">
        <v>1</v>
      </c>
      <c r="G746" s="251">
        <v>2</v>
      </c>
    </row>
    <row r="747" spans="2:7">
      <c r="B747" s="256" t="s">
        <v>597</v>
      </c>
      <c r="C747" s="250" t="s">
        <v>600</v>
      </c>
      <c r="D747" s="250" t="s">
        <v>1014</v>
      </c>
      <c r="E747" s="251">
        <v>2</v>
      </c>
      <c r="F747" s="252">
        <v>0.2</v>
      </c>
      <c r="G747" s="251">
        <v>2</v>
      </c>
    </row>
    <row r="748" spans="2:7">
      <c r="B748" s="256" t="s">
        <v>597</v>
      </c>
      <c r="C748" s="250" t="s">
        <v>600</v>
      </c>
      <c r="D748" s="250" t="s">
        <v>1019</v>
      </c>
      <c r="E748" s="251">
        <v>3</v>
      </c>
      <c r="F748" s="252">
        <v>0.3</v>
      </c>
      <c r="G748" s="251">
        <v>3</v>
      </c>
    </row>
    <row r="749" spans="2:7">
      <c r="B749" s="256" t="s">
        <v>597</v>
      </c>
      <c r="C749" s="250" t="s">
        <v>600</v>
      </c>
      <c r="D749" s="250" t="s">
        <v>1020</v>
      </c>
      <c r="E749" s="251">
        <v>2</v>
      </c>
      <c r="F749" s="252">
        <v>0.2</v>
      </c>
      <c r="G749" s="251">
        <v>2</v>
      </c>
    </row>
    <row r="750" spans="2:7">
      <c r="B750" s="256" t="s">
        <v>597</v>
      </c>
      <c r="C750" s="250" t="s">
        <v>600</v>
      </c>
      <c r="D750" s="250" t="s">
        <v>14</v>
      </c>
      <c r="E750" s="251">
        <v>1</v>
      </c>
      <c r="F750" s="252">
        <v>0.1</v>
      </c>
      <c r="G750" s="251">
        <v>1</v>
      </c>
    </row>
    <row r="751" spans="2:7">
      <c r="B751" s="256" t="s">
        <v>597</v>
      </c>
      <c r="C751" s="250" t="s">
        <v>600</v>
      </c>
      <c r="D751" s="250" t="s">
        <v>18</v>
      </c>
      <c r="E751" s="251">
        <v>2</v>
      </c>
      <c r="F751" s="252">
        <v>0.2</v>
      </c>
      <c r="G751" s="251">
        <v>2</v>
      </c>
    </row>
    <row r="752" spans="2:7">
      <c r="B752" s="256" t="s">
        <v>597</v>
      </c>
      <c r="C752" s="250" t="s">
        <v>1021</v>
      </c>
      <c r="D752" s="250"/>
      <c r="E752" s="251">
        <v>10</v>
      </c>
      <c r="F752" s="252">
        <v>1</v>
      </c>
      <c r="G752" s="251">
        <v>10</v>
      </c>
    </row>
    <row r="753" spans="2:7">
      <c r="B753" s="256" t="s">
        <v>597</v>
      </c>
      <c r="C753" s="250" t="s">
        <v>601</v>
      </c>
      <c r="D753" s="250" t="s">
        <v>1022</v>
      </c>
      <c r="E753" s="251">
        <v>1</v>
      </c>
      <c r="F753" s="252">
        <v>0.33333333333333331</v>
      </c>
      <c r="G753" s="251">
        <v>1</v>
      </c>
    </row>
    <row r="754" spans="2:7">
      <c r="B754" s="256" t="s">
        <v>597</v>
      </c>
      <c r="C754" s="250" t="s">
        <v>601</v>
      </c>
      <c r="D754" s="250" t="s">
        <v>18</v>
      </c>
      <c r="E754" s="251">
        <v>2</v>
      </c>
      <c r="F754" s="252">
        <v>0.66666666666666663</v>
      </c>
      <c r="G754" s="251">
        <v>2</v>
      </c>
    </row>
    <row r="755" spans="2:7">
      <c r="B755" s="256" t="s">
        <v>597</v>
      </c>
      <c r="C755" s="250" t="s">
        <v>1023</v>
      </c>
      <c r="D755" s="250"/>
      <c r="E755" s="251">
        <v>3</v>
      </c>
      <c r="F755" s="252">
        <v>1</v>
      </c>
      <c r="G755" s="251">
        <v>3</v>
      </c>
    </row>
    <row r="756" spans="2:7">
      <c r="B756" s="256" t="s">
        <v>597</v>
      </c>
      <c r="C756" s="250" t="s">
        <v>602</v>
      </c>
      <c r="D756" s="250" t="s">
        <v>1024</v>
      </c>
      <c r="E756" s="251">
        <v>2</v>
      </c>
      <c r="F756" s="252">
        <v>0.11764705882352941</v>
      </c>
      <c r="G756" s="251">
        <v>2</v>
      </c>
    </row>
    <row r="757" spans="2:7">
      <c r="B757" s="256" t="s">
        <v>597</v>
      </c>
      <c r="C757" s="250" t="s">
        <v>602</v>
      </c>
      <c r="D757" s="250" t="s">
        <v>426</v>
      </c>
      <c r="E757" s="251">
        <v>2</v>
      </c>
      <c r="F757" s="252">
        <v>0.11764705882352941</v>
      </c>
      <c r="G757" s="251">
        <v>2</v>
      </c>
    </row>
    <row r="758" spans="2:7">
      <c r="B758" s="256" t="s">
        <v>597</v>
      </c>
      <c r="C758" s="250" t="s">
        <v>602</v>
      </c>
      <c r="D758" s="250" t="s">
        <v>1025</v>
      </c>
      <c r="E758" s="251">
        <v>1</v>
      </c>
      <c r="F758" s="252">
        <v>5.8823529411764705E-2</v>
      </c>
      <c r="G758" s="251">
        <v>1</v>
      </c>
    </row>
    <row r="759" spans="2:7">
      <c r="B759" s="256" t="s">
        <v>597</v>
      </c>
      <c r="C759" s="250" t="s">
        <v>602</v>
      </c>
      <c r="D759" s="250" t="s">
        <v>465</v>
      </c>
      <c r="E759" s="251">
        <v>8</v>
      </c>
      <c r="F759" s="252">
        <v>0.47058823529411764</v>
      </c>
      <c r="G759" s="251">
        <v>6</v>
      </c>
    </row>
    <row r="760" spans="2:7">
      <c r="B760" s="256" t="s">
        <v>597</v>
      </c>
      <c r="C760" s="250" t="s">
        <v>602</v>
      </c>
      <c r="D760" s="250" t="s">
        <v>18</v>
      </c>
      <c r="E760" s="251">
        <v>4</v>
      </c>
      <c r="F760" s="252">
        <v>0.23529411764705882</v>
      </c>
      <c r="G760" s="251">
        <v>4</v>
      </c>
    </row>
    <row r="761" spans="2:7">
      <c r="B761" s="256" t="s">
        <v>597</v>
      </c>
      <c r="C761" s="250" t="s">
        <v>1026</v>
      </c>
      <c r="D761" s="250"/>
      <c r="E761" s="251">
        <v>17</v>
      </c>
      <c r="F761" s="252">
        <v>1</v>
      </c>
      <c r="G761" s="251">
        <v>10</v>
      </c>
    </row>
    <row r="762" spans="2:7">
      <c r="B762" s="256" t="s">
        <v>597</v>
      </c>
      <c r="C762" s="250" t="s">
        <v>603</v>
      </c>
      <c r="D762" s="250" t="s">
        <v>426</v>
      </c>
      <c r="E762" s="251">
        <v>3</v>
      </c>
      <c r="F762" s="252">
        <v>0.75</v>
      </c>
      <c r="G762" s="251">
        <v>2</v>
      </c>
    </row>
    <row r="763" spans="2:7">
      <c r="B763" s="256" t="s">
        <v>597</v>
      </c>
      <c r="C763" s="250" t="s">
        <v>603</v>
      </c>
      <c r="D763" s="250" t="s">
        <v>1025</v>
      </c>
      <c r="E763" s="251">
        <v>1</v>
      </c>
      <c r="F763" s="252">
        <v>0.25</v>
      </c>
      <c r="G763" s="251">
        <v>1</v>
      </c>
    </row>
    <row r="764" spans="2:7">
      <c r="B764" s="256" t="s">
        <v>597</v>
      </c>
      <c r="C764" s="250" t="s">
        <v>1027</v>
      </c>
      <c r="D764" s="250"/>
      <c r="E764" s="251">
        <v>4</v>
      </c>
      <c r="F764" s="252">
        <v>1</v>
      </c>
      <c r="G764" s="251">
        <v>2</v>
      </c>
    </row>
    <row r="765" spans="2:7">
      <c r="B765" s="256" t="s">
        <v>597</v>
      </c>
      <c r="C765" s="250" t="s">
        <v>604</v>
      </c>
      <c r="D765" s="250" t="s">
        <v>426</v>
      </c>
      <c r="E765" s="251">
        <v>1</v>
      </c>
      <c r="F765" s="252">
        <v>0.25</v>
      </c>
      <c r="G765" s="251">
        <v>1</v>
      </c>
    </row>
    <row r="766" spans="2:7">
      <c r="B766" s="256" t="s">
        <v>597</v>
      </c>
      <c r="C766" s="250" t="s">
        <v>604</v>
      </c>
      <c r="D766" s="250" t="s">
        <v>14</v>
      </c>
      <c r="E766" s="251">
        <v>1</v>
      </c>
      <c r="F766" s="252">
        <v>0.25</v>
      </c>
      <c r="G766" s="251">
        <v>1</v>
      </c>
    </row>
    <row r="767" spans="2:7">
      <c r="B767" s="256" t="s">
        <v>597</v>
      </c>
      <c r="C767" s="250" t="s">
        <v>604</v>
      </c>
      <c r="D767" s="250" t="s">
        <v>18</v>
      </c>
      <c r="E767" s="251">
        <v>2</v>
      </c>
      <c r="F767" s="252">
        <v>0.5</v>
      </c>
      <c r="G767" s="251">
        <v>2</v>
      </c>
    </row>
    <row r="768" spans="2:7">
      <c r="B768" s="256" t="s">
        <v>597</v>
      </c>
      <c r="C768" s="250" t="s">
        <v>1028</v>
      </c>
      <c r="D768" s="250"/>
      <c r="E768" s="251">
        <v>4</v>
      </c>
      <c r="F768" s="252">
        <v>1</v>
      </c>
      <c r="G768" s="251">
        <v>4</v>
      </c>
    </row>
    <row r="769" spans="2:7">
      <c r="B769" s="256" t="s">
        <v>597</v>
      </c>
      <c r="C769" s="250" t="s">
        <v>605</v>
      </c>
      <c r="D769" s="250" t="s">
        <v>426</v>
      </c>
      <c r="E769" s="251">
        <v>1</v>
      </c>
      <c r="F769" s="252">
        <v>0.16666666666666666</v>
      </c>
      <c r="G769" s="251">
        <v>1</v>
      </c>
    </row>
    <row r="770" spans="2:7">
      <c r="B770" s="256" t="s">
        <v>597</v>
      </c>
      <c r="C770" s="250" t="s">
        <v>605</v>
      </c>
      <c r="D770" s="250" t="s">
        <v>1025</v>
      </c>
      <c r="E770" s="251">
        <v>1</v>
      </c>
      <c r="F770" s="252">
        <v>0.16666666666666666</v>
      </c>
      <c r="G770" s="251">
        <v>1</v>
      </c>
    </row>
    <row r="771" spans="2:7">
      <c r="B771" s="256" t="s">
        <v>597</v>
      </c>
      <c r="C771" s="250" t="s">
        <v>605</v>
      </c>
      <c r="D771" s="250" t="s">
        <v>465</v>
      </c>
      <c r="E771" s="251">
        <v>1</v>
      </c>
      <c r="F771" s="252">
        <v>0.16666666666666666</v>
      </c>
      <c r="G771" s="251">
        <v>1</v>
      </c>
    </row>
    <row r="772" spans="2:7">
      <c r="B772" s="256" t="s">
        <v>597</v>
      </c>
      <c r="C772" s="250" t="s">
        <v>605</v>
      </c>
      <c r="D772" s="250" t="s">
        <v>18</v>
      </c>
      <c r="E772" s="251">
        <v>3</v>
      </c>
      <c r="F772" s="252">
        <v>0.5</v>
      </c>
      <c r="G772" s="251">
        <v>3</v>
      </c>
    </row>
    <row r="773" spans="2:7">
      <c r="B773" s="256" t="s">
        <v>597</v>
      </c>
      <c r="C773" s="250" t="s">
        <v>1029</v>
      </c>
      <c r="D773" s="250"/>
      <c r="E773" s="251">
        <v>6</v>
      </c>
      <c r="F773" s="252">
        <v>1</v>
      </c>
      <c r="G773" s="251">
        <v>3</v>
      </c>
    </row>
    <row r="774" spans="2:7">
      <c r="B774" s="256" t="s">
        <v>597</v>
      </c>
      <c r="C774" s="250" t="s">
        <v>606</v>
      </c>
      <c r="D774" s="250" t="s">
        <v>426</v>
      </c>
      <c r="E774" s="251">
        <v>2</v>
      </c>
      <c r="F774" s="252">
        <v>0.66666666666666663</v>
      </c>
      <c r="G774" s="251">
        <v>2</v>
      </c>
    </row>
    <row r="775" spans="2:7">
      <c r="B775" s="256" t="s">
        <v>597</v>
      </c>
      <c r="C775" s="250" t="s">
        <v>606</v>
      </c>
      <c r="D775" s="250" t="s">
        <v>18</v>
      </c>
      <c r="E775" s="251">
        <v>1</v>
      </c>
      <c r="F775" s="252">
        <v>0.33333333333333331</v>
      </c>
      <c r="G775" s="251">
        <v>1</v>
      </c>
    </row>
    <row r="776" spans="2:7">
      <c r="B776" s="256" t="s">
        <v>597</v>
      </c>
      <c r="C776" s="250" t="s">
        <v>1030</v>
      </c>
      <c r="D776" s="250"/>
      <c r="E776" s="251">
        <v>3</v>
      </c>
      <c r="F776" s="252">
        <v>1</v>
      </c>
      <c r="G776" s="251">
        <v>3</v>
      </c>
    </row>
    <row r="777" spans="2:7">
      <c r="B777" s="256" t="s">
        <v>597</v>
      </c>
      <c r="C777" s="250" t="s">
        <v>607</v>
      </c>
      <c r="D777" s="250" t="s">
        <v>1031</v>
      </c>
      <c r="E777" s="251">
        <v>1</v>
      </c>
      <c r="F777" s="252">
        <v>0.16666666666666666</v>
      </c>
      <c r="G777" s="251">
        <v>1</v>
      </c>
    </row>
    <row r="778" spans="2:7">
      <c r="B778" s="256" t="s">
        <v>597</v>
      </c>
      <c r="C778" s="250" t="s">
        <v>607</v>
      </c>
      <c r="D778" s="250" t="s">
        <v>1032</v>
      </c>
      <c r="E778" s="251">
        <v>2</v>
      </c>
      <c r="F778" s="252">
        <v>0.33333333333333331</v>
      </c>
      <c r="G778" s="251">
        <v>2</v>
      </c>
    </row>
    <row r="779" spans="2:7">
      <c r="B779" s="256" t="s">
        <v>597</v>
      </c>
      <c r="C779" s="250" t="s">
        <v>607</v>
      </c>
      <c r="D779" s="250" t="s">
        <v>1033</v>
      </c>
      <c r="E779" s="251">
        <v>3</v>
      </c>
      <c r="F779" s="252">
        <v>0.5</v>
      </c>
      <c r="G779" s="251">
        <v>3</v>
      </c>
    </row>
    <row r="780" spans="2:7">
      <c r="B780" s="256" t="s">
        <v>597</v>
      </c>
      <c r="C780" s="250" t="s">
        <v>1034</v>
      </c>
      <c r="D780" s="250"/>
      <c r="E780" s="251">
        <v>6</v>
      </c>
      <c r="F780" s="252">
        <v>1</v>
      </c>
      <c r="G780" s="251">
        <v>5</v>
      </c>
    </row>
    <row r="781" spans="2:7">
      <c r="B781" s="256" t="s">
        <v>597</v>
      </c>
      <c r="C781" s="250" t="s">
        <v>608</v>
      </c>
      <c r="D781" s="250" t="s">
        <v>1035</v>
      </c>
      <c r="E781" s="251">
        <v>1</v>
      </c>
      <c r="F781" s="252">
        <v>5.5555555555555552E-2</v>
      </c>
      <c r="G781" s="251">
        <v>1</v>
      </c>
    </row>
    <row r="782" spans="2:7">
      <c r="B782" s="256" t="s">
        <v>597</v>
      </c>
      <c r="C782" s="250" t="s">
        <v>608</v>
      </c>
      <c r="D782" s="250" t="s">
        <v>1036</v>
      </c>
      <c r="E782" s="251">
        <v>1</v>
      </c>
      <c r="F782" s="252">
        <v>5.5555555555555552E-2</v>
      </c>
      <c r="G782" s="251">
        <v>1</v>
      </c>
    </row>
    <row r="783" spans="2:7">
      <c r="B783" s="256" t="s">
        <v>597</v>
      </c>
      <c r="C783" s="250" t="s">
        <v>608</v>
      </c>
      <c r="D783" s="250" t="s">
        <v>1037</v>
      </c>
      <c r="E783" s="251">
        <v>6</v>
      </c>
      <c r="F783" s="252">
        <v>0.33333333333333331</v>
      </c>
      <c r="G783" s="251">
        <v>6</v>
      </c>
    </row>
    <row r="784" spans="2:7">
      <c r="B784" s="256" t="s">
        <v>597</v>
      </c>
      <c r="C784" s="250" t="s">
        <v>608</v>
      </c>
      <c r="D784" s="250" t="s">
        <v>1038</v>
      </c>
      <c r="E784" s="251">
        <v>3</v>
      </c>
      <c r="F784" s="252">
        <v>0.16666666666666666</v>
      </c>
      <c r="G784" s="251">
        <v>3</v>
      </c>
    </row>
    <row r="785" spans="2:7">
      <c r="B785" s="256" t="s">
        <v>597</v>
      </c>
      <c r="C785" s="250" t="s">
        <v>608</v>
      </c>
      <c r="D785" s="250" t="s">
        <v>14</v>
      </c>
      <c r="E785" s="251">
        <v>2</v>
      </c>
      <c r="F785" s="252">
        <v>0.1111111111111111</v>
      </c>
      <c r="G785" s="251">
        <v>2</v>
      </c>
    </row>
    <row r="786" spans="2:7">
      <c r="B786" s="256" t="s">
        <v>597</v>
      </c>
      <c r="C786" s="250" t="s">
        <v>608</v>
      </c>
      <c r="D786" s="250" t="s">
        <v>1039</v>
      </c>
      <c r="E786" s="251">
        <v>3</v>
      </c>
      <c r="F786" s="252">
        <v>0.16666666666666666</v>
      </c>
      <c r="G786" s="251">
        <v>3</v>
      </c>
    </row>
    <row r="787" spans="2:7">
      <c r="B787" s="256" t="s">
        <v>597</v>
      </c>
      <c r="C787" s="250" t="s">
        <v>608</v>
      </c>
      <c r="D787" s="250" t="s">
        <v>18</v>
      </c>
      <c r="E787" s="251">
        <v>2</v>
      </c>
      <c r="F787" s="252">
        <v>0.1111111111111111</v>
      </c>
      <c r="G787" s="251">
        <v>2</v>
      </c>
    </row>
    <row r="788" spans="2:7">
      <c r="B788" s="256" t="s">
        <v>597</v>
      </c>
      <c r="C788" s="250" t="s">
        <v>1040</v>
      </c>
      <c r="D788" s="250"/>
      <c r="E788" s="251">
        <v>18</v>
      </c>
      <c r="F788" s="252">
        <v>1</v>
      </c>
      <c r="G788" s="251">
        <v>16</v>
      </c>
    </row>
    <row r="789" spans="2:7">
      <c r="B789" s="256" t="s">
        <v>597</v>
      </c>
      <c r="C789" s="250" t="s">
        <v>609</v>
      </c>
      <c r="D789" s="250" t="s">
        <v>18</v>
      </c>
      <c r="E789" s="251">
        <v>1</v>
      </c>
      <c r="F789" s="252">
        <v>1</v>
      </c>
      <c r="G789" s="251">
        <v>1</v>
      </c>
    </row>
    <row r="790" spans="2:7">
      <c r="B790" s="256" t="s">
        <v>597</v>
      </c>
      <c r="C790" s="250" t="s">
        <v>1041</v>
      </c>
      <c r="D790" s="250"/>
      <c r="E790" s="251">
        <v>1</v>
      </c>
      <c r="F790" s="252">
        <v>1</v>
      </c>
      <c r="G790" s="251">
        <v>1</v>
      </c>
    </row>
    <row r="791" spans="2:7">
      <c r="B791" s="256" t="s">
        <v>597</v>
      </c>
      <c r="C791" s="250" t="s">
        <v>610</v>
      </c>
      <c r="D791" s="250" t="s">
        <v>1042</v>
      </c>
      <c r="E791" s="251">
        <v>2</v>
      </c>
      <c r="F791" s="252">
        <v>7.5187969924812026E-3</v>
      </c>
      <c r="G791" s="251">
        <v>2</v>
      </c>
    </row>
    <row r="792" spans="2:7">
      <c r="B792" s="256" t="s">
        <v>597</v>
      </c>
      <c r="C792" s="250" t="s">
        <v>610</v>
      </c>
      <c r="D792" s="250" t="s">
        <v>1043</v>
      </c>
      <c r="E792" s="251">
        <v>60</v>
      </c>
      <c r="F792" s="252">
        <v>0.22556390977443608</v>
      </c>
      <c r="G792" s="251">
        <v>54</v>
      </c>
    </row>
    <row r="793" spans="2:7">
      <c r="B793" s="256" t="s">
        <v>597</v>
      </c>
      <c r="C793" s="250" t="s">
        <v>610</v>
      </c>
      <c r="D793" s="250" t="s">
        <v>1044</v>
      </c>
      <c r="E793" s="251">
        <v>4</v>
      </c>
      <c r="F793" s="252">
        <v>1.5037593984962405E-2</v>
      </c>
      <c r="G793" s="251">
        <v>4</v>
      </c>
    </row>
    <row r="794" spans="2:7">
      <c r="B794" s="256" t="s">
        <v>597</v>
      </c>
      <c r="C794" s="250" t="s">
        <v>610</v>
      </c>
      <c r="D794" s="250" t="s">
        <v>1045</v>
      </c>
      <c r="E794" s="251">
        <v>110</v>
      </c>
      <c r="F794" s="252">
        <v>0.41353383458646614</v>
      </c>
      <c r="G794" s="251">
        <v>107</v>
      </c>
    </row>
    <row r="795" spans="2:7">
      <c r="B795" s="256" t="s">
        <v>597</v>
      </c>
      <c r="C795" s="250" t="s">
        <v>610</v>
      </c>
      <c r="D795" s="250" t="s">
        <v>1046</v>
      </c>
      <c r="E795" s="251">
        <v>3</v>
      </c>
      <c r="F795" s="252">
        <v>1.1278195488721804E-2</v>
      </c>
      <c r="G795" s="251">
        <v>2</v>
      </c>
    </row>
    <row r="796" spans="2:7">
      <c r="B796" s="256" t="s">
        <v>597</v>
      </c>
      <c r="C796" s="250" t="s">
        <v>610</v>
      </c>
      <c r="D796" s="250" t="s">
        <v>1047</v>
      </c>
      <c r="E796" s="251">
        <v>2</v>
      </c>
      <c r="F796" s="252">
        <v>7.5187969924812026E-3</v>
      </c>
      <c r="G796" s="251">
        <v>2</v>
      </c>
    </row>
    <row r="797" spans="2:7">
      <c r="B797" s="256" t="s">
        <v>597</v>
      </c>
      <c r="C797" s="250" t="s">
        <v>610</v>
      </c>
      <c r="D797" s="250" t="s">
        <v>1048</v>
      </c>
      <c r="E797" s="251">
        <v>1</v>
      </c>
      <c r="F797" s="252">
        <v>3.7593984962406013E-3</v>
      </c>
      <c r="G797" s="251">
        <v>1</v>
      </c>
    </row>
    <row r="798" spans="2:7">
      <c r="B798" s="256" t="s">
        <v>597</v>
      </c>
      <c r="C798" s="250" t="s">
        <v>610</v>
      </c>
      <c r="D798" s="250" t="s">
        <v>1049</v>
      </c>
      <c r="E798" s="251">
        <v>1</v>
      </c>
      <c r="F798" s="252">
        <v>3.7593984962406013E-3</v>
      </c>
      <c r="G798" s="251">
        <v>1</v>
      </c>
    </row>
    <row r="799" spans="2:7">
      <c r="B799" s="256" t="s">
        <v>597</v>
      </c>
      <c r="C799" s="250" t="s">
        <v>610</v>
      </c>
      <c r="D799" s="250" t="s">
        <v>14</v>
      </c>
      <c r="E799" s="251">
        <v>2</v>
      </c>
      <c r="F799" s="252">
        <v>7.5187969924812026E-3</v>
      </c>
      <c r="G799" s="251">
        <v>2</v>
      </c>
    </row>
    <row r="800" spans="2:7">
      <c r="B800" s="256" t="s">
        <v>597</v>
      </c>
      <c r="C800" s="250" t="s">
        <v>610</v>
      </c>
      <c r="D800" s="250" t="s">
        <v>1050</v>
      </c>
      <c r="E800" s="251">
        <v>2</v>
      </c>
      <c r="F800" s="252">
        <v>7.5187969924812026E-3</v>
      </c>
      <c r="G800" s="251">
        <v>2</v>
      </c>
    </row>
    <row r="801" spans="2:7">
      <c r="B801" s="256" t="s">
        <v>597</v>
      </c>
      <c r="C801" s="250" t="s">
        <v>610</v>
      </c>
      <c r="D801" s="250" t="s">
        <v>1051</v>
      </c>
      <c r="E801" s="251">
        <v>34</v>
      </c>
      <c r="F801" s="252">
        <v>0.12781954887218044</v>
      </c>
      <c r="G801" s="251">
        <v>32</v>
      </c>
    </row>
    <row r="802" spans="2:7">
      <c r="B802" s="256" t="s">
        <v>597</v>
      </c>
      <c r="C802" s="250" t="s">
        <v>610</v>
      </c>
      <c r="D802" s="250" t="s">
        <v>1052</v>
      </c>
      <c r="E802" s="251">
        <v>42</v>
      </c>
      <c r="F802" s="252">
        <v>0.15789473684210525</v>
      </c>
      <c r="G802" s="251">
        <v>40</v>
      </c>
    </row>
    <row r="803" spans="2:7">
      <c r="B803" s="256" t="s">
        <v>597</v>
      </c>
      <c r="C803" s="250" t="s">
        <v>610</v>
      </c>
      <c r="D803" s="250" t="s">
        <v>1053</v>
      </c>
      <c r="E803" s="251">
        <v>3</v>
      </c>
      <c r="F803" s="252">
        <v>1.1278195488721804E-2</v>
      </c>
      <c r="G803" s="251">
        <v>3</v>
      </c>
    </row>
    <row r="804" spans="2:7">
      <c r="B804" s="256" t="s">
        <v>597</v>
      </c>
      <c r="C804" s="250" t="s">
        <v>1054</v>
      </c>
      <c r="D804" s="250"/>
      <c r="E804" s="251">
        <v>266</v>
      </c>
      <c r="F804" s="252">
        <v>1</v>
      </c>
      <c r="G804" s="251">
        <v>190</v>
      </c>
    </row>
    <row r="805" spans="2:7">
      <c r="B805" s="256" t="s">
        <v>597</v>
      </c>
      <c r="C805" s="250" t="s">
        <v>611</v>
      </c>
      <c r="D805" s="250" t="s">
        <v>1055</v>
      </c>
      <c r="E805" s="251">
        <v>3</v>
      </c>
      <c r="F805" s="252">
        <v>0.75</v>
      </c>
      <c r="G805" s="251">
        <v>3</v>
      </c>
    </row>
    <row r="806" spans="2:7">
      <c r="B806" s="256" t="s">
        <v>597</v>
      </c>
      <c r="C806" s="250" t="s">
        <v>611</v>
      </c>
      <c r="D806" s="250" t="s">
        <v>1039</v>
      </c>
      <c r="E806" s="251">
        <v>1</v>
      </c>
      <c r="F806" s="252">
        <v>0.25</v>
      </c>
      <c r="G806" s="251">
        <v>1</v>
      </c>
    </row>
    <row r="807" spans="2:7">
      <c r="B807" s="256" t="s">
        <v>597</v>
      </c>
      <c r="C807" s="250" t="s">
        <v>1056</v>
      </c>
      <c r="D807" s="250"/>
      <c r="E807" s="251">
        <v>4</v>
      </c>
      <c r="F807" s="252">
        <v>1</v>
      </c>
      <c r="G807" s="251">
        <v>3</v>
      </c>
    </row>
    <row r="808" spans="2:7">
      <c r="B808" s="256" t="s">
        <v>597</v>
      </c>
      <c r="C808" s="250" t="s">
        <v>612</v>
      </c>
      <c r="D808" s="250" t="s">
        <v>1057</v>
      </c>
      <c r="E808" s="251">
        <v>1</v>
      </c>
      <c r="F808" s="252">
        <v>0.5</v>
      </c>
      <c r="G808" s="251">
        <v>1</v>
      </c>
    </row>
    <row r="809" spans="2:7">
      <c r="B809" s="256" t="s">
        <v>597</v>
      </c>
      <c r="C809" s="250" t="s">
        <v>612</v>
      </c>
      <c r="D809" s="250" t="s">
        <v>1058</v>
      </c>
      <c r="E809" s="251">
        <v>1</v>
      </c>
      <c r="F809" s="252">
        <v>0.5</v>
      </c>
      <c r="G809" s="251">
        <v>1</v>
      </c>
    </row>
    <row r="810" spans="2:7">
      <c r="B810" s="256" t="s">
        <v>597</v>
      </c>
      <c r="C810" s="250" t="s">
        <v>1059</v>
      </c>
      <c r="D810" s="250"/>
      <c r="E810" s="251">
        <v>2</v>
      </c>
      <c r="F810" s="252">
        <v>1</v>
      </c>
      <c r="G810" s="251">
        <v>2</v>
      </c>
    </row>
    <row r="811" spans="2:7">
      <c r="B811" s="256" t="s">
        <v>597</v>
      </c>
      <c r="C811" s="250" t="s">
        <v>613</v>
      </c>
      <c r="D811" s="250" t="s">
        <v>1060</v>
      </c>
      <c r="E811" s="251">
        <v>3</v>
      </c>
      <c r="F811" s="252">
        <v>0.25</v>
      </c>
      <c r="G811" s="251">
        <v>3</v>
      </c>
    </row>
    <row r="812" spans="2:7">
      <c r="B812" s="256" t="s">
        <v>597</v>
      </c>
      <c r="C812" s="250" t="s">
        <v>613</v>
      </c>
      <c r="D812" s="250" t="s">
        <v>14</v>
      </c>
      <c r="E812" s="251">
        <v>2</v>
      </c>
      <c r="F812" s="252">
        <v>0.16666666666666666</v>
      </c>
      <c r="G812" s="251">
        <v>2</v>
      </c>
    </row>
    <row r="813" spans="2:7">
      <c r="B813" s="256" t="s">
        <v>597</v>
      </c>
      <c r="C813" s="250" t="s">
        <v>613</v>
      </c>
      <c r="D813" s="250" t="s">
        <v>1061</v>
      </c>
      <c r="E813" s="251">
        <v>4</v>
      </c>
      <c r="F813" s="252">
        <v>0.33333333333333331</v>
      </c>
      <c r="G813" s="251">
        <v>4</v>
      </c>
    </row>
    <row r="814" spans="2:7">
      <c r="B814" s="256" t="s">
        <v>597</v>
      </c>
      <c r="C814" s="250" t="s">
        <v>613</v>
      </c>
      <c r="D814" s="250" t="s">
        <v>18</v>
      </c>
      <c r="E814" s="251">
        <v>3</v>
      </c>
      <c r="F814" s="252">
        <v>0.25</v>
      </c>
      <c r="G814" s="251">
        <v>3</v>
      </c>
    </row>
    <row r="815" spans="2:7">
      <c r="B815" s="256" t="s">
        <v>597</v>
      </c>
      <c r="C815" s="250" t="s">
        <v>1062</v>
      </c>
      <c r="D815" s="250"/>
      <c r="E815" s="251">
        <v>12</v>
      </c>
      <c r="F815" s="252">
        <v>1</v>
      </c>
      <c r="G815" s="251">
        <v>12</v>
      </c>
    </row>
    <row r="816" spans="2:7">
      <c r="B816" s="256" t="s">
        <v>597</v>
      </c>
      <c r="C816" s="250" t="s">
        <v>14</v>
      </c>
      <c r="D816" s="250" t="s">
        <v>14</v>
      </c>
      <c r="E816" s="251">
        <v>28</v>
      </c>
      <c r="F816" s="252">
        <v>1</v>
      </c>
      <c r="G816" s="251">
        <v>1</v>
      </c>
    </row>
    <row r="817" spans="2:7">
      <c r="B817" s="256" t="s">
        <v>597</v>
      </c>
      <c r="C817" s="250" t="s">
        <v>265</v>
      </c>
      <c r="D817" s="250"/>
      <c r="E817" s="251">
        <v>28</v>
      </c>
      <c r="F817" s="252">
        <v>1</v>
      </c>
      <c r="G817" s="251">
        <v>1</v>
      </c>
    </row>
    <row r="818" spans="2:7">
      <c r="B818" s="256" t="s">
        <v>614</v>
      </c>
      <c r="C818" s="257"/>
      <c r="D818" s="257"/>
      <c r="E818" s="251">
        <v>404</v>
      </c>
      <c r="F818" s="252"/>
      <c r="G818" s="251">
        <v>268</v>
      </c>
    </row>
    <row r="819" spans="2:7">
      <c r="B819" s="256" t="s">
        <v>615</v>
      </c>
      <c r="C819" s="250" t="s">
        <v>616</v>
      </c>
      <c r="D819" s="250" t="s">
        <v>1063</v>
      </c>
      <c r="E819" s="251">
        <v>1</v>
      </c>
      <c r="F819" s="252">
        <v>0.125</v>
      </c>
      <c r="G819" s="251">
        <v>1</v>
      </c>
    </row>
    <row r="820" spans="2:7">
      <c r="B820" s="256" t="s">
        <v>615</v>
      </c>
      <c r="C820" s="250" t="s">
        <v>616</v>
      </c>
      <c r="D820" s="250" t="s">
        <v>1064</v>
      </c>
      <c r="E820" s="251">
        <v>1</v>
      </c>
      <c r="F820" s="252">
        <v>0.125</v>
      </c>
      <c r="G820" s="251">
        <v>1</v>
      </c>
    </row>
    <row r="821" spans="2:7">
      <c r="B821" s="256" t="s">
        <v>615</v>
      </c>
      <c r="C821" s="250" t="s">
        <v>616</v>
      </c>
      <c r="D821" s="250" t="s">
        <v>1065</v>
      </c>
      <c r="E821" s="251">
        <v>1</v>
      </c>
      <c r="F821" s="252">
        <v>0.125</v>
      </c>
      <c r="G821" s="251">
        <v>1</v>
      </c>
    </row>
    <row r="822" spans="2:7">
      <c r="B822" s="256" t="s">
        <v>615</v>
      </c>
      <c r="C822" s="250" t="s">
        <v>616</v>
      </c>
      <c r="D822" s="250" t="s">
        <v>1066</v>
      </c>
      <c r="E822" s="251">
        <v>4</v>
      </c>
      <c r="F822" s="252">
        <v>0.5</v>
      </c>
      <c r="G822" s="251">
        <v>4</v>
      </c>
    </row>
    <row r="823" spans="2:7">
      <c r="B823" s="256" t="s">
        <v>615</v>
      </c>
      <c r="C823" s="250" t="s">
        <v>616</v>
      </c>
      <c r="D823" s="250" t="s">
        <v>1067</v>
      </c>
      <c r="E823" s="251">
        <v>1</v>
      </c>
      <c r="F823" s="252">
        <v>0.125</v>
      </c>
      <c r="G823" s="251">
        <v>1</v>
      </c>
    </row>
    <row r="824" spans="2:7">
      <c r="B824" s="256" t="s">
        <v>615</v>
      </c>
      <c r="C824" s="250" t="s">
        <v>1068</v>
      </c>
      <c r="D824" s="250"/>
      <c r="E824" s="251">
        <v>8</v>
      </c>
      <c r="F824" s="252">
        <v>1</v>
      </c>
      <c r="G824" s="251">
        <v>6</v>
      </c>
    </row>
    <row r="825" spans="2:7">
      <c r="B825" s="256" t="s">
        <v>615</v>
      </c>
      <c r="C825" s="250" t="s">
        <v>617</v>
      </c>
      <c r="D825" s="250" t="s">
        <v>1064</v>
      </c>
      <c r="E825" s="251">
        <v>2</v>
      </c>
      <c r="F825" s="252">
        <v>0.4</v>
      </c>
      <c r="G825" s="251">
        <v>2</v>
      </c>
    </row>
    <row r="826" spans="2:7">
      <c r="B826" s="256" t="s">
        <v>615</v>
      </c>
      <c r="C826" s="250" t="s">
        <v>617</v>
      </c>
      <c r="D826" s="250" t="s">
        <v>1066</v>
      </c>
      <c r="E826" s="251">
        <v>1</v>
      </c>
      <c r="F826" s="252">
        <v>0.2</v>
      </c>
      <c r="G826" s="251">
        <v>1</v>
      </c>
    </row>
    <row r="827" spans="2:7">
      <c r="B827" s="256" t="s">
        <v>615</v>
      </c>
      <c r="C827" s="250" t="s">
        <v>617</v>
      </c>
      <c r="D827" s="250" t="s">
        <v>1069</v>
      </c>
      <c r="E827" s="251">
        <v>1</v>
      </c>
      <c r="F827" s="252">
        <v>0.2</v>
      </c>
      <c r="G827" s="251">
        <v>1</v>
      </c>
    </row>
    <row r="828" spans="2:7">
      <c r="B828" s="256" t="s">
        <v>615</v>
      </c>
      <c r="C828" s="250" t="s">
        <v>617</v>
      </c>
      <c r="D828" s="250" t="s">
        <v>1067</v>
      </c>
      <c r="E828" s="251">
        <v>1</v>
      </c>
      <c r="F828" s="252">
        <v>0.2</v>
      </c>
      <c r="G828" s="251">
        <v>1</v>
      </c>
    </row>
    <row r="829" spans="2:7">
      <c r="B829" s="256" t="s">
        <v>615</v>
      </c>
      <c r="C829" s="250" t="s">
        <v>1070</v>
      </c>
      <c r="D829" s="250"/>
      <c r="E829" s="251">
        <v>5</v>
      </c>
      <c r="F829" s="252">
        <v>1</v>
      </c>
      <c r="G829" s="251">
        <v>3</v>
      </c>
    </row>
    <row r="830" spans="2:7">
      <c r="B830" s="256" t="s">
        <v>615</v>
      </c>
      <c r="C830" s="250" t="s">
        <v>618</v>
      </c>
      <c r="D830" s="250" t="s">
        <v>1071</v>
      </c>
      <c r="E830" s="251">
        <v>3</v>
      </c>
      <c r="F830" s="252">
        <v>0.2</v>
      </c>
      <c r="G830" s="251">
        <v>3</v>
      </c>
    </row>
    <row r="831" spans="2:7">
      <c r="B831" s="256" t="s">
        <v>615</v>
      </c>
      <c r="C831" s="250" t="s">
        <v>618</v>
      </c>
      <c r="D831" s="250" t="s">
        <v>1064</v>
      </c>
      <c r="E831" s="251">
        <v>3</v>
      </c>
      <c r="F831" s="252">
        <v>0.2</v>
      </c>
      <c r="G831" s="251">
        <v>3</v>
      </c>
    </row>
    <row r="832" spans="2:7">
      <c r="B832" s="256" t="s">
        <v>615</v>
      </c>
      <c r="C832" s="250" t="s">
        <v>618</v>
      </c>
      <c r="D832" s="250" t="s">
        <v>1065</v>
      </c>
      <c r="E832" s="251">
        <v>2</v>
      </c>
      <c r="F832" s="252">
        <v>0.13333333333333333</v>
      </c>
      <c r="G832" s="251">
        <v>2</v>
      </c>
    </row>
    <row r="833" spans="2:7">
      <c r="B833" s="256" t="s">
        <v>615</v>
      </c>
      <c r="C833" s="250" t="s">
        <v>618</v>
      </c>
      <c r="D833" s="250" t="s">
        <v>1066</v>
      </c>
      <c r="E833" s="251">
        <v>2</v>
      </c>
      <c r="F833" s="252">
        <v>0.13333333333333333</v>
      </c>
      <c r="G833" s="251">
        <v>2</v>
      </c>
    </row>
    <row r="834" spans="2:7">
      <c r="B834" s="256" t="s">
        <v>615</v>
      </c>
      <c r="C834" s="250" t="s">
        <v>618</v>
      </c>
      <c r="D834" s="250" t="s">
        <v>1072</v>
      </c>
      <c r="E834" s="251">
        <v>1</v>
      </c>
      <c r="F834" s="252">
        <v>6.6666666666666666E-2</v>
      </c>
      <c r="G834" s="251">
        <v>1</v>
      </c>
    </row>
    <row r="835" spans="2:7">
      <c r="B835" s="256" t="s">
        <v>615</v>
      </c>
      <c r="C835" s="250" t="s">
        <v>618</v>
      </c>
      <c r="D835" s="250" t="s">
        <v>1073</v>
      </c>
      <c r="E835" s="251">
        <v>2</v>
      </c>
      <c r="F835" s="252">
        <v>0.13333333333333333</v>
      </c>
      <c r="G835" s="251">
        <v>2</v>
      </c>
    </row>
    <row r="836" spans="2:7">
      <c r="B836" s="256" t="s">
        <v>615</v>
      </c>
      <c r="C836" s="250" t="s">
        <v>618</v>
      </c>
      <c r="D836" s="250" t="s">
        <v>1074</v>
      </c>
      <c r="E836" s="251">
        <v>1</v>
      </c>
      <c r="F836" s="252">
        <v>6.6666666666666666E-2</v>
      </c>
      <c r="G836" s="251">
        <v>1</v>
      </c>
    </row>
    <row r="837" spans="2:7">
      <c r="B837" s="256" t="s">
        <v>615</v>
      </c>
      <c r="C837" s="250" t="s">
        <v>618</v>
      </c>
      <c r="D837" s="250" t="s">
        <v>1075</v>
      </c>
      <c r="E837" s="251">
        <v>1</v>
      </c>
      <c r="F837" s="252">
        <v>6.6666666666666666E-2</v>
      </c>
      <c r="G837" s="251">
        <v>1</v>
      </c>
    </row>
    <row r="838" spans="2:7">
      <c r="B838" s="256" t="s">
        <v>615</v>
      </c>
      <c r="C838" s="250" t="s">
        <v>1076</v>
      </c>
      <c r="D838" s="250"/>
      <c r="E838" s="251">
        <v>15</v>
      </c>
      <c r="F838" s="252">
        <v>1</v>
      </c>
      <c r="G838" s="251">
        <v>14</v>
      </c>
    </row>
    <row r="839" spans="2:7">
      <c r="B839" s="256" t="s">
        <v>615</v>
      </c>
      <c r="C839" s="250" t="s">
        <v>619</v>
      </c>
      <c r="D839" s="250" t="s">
        <v>1077</v>
      </c>
      <c r="E839" s="251">
        <v>1</v>
      </c>
      <c r="F839" s="252">
        <v>9.0909090909090912E-2</v>
      </c>
      <c r="G839" s="251">
        <v>1</v>
      </c>
    </row>
    <row r="840" spans="2:7">
      <c r="B840" s="256" t="s">
        <v>615</v>
      </c>
      <c r="C840" s="250" t="s">
        <v>619</v>
      </c>
      <c r="D840" s="250" t="s">
        <v>1066</v>
      </c>
      <c r="E840" s="251">
        <v>1</v>
      </c>
      <c r="F840" s="252">
        <v>9.0909090909090912E-2</v>
      </c>
      <c r="G840" s="251">
        <v>1</v>
      </c>
    </row>
    <row r="841" spans="2:7">
      <c r="B841" s="256" t="s">
        <v>615</v>
      </c>
      <c r="C841" s="250" t="s">
        <v>619</v>
      </c>
      <c r="D841" s="250" t="s">
        <v>1078</v>
      </c>
      <c r="E841" s="251">
        <v>1</v>
      </c>
      <c r="F841" s="252">
        <v>9.0909090909090912E-2</v>
      </c>
      <c r="G841" s="251">
        <v>1</v>
      </c>
    </row>
    <row r="842" spans="2:7">
      <c r="B842" s="256" t="s">
        <v>615</v>
      </c>
      <c r="C842" s="250" t="s">
        <v>619</v>
      </c>
      <c r="D842" s="250" t="s">
        <v>14</v>
      </c>
      <c r="E842" s="251">
        <v>3</v>
      </c>
      <c r="F842" s="252">
        <v>0.27272727272727271</v>
      </c>
      <c r="G842" s="251">
        <v>3</v>
      </c>
    </row>
    <row r="843" spans="2:7">
      <c r="B843" s="256" t="s">
        <v>615</v>
      </c>
      <c r="C843" s="250" t="s">
        <v>619</v>
      </c>
      <c r="D843" s="250" t="s">
        <v>1079</v>
      </c>
      <c r="E843" s="251">
        <v>5</v>
      </c>
      <c r="F843" s="252">
        <v>0.45454545454545453</v>
      </c>
      <c r="G843" s="251">
        <v>5</v>
      </c>
    </row>
    <row r="844" spans="2:7">
      <c r="B844" s="256" t="s">
        <v>615</v>
      </c>
      <c r="C844" s="250" t="s">
        <v>1080</v>
      </c>
      <c r="D844" s="250"/>
      <c r="E844" s="251">
        <v>11</v>
      </c>
      <c r="F844" s="252">
        <v>1</v>
      </c>
      <c r="G844" s="251">
        <v>10</v>
      </c>
    </row>
    <row r="845" spans="2:7">
      <c r="B845" s="256" t="s">
        <v>615</v>
      </c>
      <c r="C845" s="250" t="s">
        <v>620</v>
      </c>
      <c r="D845" s="250" t="s">
        <v>1081</v>
      </c>
      <c r="E845" s="251">
        <v>8</v>
      </c>
      <c r="F845" s="252">
        <v>0.33333333333333331</v>
      </c>
      <c r="G845" s="251">
        <v>8</v>
      </c>
    </row>
    <row r="846" spans="2:7">
      <c r="B846" s="256" t="s">
        <v>615</v>
      </c>
      <c r="C846" s="250" t="s">
        <v>620</v>
      </c>
      <c r="D846" s="250" t="s">
        <v>1066</v>
      </c>
      <c r="E846" s="251">
        <v>2</v>
      </c>
      <c r="F846" s="252">
        <v>8.3333333333333329E-2</v>
      </c>
      <c r="G846" s="251">
        <v>2</v>
      </c>
    </row>
    <row r="847" spans="2:7">
      <c r="B847" s="256" t="s">
        <v>615</v>
      </c>
      <c r="C847" s="250" t="s">
        <v>620</v>
      </c>
      <c r="D847" s="250" t="s">
        <v>1082</v>
      </c>
      <c r="E847" s="251">
        <v>2</v>
      </c>
      <c r="F847" s="252">
        <v>8.3333333333333329E-2</v>
      </c>
      <c r="G847" s="251">
        <v>2</v>
      </c>
    </row>
    <row r="848" spans="2:7">
      <c r="B848" s="256" t="s">
        <v>615</v>
      </c>
      <c r="C848" s="250" t="s">
        <v>620</v>
      </c>
      <c r="D848" s="250" t="s">
        <v>1083</v>
      </c>
      <c r="E848" s="251">
        <v>6</v>
      </c>
      <c r="F848" s="252">
        <v>0.25</v>
      </c>
      <c r="G848" s="251">
        <v>6</v>
      </c>
    </row>
    <row r="849" spans="2:7">
      <c r="B849" s="256" t="s">
        <v>615</v>
      </c>
      <c r="C849" s="250" t="s">
        <v>620</v>
      </c>
      <c r="D849" s="250" t="s">
        <v>1084</v>
      </c>
      <c r="E849" s="251">
        <v>3</v>
      </c>
      <c r="F849" s="252">
        <v>0.125</v>
      </c>
      <c r="G849" s="251">
        <v>3</v>
      </c>
    </row>
    <row r="850" spans="2:7">
      <c r="B850" s="256" t="s">
        <v>615</v>
      </c>
      <c r="C850" s="250" t="s">
        <v>620</v>
      </c>
      <c r="D850" s="250" t="s">
        <v>18</v>
      </c>
      <c r="E850" s="251">
        <v>3</v>
      </c>
      <c r="F850" s="252">
        <v>0.125</v>
      </c>
      <c r="G850" s="251">
        <v>3</v>
      </c>
    </row>
    <row r="851" spans="2:7">
      <c r="B851" s="256" t="s">
        <v>615</v>
      </c>
      <c r="C851" s="250" t="s">
        <v>1085</v>
      </c>
      <c r="D851" s="250"/>
      <c r="E851" s="251">
        <v>24</v>
      </c>
      <c r="F851" s="252">
        <v>1</v>
      </c>
      <c r="G851" s="251">
        <v>18</v>
      </c>
    </row>
    <row r="852" spans="2:7">
      <c r="B852" s="256" t="s">
        <v>615</v>
      </c>
      <c r="C852" s="250" t="s">
        <v>621</v>
      </c>
      <c r="D852" s="250" t="s">
        <v>1081</v>
      </c>
      <c r="E852" s="251">
        <v>4</v>
      </c>
      <c r="F852" s="252">
        <v>9.7560975609756101E-2</v>
      </c>
      <c r="G852" s="251">
        <v>4</v>
      </c>
    </row>
    <row r="853" spans="2:7">
      <c r="B853" s="256" t="s">
        <v>615</v>
      </c>
      <c r="C853" s="250" t="s">
        <v>621</v>
      </c>
      <c r="D853" s="250" t="s">
        <v>1086</v>
      </c>
      <c r="E853" s="251">
        <v>1</v>
      </c>
      <c r="F853" s="252">
        <v>2.4390243902439025E-2</v>
      </c>
      <c r="G853" s="251">
        <v>1</v>
      </c>
    </row>
    <row r="854" spans="2:7">
      <c r="B854" s="256" t="s">
        <v>615</v>
      </c>
      <c r="C854" s="250" t="s">
        <v>621</v>
      </c>
      <c r="D854" s="250" t="s">
        <v>1087</v>
      </c>
      <c r="E854" s="251">
        <v>1</v>
      </c>
      <c r="F854" s="252">
        <v>2.4390243902439025E-2</v>
      </c>
      <c r="G854" s="251">
        <v>1</v>
      </c>
    </row>
    <row r="855" spans="2:7">
      <c r="B855" s="256" t="s">
        <v>615</v>
      </c>
      <c r="C855" s="250" t="s">
        <v>621</v>
      </c>
      <c r="D855" s="250" t="s">
        <v>1066</v>
      </c>
      <c r="E855" s="251">
        <v>2</v>
      </c>
      <c r="F855" s="252">
        <v>4.878048780487805E-2</v>
      </c>
      <c r="G855" s="251">
        <v>2</v>
      </c>
    </row>
    <row r="856" spans="2:7">
      <c r="B856" s="256" t="s">
        <v>615</v>
      </c>
      <c r="C856" s="250" t="s">
        <v>621</v>
      </c>
      <c r="D856" s="250" t="s">
        <v>1082</v>
      </c>
      <c r="E856" s="251">
        <v>21</v>
      </c>
      <c r="F856" s="252">
        <v>0.51219512195121952</v>
      </c>
      <c r="G856" s="251">
        <v>20</v>
      </c>
    </row>
    <row r="857" spans="2:7">
      <c r="B857" s="256" t="s">
        <v>615</v>
      </c>
      <c r="C857" s="250" t="s">
        <v>621</v>
      </c>
      <c r="D857" s="250" t="s">
        <v>1083</v>
      </c>
      <c r="E857" s="251">
        <v>2</v>
      </c>
      <c r="F857" s="252">
        <v>4.878048780487805E-2</v>
      </c>
      <c r="G857" s="251">
        <v>2</v>
      </c>
    </row>
    <row r="858" spans="2:7">
      <c r="B858" s="256" t="s">
        <v>615</v>
      </c>
      <c r="C858" s="250" t="s">
        <v>621</v>
      </c>
      <c r="D858" s="250" t="s">
        <v>14</v>
      </c>
      <c r="E858" s="251">
        <v>1</v>
      </c>
      <c r="F858" s="252">
        <v>2.4390243902439025E-2</v>
      </c>
      <c r="G858" s="251">
        <v>1</v>
      </c>
    </row>
    <row r="859" spans="2:7">
      <c r="B859" s="256" t="s">
        <v>615</v>
      </c>
      <c r="C859" s="250" t="s">
        <v>621</v>
      </c>
      <c r="D859" s="250" t="s">
        <v>1088</v>
      </c>
      <c r="E859" s="251">
        <v>1</v>
      </c>
      <c r="F859" s="252">
        <v>2.4390243902439025E-2</v>
      </c>
      <c r="G859" s="251">
        <v>1</v>
      </c>
    </row>
    <row r="860" spans="2:7">
      <c r="B860" s="256" t="s">
        <v>615</v>
      </c>
      <c r="C860" s="250" t="s">
        <v>621</v>
      </c>
      <c r="D860" s="250" t="s">
        <v>1084</v>
      </c>
      <c r="E860" s="251">
        <v>1</v>
      </c>
      <c r="F860" s="252">
        <v>2.4390243902439025E-2</v>
      </c>
      <c r="G860" s="251">
        <v>1</v>
      </c>
    </row>
    <row r="861" spans="2:7">
      <c r="B861" s="256" t="s">
        <v>615</v>
      </c>
      <c r="C861" s="250" t="s">
        <v>621</v>
      </c>
      <c r="D861" s="250" t="s">
        <v>1089</v>
      </c>
      <c r="E861" s="251">
        <v>1</v>
      </c>
      <c r="F861" s="252">
        <v>2.4390243902439025E-2</v>
      </c>
      <c r="G861" s="251">
        <v>1</v>
      </c>
    </row>
    <row r="862" spans="2:7">
      <c r="B862" s="256" t="s">
        <v>615</v>
      </c>
      <c r="C862" s="250" t="s">
        <v>621</v>
      </c>
      <c r="D862" s="250" t="s">
        <v>18</v>
      </c>
      <c r="E862" s="251">
        <v>6</v>
      </c>
      <c r="F862" s="252">
        <v>0.14634146341463414</v>
      </c>
      <c r="G862" s="251">
        <v>6</v>
      </c>
    </row>
    <row r="863" spans="2:7">
      <c r="B863" s="256" t="s">
        <v>615</v>
      </c>
      <c r="C863" s="250" t="s">
        <v>1090</v>
      </c>
      <c r="D863" s="250"/>
      <c r="E863" s="251">
        <v>41</v>
      </c>
      <c r="F863" s="252">
        <v>1</v>
      </c>
      <c r="G863" s="251">
        <v>35</v>
      </c>
    </row>
    <row r="864" spans="2:7">
      <c r="B864" s="256" t="s">
        <v>615</v>
      </c>
      <c r="C864" s="250" t="s">
        <v>622</v>
      </c>
      <c r="D864" s="250" t="s">
        <v>1091</v>
      </c>
      <c r="E864" s="251">
        <v>5</v>
      </c>
      <c r="F864" s="252">
        <v>0.83333333333333337</v>
      </c>
      <c r="G864" s="251">
        <v>5</v>
      </c>
    </row>
    <row r="865" spans="2:7">
      <c r="B865" s="256" t="s">
        <v>615</v>
      </c>
      <c r="C865" s="250" t="s">
        <v>622</v>
      </c>
      <c r="D865" s="250" t="s">
        <v>1092</v>
      </c>
      <c r="E865" s="251">
        <v>1</v>
      </c>
      <c r="F865" s="252">
        <v>0.16666666666666666</v>
      </c>
      <c r="G865" s="251">
        <v>1</v>
      </c>
    </row>
    <row r="866" spans="2:7">
      <c r="B866" s="256" t="s">
        <v>615</v>
      </c>
      <c r="C866" s="250" t="s">
        <v>1093</v>
      </c>
      <c r="D866" s="250"/>
      <c r="E866" s="251">
        <v>6</v>
      </c>
      <c r="F866" s="252">
        <v>1</v>
      </c>
      <c r="G866" s="251">
        <v>6</v>
      </c>
    </row>
    <row r="867" spans="2:7">
      <c r="B867" s="256" t="s">
        <v>615</v>
      </c>
      <c r="C867" s="250" t="s">
        <v>623</v>
      </c>
      <c r="D867" s="250" t="s">
        <v>1094</v>
      </c>
      <c r="E867" s="251">
        <v>14</v>
      </c>
      <c r="F867" s="252">
        <v>0.53846153846153844</v>
      </c>
      <c r="G867" s="251">
        <v>13</v>
      </c>
    </row>
    <row r="868" spans="2:7">
      <c r="B868" s="256" t="s">
        <v>615</v>
      </c>
      <c r="C868" s="250" t="s">
        <v>623</v>
      </c>
      <c r="D868" s="250" t="s">
        <v>1095</v>
      </c>
      <c r="E868" s="251">
        <v>2</v>
      </c>
      <c r="F868" s="252">
        <v>7.6923076923076927E-2</v>
      </c>
      <c r="G868" s="251">
        <v>2</v>
      </c>
    </row>
    <row r="869" spans="2:7">
      <c r="B869" s="256" t="s">
        <v>615</v>
      </c>
      <c r="C869" s="250" t="s">
        <v>623</v>
      </c>
      <c r="D869" s="250" t="s">
        <v>1096</v>
      </c>
      <c r="E869" s="251">
        <v>2</v>
      </c>
      <c r="F869" s="252">
        <v>7.6923076923076927E-2</v>
      </c>
      <c r="G869" s="251">
        <v>1</v>
      </c>
    </row>
    <row r="870" spans="2:7">
      <c r="B870" s="256" t="s">
        <v>615</v>
      </c>
      <c r="C870" s="250" t="s">
        <v>623</v>
      </c>
      <c r="D870" s="250" t="s">
        <v>1097</v>
      </c>
      <c r="E870" s="251">
        <v>1</v>
      </c>
      <c r="F870" s="252">
        <v>3.8461538461538464E-2</v>
      </c>
      <c r="G870" s="251">
        <v>1</v>
      </c>
    </row>
    <row r="871" spans="2:7">
      <c r="B871" s="256" t="s">
        <v>615</v>
      </c>
      <c r="C871" s="250" t="s">
        <v>623</v>
      </c>
      <c r="D871" s="250" t="s">
        <v>1098</v>
      </c>
      <c r="E871" s="251">
        <v>1</v>
      </c>
      <c r="F871" s="252">
        <v>3.8461538461538464E-2</v>
      </c>
      <c r="G871" s="251">
        <v>1</v>
      </c>
    </row>
    <row r="872" spans="2:7">
      <c r="B872" s="256" t="s">
        <v>615</v>
      </c>
      <c r="C872" s="250" t="s">
        <v>623</v>
      </c>
      <c r="D872" s="250" t="s">
        <v>1092</v>
      </c>
      <c r="E872" s="251">
        <v>1</v>
      </c>
      <c r="F872" s="252">
        <v>3.8461538461538464E-2</v>
      </c>
      <c r="G872" s="251">
        <v>1</v>
      </c>
    </row>
    <row r="873" spans="2:7">
      <c r="B873" s="256" t="s">
        <v>615</v>
      </c>
      <c r="C873" s="250" t="s">
        <v>623</v>
      </c>
      <c r="D873" s="250" t="s">
        <v>1099</v>
      </c>
      <c r="E873" s="251">
        <v>1</v>
      </c>
      <c r="F873" s="252">
        <v>3.8461538461538464E-2</v>
      </c>
      <c r="G873" s="251">
        <v>1</v>
      </c>
    </row>
    <row r="874" spans="2:7">
      <c r="B874" s="256" t="s">
        <v>615</v>
      </c>
      <c r="C874" s="250" t="s">
        <v>623</v>
      </c>
      <c r="D874" s="250" t="s">
        <v>1100</v>
      </c>
      <c r="E874" s="251">
        <v>2</v>
      </c>
      <c r="F874" s="252">
        <v>7.6923076923076927E-2</v>
      </c>
      <c r="G874" s="251">
        <v>2</v>
      </c>
    </row>
    <row r="875" spans="2:7">
      <c r="B875" s="256" t="s">
        <v>615</v>
      </c>
      <c r="C875" s="250" t="s">
        <v>623</v>
      </c>
      <c r="D875" s="250" t="s">
        <v>18</v>
      </c>
      <c r="E875" s="251">
        <v>2</v>
      </c>
      <c r="F875" s="252">
        <v>7.6923076923076927E-2</v>
      </c>
      <c r="G875" s="251">
        <v>2</v>
      </c>
    </row>
    <row r="876" spans="2:7">
      <c r="B876" s="256" t="s">
        <v>615</v>
      </c>
      <c r="C876" s="250" t="s">
        <v>1101</v>
      </c>
      <c r="D876" s="250"/>
      <c r="E876" s="251">
        <v>26</v>
      </c>
      <c r="F876" s="252">
        <v>1</v>
      </c>
      <c r="G876" s="251">
        <v>22</v>
      </c>
    </row>
    <row r="877" spans="2:7">
      <c r="B877" s="256" t="s">
        <v>615</v>
      </c>
      <c r="C877" s="250" t="s">
        <v>624</v>
      </c>
      <c r="D877" s="250" t="s">
        <v>1102</v>
      </c>
      <c r="E877" s="251">
        <v>1</v>
      </c>
      <c r="F877" s="252">
        <v>1</v>
      </c>
      <c r="G877" s="251">
        <v>1</v>
      </c>
    </row>
    <row r="878" spans="2:7">
      <c r="B878" s="256" t="s">
        <v>615</v>
      </c>
      <c r="C878" s="250" t="s">
        <v>1103</v>
      </c>
      <c r="D878" s="250"/>
      <c r="E878" s="251">
        <v>1</v>
      </c>
      <c r="F878" s="252">
        <v>1</v>
      </c>
      <c r="G878" s="251">
        <v>1</v>
      </c>
    </row>
    <row r="879" spans="2:7">
      <c r="B879" s="256" t="s">
        <v>615</v>
      </c>
      <c r="C879" s="250" t="s">
        <v>625</v>
      </c>
      <c r="D879" s="250" t="s">
        <v>14</v>
      </c>
      <c r="E879" s="251">
        <v>1</v>
      </c>
      <c r="F879" s="252">
        <v>1</v>
      </c>
      <c r="G879" s="251">
        <v>1</v>
      </c>
    </row>
    <row r="880" spans="2:7">
      <c r="B880" s="256" t="s">
        <v>615</v>
      </c>
      <c r="C880" s="250" t="s">
        <v>1104</v>
      </c>
      <c r="D880" s="250"/>
      <c r="E880" s="251">
        <v>1</v>
      </c>
      <c r="F880" s="252">
        <v>1</v>
      </c>
      <c r="G880" s="251">
        <v>1</v>
      </c>
    </row>
    <row r="881" spans="2:7">
      <c r="B881" s="256" t="s">
        <v>615</v>
      </c>
      <c r="C881" s="250" t="s">
        <v>626</v>
      </c>
      <c r="D881" s="250" t="s">
        <v>1105</v>
      </c>
      <c r="E881" s="251">
        <v>2</v>
      </c>
      <c r="F881" s="252">
        <v>0.22222222222222221</v>
      </c>
      <c r="G881" s="251">
        <v>2</v>
      </c>
    </row>
    <row r="882" spans="2:7">
      <c r="B882" s="256" t="s">
        <v>615</v>
      </c>
      <c r="C882" s="250" t="s">
        <v>626</v>
      </c>
      <c r="D882" s="250" t="s">
        <v>1106</v>
      </c>
      <c r="E882" s="251">
        <v>2</v>
      </c>
      <c r="F882" s="252">
        <v>0.22222222222222221</v>
      </c>
      <c r="G882" s="251">
        <v>2</v>
      </c>
    </row>
    <row r="883" spans="2:7">
      <c r="B883" s="256" t="s">
        <v>615</v>
      </c>
      <c r="C883" s="250" t="s">
        <v>626</v>
      </c>
      <c r="D883" s="250" t="s">
        <v>1107</v>
      </c>
      <c r="E883" s="251">
        <v>1</v>
      </c>
      <c r="F883" s="252">
        <v>0.1111111111111111</v>
      </c>
      <c r="G883" s="251">
        <v>1</v>
      </c>
    </row>
    <row r="884" spans="2:7">
      <c r="B884" s="256" t="s">
        <v>615</v>
      </c>
      <c r="C884" s="250" t="s">
        <v>626</v>
      </c>
      <c r="D884" s="250" t="s">
        <v>1108</v>
      </c>
      <c r="E884" s="251">
        <v>2</v>
      </c>
      <c r="F884" s="252">
        <v>0.22222222222222221</v>
      </c>
      <c r="G884" s="251">
        <v>2</v>
      </c>
    </row>
    <row r="885" spans="2:7">
      <c r="B885" s="256" t="s">
        <v>615</v>
      </c>
      <c r="C885" s="250" t="s">
        <v>626</v>
      </c>
      <c r="D885" s="250" t="s">
        <v>1109</v>
      </c>
      <c r="E885" s="251">
        <v>1</v>
      </c>
      <c r="F885" s="252">
        <v>0.1111111111111111</v>
      </c>
      <c r="G885" s="251">
        <v>1</v>
      </c>
    </row>
    <row r="886" spans="2:7">
      <c r="B886" s="256" t="s">
        <v>615</v>
      </c>
      <c r="C886" s="250" t="s">
        <v>626</v>
      </c>
      <c r="D886" s="250" t="s">
        <v>18</v>
      </c>
      <c r="E886" s="251">
        <v>1</v>
      </c>
      <c r="F886" s="252">
        <v>0.1111111111111111</v>
      </c>
      <c r="G886" s="251">
        <v>1</v>
      </c>
    </row>
    <row r="887" spans="2:7">
      <c r="B887" s="256" t="s">
        <v>615</v>
      </c>
      <c r="C887" s="250" t="s">
        <v>1110</v>
      </c>
      <c r="D887" s="250"/>
      <c r="E887" s="251">
        <v>9</v>
      </c>
      <c r="F887" s="252">
        <v>1</v>
      </c>
      <c r="G887" s="251">
        <v>9</v>
      </c>
    </row>
    <row r="888" spans="2:7">
      <c r="B888" s="256" t="s">
        <v>615</v>
      </c>
      <c r="C888" s="250" t="s">
        <v>627</v>
      </c>
      <c r="D888" s="250" t="s">
        <v>1111</v>
      </c>
      <c r="E888" s="251">
        <v>1</v>
      </c>
      <c r="F888" s="252">
        <v>1</v>
      </c>
      <c r="G888" s="251">
        <v>1</v>
      </c>
    </row>
    <row r="889" spans="2:7">
      <c r="B889" s="256" t="s">
        <v>615</v>
      </c>
      <c r="C889" s="250" t="s">
        <v>1112</v>
      </c>
      <c r="D889" s="250"/>
      <c r="E889" s="251">
        <v>1</v>
      </c>
      <c r="F889" s="252">
        <v>1</v>
      </c>
      <c r="G889" s="251">
        <v>1</v>
      </c>
    </row>
    <row r="890" spans="2:7">
      <c r="B890" s="256" t="s">
        <v>615</v>
      </c>
      <c r="C890" s="250" t="s">
        <v>628</v>
      </c>
      <c r="D890" s="250" t="s">
        <v>1113</v>
      </c>
      <c r="E890" s="251">
        <v>5</v>
      </c>
      <c r="F890" s="252">
        <v>1</v>
      </c>
      <c r="G890" s="251">
        <v>3</v>
      </c>
    </row>
    <row r="891" spans="2:7">
      <c r="B891" s="256" t="s">
        <v>615</v>
      </c>
      <c r="C891" s="250" t="s">
        <v>1114</v>
      </c>
      <c r="D891" s="250"/>
      <c r="E891" s="251">
        <v>5</v>
      </c>
      <c r="F891" s="252">
        <v>1</v>
      </c>
      <c r="G891" s="251">
        <v>3</v>
      </c>
    </row>
    <row r="892" spans="2:7">
      <c r="B892" s="256" t="s">
        <v>615</v>
      </c>
      <c r="C892" s="250" t="s">
        <v>629</v>
      </c>
      <c r="D892" s="250" t="s">
        <v>1115</v>
      </c>
      <c r="E892" s="251">
        <v>5</v>
      </c>
      <c r="F892" s="252">
        <v>0.2</v>
      </c>
      <c r="G892" s="251">
        <v>5</v>
      </c>
    </row>
    <row r="893" spans="2:7">
      <c r="B893" s="256" t="s">
        <v>615</v>
      </c>
      <c r="C893" s="250" t="s">
        <v>629</v>
      </c>
      <c r="D893" s="250" t="s">
        <v>1116</v>
      </c>
      <c r="E893" s="251">
        <v>1</v>
      </c>
      <c r="F893" s="252">
        <v>0.04</v>
      </c>
      <c r="G893" s="251">
        <v>1</v>
      </c>
    </row>
    <row r="894" spans="2:7">
      <c r="B894" s="256" t="s">
        <v>615</v>
      </c>
      <c r="C894" s="250" t="s">
        <v>629</v>
      </c>
      <c r="D894" s="250" t="s">
        <v>432</v>
      </c>
      <c r="E894" s="251">
        <v>1</v>
      </c>
      <c r="F894" s="252">
        <v>0.04</v>
      </c>
      <c r="G894" s="251">
        <v>1</v>
      </c>
    </row>
    <row r="895" spans="2:7">
      <c r="B895" s="256" t="s">
        <v>615</v>
      </c>
      <c r="C895" s="250" t="s">
        <v>629</v>
      </c>
      <c r="D895" s="250" t="s">
        <v>14</v>
      </c>
      <c r="E895" s="251">
        <v>2</v>
      </c>
      <c r="F895" s="252">
        <v>0.08</v>
      </c>
      <c r="G895" s="251">
        <v>2</v>
      </c>
    </row>
    <row r="896" spans="2:7">
      <c r="B896" s="256" t="s">
        <v>615</v>
      </c>
      <c r="C896" s="250" t="s">
        <v>629</v>
      </c>
      <c r="D896" s="250" t="s">
        <v>18</v>
      </c>
      <c r="E896" s="251">
        <v>16</v>
      </c>
      <c r="F896" s="252">
        <v>0.64</v>
      </c>
      <c r="G896" s="251">
        <v>16</v>
      </c>
    </row>
    <row r="897" spans="2:7">
      <c r="B897" s="256" t="s">
        <v>615</v>
      </c>
      <c r="C897" s="250" t="s">
        <v>1117</v>
      </c>
      <c r="D897" s="250"/>
      <c r="E897" s="251">
        <v>25</v>
      </c>
      <c r="F897" s="252">
        <v>1</v>
      </c>
      <c r="G897" s="251">
        <v>24</v>
      </c>
    </row>
    <row r="898" spans="2:7">
      <c r="B898" s="256" t="s">
        <v>615</v>
      </c>
      <c r="C898" s="250" t="s">
        <v>14</v>
      </c>
      <c r="D898" s="250" t="s">
        <v>14</v>
      </c>
      <c r="E898" s="251">
        <v>24</v>
      </c>
      <c r="F898" s="252">
        <v>1</v>
      </c>
      <c r="G898" s="251">
        <v>1</v>
      </c>
    </row>
    <row r="899" spans="2:7">
      <c r="B899" s="256" t="s">
        <v>615</v>
      </c>
      <c r="C899" s="250" t="s">
        <v>265</v>
      </c>
      <c r="D899" s="250"/>
      <c r="E899" s="251">
        <v>24</v>
      </c>
      <c r="F899" s="252">
        <v>1</v>
      </c>
      <c r="G899" s="251">
        <v>1</v>
      </c>
    </row>
    <row r="900" spans="2:7">
      <c r="B900" s="256" t="s">
        <v>630</v>
      </c>
      <c r="C900" s="257"/>
      <c r="D900" s="257"/>
      <c r="E900" s="251">
        <v>202</v>
      </c>
      <c r="F900" s="252"/>
      <c r="G900" s="251">
        <v>137</v>
      </c>
    </row>
    <row r="901" spans="2:7">
      <c r="B901" s="256" t="s">
        <v>11</v>
      </c>
      <c r="C901" s="250" t="s">
        <v>631</v>
      </c>
      <c r="D901" s="250" t="s">
        <v>1118</v>
      </c>
      <c r="E901" s="251">
        <v>13</v>
      </c>
      <c r="F901" s="252">
        <v>0.32500000000000001</v>
      </c>
      <c r="G901" s="251">
        <v>13</v>
      </c>
    </row>
    <row r="902" spans="2:7">
      <c r="B902" s="256" t="s">
        <v>11</v>
      </c>
      <c r="C902" s="250" t="s">
        <v>631</v>
      </c>
      <c r="D902" s="250" t="s">
        <v>1119</v>
      </c>
      <c r="E902" s="251">
        <v>4</v>
      </c>
      <c r="F902" s="252">
        <v>0.1</v>
      </c>
      <c r="G902" s="251">
        <v>4</v>
      </c>
    </row>
    <row r="903" spans="2:7">
      <c r="B903" s="256" t="s">
        <v>11</v>
      </c>
      <c r="C903" s="250" t="s">
        <v>631</v>
      </c>
      <c r="D903" s="250" t="s">
        <v>1120</v>
      </c>
      <c r="E903" s="251">
        <v>1</v>
      </c>
      <c r="F903" s="252">
        <v>2.5000000000000001E-2</v>
      </c>
      <c r="G903" s="251">
        <v>1</v>
      </c>
    </row>
    <row r="904" spans="2:7">
      <c r="B904" s="256" t="s">
        <v>11</v>
      </c>
      <c r="C904" s="250" t="s">
        <v>631</v>
      </c>
      <c r="D904" s="250" t="s">
        <v>1121</v>
      </c>
      <c r="E904" s="251">
        <v>2</v>
      </c>
      <c r="F904" s="252">
        <v>0.05</v>
      </c>
      <c r="G904" s="251">
        <v>2</v>
      </c>
    </row>
    <row r="905" spans="2:7">
      <c r="B905" s="256" t="s">
        <v>11</v>
      </c>
      <c r="C905" s="250" t="s">
        <v>631</v>
      </c>
      <c r="D905" s="250" t="s">
        <v>1122</v>
      </c>
      <c r="E905" s="251">
        <v>2</v>
      </c>
      <c r="F905" s="252">
        <v>0.05</v>
      </c>
      <c r="G905" s="251">
        <v>2</v>
      </c>
    </row>
    <row r="906" spans="2:7">
      <c r="B906" s="256" t="s">
        <v>11</v>
      </c>
      <c r="C906" s="250" t="s">
        <v>631</v>
      </c>
      <c r="D906" s="250" t="s">
        <v>1123</v>
      </c>
      <c r="E906" s="251">
        <v>5</v>
      </c>
      <c r="F906" s="252">
        <v>0.125</v>
      </c>
      <c r="G906" s="251">
        <v>5</v>
      </c>
    </row>
    <row r="907" spans="2:7">
      <c r="B907" s="256" t="s">
        <v>11</v>
      </c>
      <c r="C907" s="250" t="s">
        <v>631</v>
      </c>
      <c r="D907" s="250" t="s">
        <v>1124</v>
      </c>
      <c r="E907" s="251">
        <v>4</v>
      </c>
      <c r="F907" s="252">
        <v>0.1</v>
      </c>
      <c r="G907" s="251">
        <v>4</v>
      </c>
    </row>
    <row r="908" spans="2:7">
      <c r="B908" s="256" t="s">
        <v>11</v>
      </c>
      <c r="C908" s="250" t="s">
        <v>631</v>
      </c>
      <c r="D908" s="250" t="s">
        <v>14</v>
      </c>
      <c r="E908" s="251">
        <v>2</v>
      </c>
      <c r="F908" s="252">
        <v>0.05</v>
      </c>
      <c r="G908" s="251">
        <v>2</v>
      </c>
    </row>
    <row r="909" spans="2:7">
      <c r="B909" s="256" t="s">
        <v>11</v>
      </c>
      <c r="C909" s="250" t="s">
        <v>631</v>
      </c>
      <c r="D909" s="250" t="s">
        <v>18</v>
      </c>
      <c r="E909" s="251">
        <v>7</v>
      </c>
      <c r="F909" s="252">
        <v>0.17499999999999999</v>
      </c>
      <c r="G909" s="251">
        <v>7</v>
      </c>
    </row>
    <row r="910" spans="2:7">
      <c r="B910" s="256" t="s">
        <v>11</v>
      </c>
      <c r="C910" s="250" t="s">
        <v>1125</v>
      </c>
      <c r="D910" s="250"/>
      <c r="E910" s="251">
        <v>40</v>
      </c>
      <c r="F910" s="252">
        <v>1</v>
      </c>
      <c r="G910" s="251">
        <v>34</v>
      </c>
    </row>
    <row r="911" spans="2:7">
      <c r="B911" s="256" t="s">
        <v>11</v>
      </c>
      <c r="C911" s="250" t="s">
        <v>632</v>
      </c>
      <c r="D911" s="250" t="s">
        <v>1118</v>
      </c>
      <c r="E911" s="251">
        <v>7</v>
      </c>
      <c r="F911" s="252">
        <v>0.10294117647058823</v>
      </c>
      <c r="G911" s="251">
        <v>7</v>
      </c>
    </row>
    <row r="912" spans="2:7">
      <c r="B912" s="256" t="s">
        <v>11</v>
      </c>
      <c r="C912" s="250" t="s">
        <v>632</v>
      </c>
      <c r="D912" s="250" t="s">
        <v>1119</v>
      </c>
      <c r="E912" s="251">
        <v>7</v>
      </c>
      <c r="F912" s="252">
        <v>0.10294117647058823</v>
      </c>
      <c r="G912" s="251">
        <v>7</v>
      </c>
    </row>
    <row r="913" spans="2:7">
      <c r="B913" s="256" t="s">
        <v>11</v>
      </c>
      <c r="C913" s="250" t="s">
        <v>632</v>
      </c>
      <c r="D913" s="250" t="s">
        <v>1126</v>
      </c>
      <c r="E913" s="251">
        <v>3</v>
      </c>
      <c r="F913" s="252">
        <v>4.4117647058823532E-2</v>
      </c>
      <c r="G913" s="251">
        <v>3</v>
      </c>
    </row>
    <row r="914" spans="2:7">
      <c r="B914" s="256" t="s">
        <v>11</v>
      </c>
      <c r="C914" s="250" t="s">
        <v>632</v>
      </c>
      <c r="D914" s="250" t="s">
        <v>1120</v>
      </c>
      <c r="E914" s="251">
        <v>1</v>
      </c>
      <c r="F914" s="252">
        <v>1.4705882352941176E-2</v>
      </c>
      <c r="G914" s="251">
        <v>1</v>
      </c>
    </row>
    <row r="915" spans="2:7">
      <c r="B915" s="256" t="s">
        <v>11</v>
      </c>
      <c r="C915" s="250" t="s">
        <v>632</v>
      </c>
      <c r="D915" s="250" t="s">
        <v>1127</v>
      </c>
      <c r="E915" s="251">
        <v>1</v>
      </c>
      <c r="F915" s="252">
        <v>1.4705882352941176E-2</v>
      </c>
      <c r="G915" s="251">
        <v>1</v>
      </c>
    </row>
    <row r="916" spans="2:7">
      <c r="B916" s="256" t="s">
        <v>11</v>
      </c>
      <c r="C916" s="250" t="s">
        <v>632</v>
      </c>
      <c r="D916" s="250" t="s">
        <v>1121</v>
      </c>
      <c r="E916" s="251">
        <v>18</v>
      </c>
      <c r="F916" s="252">
        <v>0.26470588235294118</v>
      </c>
      <c r="G916" s="251">
        <v>16</v>
      </c>
    </row>
    <row r="917" spans="2:7">
      <c r="B917" s="256" t="s">
        <v>11</v>
      </c>
      <c r="C917" s="250" t="s">
        <v>632</v>
      </c>
      <c r="D917" s="250" t="s">
        <v>1128</v>
      </c>
      <c r="E917" s="251">
        <v>3</v>
      </c>
      <c r="F917" s="252">
        <v>4.4117647058823532E-2</v>
      </c>
      <c r="G917" s="251">
        <v>3</v>
      </c>
    </row>
    <row r="918" spans="2:7">
      <c r="B918" s="256" t="s">
        <v>11</v>
      </c>
      <c r="C918" s="250" t="s">
        <v>632</v>
      </c>
      <c r="D918" s="250" t="s">
        <v>1122</v>
      </c>
      <c r="E918" s="251">
        <v>12</v>
      </c>
      <c r="F918" s="252">
        <v>0.17647058823529413</v>
      </c>
      <c r="G918" s="251">
        <v>12</v>
      </c>
    </row>
    <row r="919" spans="2:7">
      <c r="B919" s="256" t="s">
        <v>11</v>
      </c>
      <c r="C919" s="250" t="s">
        <v>632</v>
      </c>
      <c r="D919" s="250" t="s">
        <v>1123</v>
      </c>
      <c r="E919" s="251">
        <v>2</v>
      </c>
      <c r="F919" s="252">
        <v>2.9411764705882353E-2</v>
      </c>
      <c r="G919" s="251">
        <v>2</v>
      </c>
    </row>
    <row r="920" spans="2:7">
      <c r="B920" s="256" t="s">
        <v>11</v>
      </c>
      <c r="C920" s="250" t="s">
        <v>632</v>
      </c>
      <c r="D920" s="250" t="s">
        <v>14</v>
      </c>
      <c r="E920" s="251">
        <v>5</v>
      </c>
      <c r="F920" s="252">
        <v>7.3529411764705885E-2</v>
      </c>
      <c r="G920" s="251">
        <v>5</v>
      </c>
    </row>
    <row r="921" spans="2:7">
      <c r="B921" s="256" t="s">
        <v>11</v>
      </c>
      <c r="C921" s="250" t="s">
        <v>632</v>
      </c>
      <c r="D921" s="250" t="s">
        <v>18</v>
      </c>
      <c r="E921" s="251">
        <v>9</v>
      </c>
      <c r="F921" s="252">
        <v>0.13235294117647059</v>
      </c>
      <c r="G921" s="251">
        <v>9</v>
      </c>
    </row>
    <row r="922" spans="2:7">
      <c r="B922" s="256" t="s">
        <v>11</v>
      </c>
      <c r="C922" s="250" t="s">
        <v>1129</v>
      </c>
      <c r="D922" s="250"/>
      <c r="E922" s="251">
        <v>68</v>
      </c>
      <c r="F922" s="252">
        <v>1</v>
      </c>
      <c r="G922" s="251">
        <v>63</v>
      </c>
    </row>
    <row r="923" spans="2:7">
      <c r="B923" s="256" t="s">
        <v>11</v>
      </c>
      <c r="C923" s="250" t="s">
        <v>633</v>
      </c>
      <c r="D923" s="250" t="s">
        <v>1130</v>
      </c>
      <c r="E923" s="251">
        <v>9</v>
      </c>
      <c r="F923" s="252">
        <v>0.36</v>
      </c>
      <c r="G923" s="251">
        <v>9</v>
      </c>
    </row>
    <row r="924" spans="2:7">
      <c r="B924" s="256" t="s">
        <v>11</v>
      </c>
      <c r="C924" s="250" t="s">
        <v>633</v>
      </c>
      <c r="D924" s="250" t="s">
        <v>1131</v>
      </c>
      <c r="E924" s="251">
        <v>6</v>
      </c>
      <c r="F924" s="252">
        <v>0.24</v>
      </c>
      <c r="G924" s="251">
        <v>6</v>
      </c>
    </row>
    <row r="925" spans="2:7">
      <c r="B925" s="256" t="s">
        <v>11</v>
      </c>
      <c r="C925" s="250" t="s">
        <v>633</v>
      </c>
      <c r="D925" s="250" t="s">
        <v>1132</v>
      </c>
      <c r="E925" s="251">
        <v>2</v>
      </c>
      <c r="F925" s="252">
        <v>0.08</v>
      </c>
      <c r="G925" s="251">
        <v>2</v>
      </c>
    </row>
    <row r="926" spans="2:7">
      <c r="B926" s="256" t="s">
        <v>11</v>
      </c>
      <c r="C926" s="250" t="s">
        <v>633</v>
      </c>
      <c r="D926" s="250" t="s">
        <v>1133</v>
      </c>
      <c r="E926" s="251">
        <v>5</v>
      </c>
      <c r="F926" s="252">
        <v>0.2</v>
      </c>
      <c r="G926" s="251">
        <v>5</v>
      </c>
    </row>
    <row r="927" spans="2:7">
      <c r="B927" s="256" t="s">
        <v>11</v>
      </c>
      <c r="C927" s="250" t="s">
        <v>633</v>
      </c>
      <c r="D927" s="250" t="s">
        <v>1134</v>
      </c>
      <c r="E927" s="251">
        <v>2</v>
      </c>
      <c r="F927" s="252">
        <v>0.08</v>
      </c>
      <c r="G927" s="251">
        <v>2</v>
      </c>
    </row>
    <row r="928" spans="2:7">
      <c r="B928" s="256" t="s">
        <v>11</v>
      </c>
      <c r="C928" s="250" t="s">
        <v>633</v>
      </c>
      <c r="D928" s="250" t="s">
        <v>18</v>
      </c>
      <c r="E928" s="251">
        <v>1</v>
      </c>
      <c r="F928" s="252">
        <v>0.04</v>
      </c>
      <c r="G928" s="251">
        <v>1</v>
      </c>
    </row>
    <row r="929" spans="2:7">
      <c r="B929" s="256" t="s">
        <v>11</v>
      </c>
      <c r="C929" s="250" t="s">
        <v>1135</v>
      </c>
      <c r="D929" s="250"/>
      <c r="E929" s="251">
        <v>25</v>
      </c>
      <c r="F929" s="252">
        <v>1</v>
      </c>
      <c r="G929" s="251">
        <v>23</v>
      </c>
    </row>
    <row r="930" spans="2:7">
      <c r="B930" s="256" t="s">
        <v>11</v>
      </c>
      <c r="C930" s="250" t="s">
        <v>634</v>
      </c>
      <c r="D930" s="250" t="s">
        <v>1136</v>
      </c>
      <c r="E930" s="251">
        <v>7</v>
      </c>
      <c r="F930" s="252">
        <v>9.5890410958904104E-2</v>
      </c>
      <c r="G930" s="251">
        <v>7</v>
      </c>
    </row>
    <row r="931" spans="2:7">
      <c r="B931" s="256" t="s">
        <v>11</v>
      </c>
      <c r="C931" s="250" t="s">
        <v>634</v>
      </c>
      <c r="D931" s="250" t="s">
        <v>1137</v>
      </c>
      <c r="E931" s="251">
        <v>32</v>
      </c>
      <c r="F931" s="252">
        <v>0.43835616438356162</v>
      </c>
      <c r="G931" s="251">
        <v>31</v>
      </c>
    </row>
    <row r="932" spans="2:7">
      <c r="B932" s="256" t="s">
        <v>11</v>
      </c>
      <c r="C932" s="250" t="s">
        <v>634</v>
      </c>
      <c r="D932" s="250" t="s">
        <v>1138</v>
      </c>
      <c r="E932" s="251">
        <v>13</v>
      </c>
      <c r="F932" s="252">
        <v>0.17808219178082191</v>
      </c>
      <c r="G932" s="251">
        <v>13</v>
      </c>
    </row>
    <row r="933" spans="2:7">
      <c r="B933" s="256" t="s">
        <v>11</v>
      </c>
      <c r="C933" s="250" t="s">
        <v>634</v>
      </c>
      <c r="D933" s="250" t="s">
        <v>1139</v>
      </c>
      <c r="E933" s="251">
        <v>3</v>
      </c>
      <c r="F933" s="252">
        <v>4.1095890410958902E-2</v>
      </c>
      <c r="G933" s="251">
        <v>3</v>
      </c>
    </row>
    <row r="934" spans="2:7">
      <c r="B934" s="256" t="s">
        <v>11</v>
      </c>
      <c r="C934" s="250" t="s">
        <v>634</v>
      </c>
      <c r="D934" s="250" t="s">
        <v>1140</v>
      </c>
      <c r="E934" s="251">
        <v>1</v>
      </c>
      <c r="F934" s="252">
        <v>1.3698630136986301E-2</v>
      </c>
      <c r="G934" s="251">
        <v>1</v>
      </c>
    </row>
    <row r="935" spans="2:7">
      <c r="B935" s="256" t="s">
        <v>11</v>
      </c>
      <c r="C935" s="250" t="s">
        <v>634</v>
      </c>
      <c r="D935" s="250" t="s">
        <v>1141</v>
      </c>
      <c r="E935" s="251">
        <v>1</v>
      </c>
      <c r="F935" s="252">
        <v>1.3698630136986301E-2</v>
      </c>
      <c r="G935" s="251">
        <v>1</v>
      </c>
    </row>
    <row r="936" spans="2:7">
      <c r="B936" s="256" t="s">
        <v>11</v>
      </c>
      <c r="C936" s="250" t="s">
        <v>634</v>
      </c>
      <c r="D936" s="250" t="s">
        <v>1142</v>
      </c>
      <c r="E936" s="251">
        <v>2</v>
      </c>
      <c r="F936" s="252">
        <v>2.7397260273972601E-2</v>
      </c>
      <c r="G936" s="251">
        <v>2</v>
      </c>
    </row>
    <row r="937" spans="2:7">
      <c r="B937" s="256" t="s">
        <v>11</v>
      </c>
      <c r="C937" s="250" t="s">
        <v>634</v>
      </c>
      <c r="D937" s="250" t="s">
        <v>1143</v>
      </c>
      <c r="E937" s="251">
        <v>3</v>
      </c>
      <c r="F937" s="252">
        <v>4.1095890410958902E-2</v>
      </c>
      <c r="G937" s="251">
        <v>3</v>
      </c>
    </row>
    <row r="938" spans="2:7">
      <c r="B938" s="256" t="s">
        <v>11</v>
      </c>
      <c r="C938" s="250" t="s">
        <v>634</v>
      </c>
      <c r="D938" s="250" t="s">
        <v>14</v>
      </c>
      <c r="E938" s="251">
        <v>4</v>
      </c>
      <c r="F938" s="252">
        <v>5.4794520547945202E-2</v>
      </c>
      <c r="G938" s="251">
        <v>4</v>
      </c>
    </row>
    <row r="939" spans="2:7">
      <c r="B939" s="256" t="s">
        <v>11</v>
      </c>
      <c r="C939" s="250" t="s">
        <v>634</v>
      </c>
      <c r="D939" s="250" t="s">
        <v>18</v>
      </c>
      <c r="E939" s="251">
        <v>7</v>
      </c>
      <c r="F939" s="252">
        <v>9.5890410958904104E-2</v>
      </c>
      <c r="G939" s="251">
        <v>7</v>
      </c>
    </row>
    <row r="940" spans="2:7">
      <c r="B940" s="256" t="s">
        <v>11</v>
      </c>
      <c r="C940" s="250" t="s">
        <v>1144</v>
      </c>
      <c r="D940" s="250"/>
      <c r="E940" s="251">
        <v>73</v>
      </c>
      <c r="F940" s="252">
        <v>1</v>
      </c>
      <c r="G940" s="251">
        <v>59</v>
      </c>
    </row>
    <row r="941" spans="2:7">
      <c r="B941" s="256" t="s">
        <v>11</v>
      </c>
      <c r="C941" s="250" t="s">
        <v>635</v>
      </c>
      <c r="D941" s="250" t="s">
        <v>1145</v>
      </c>
      <c r="E941" s="251">
        <v>11</v>
      </c>
      <c r="F941" s="252">
        <v>5.7591623036649213E-2</v>
      </c>
      <c r="G941" s="251">
        <v>11</v>
      </c>
    </row>
    <row r="942" spans="2:7">
      <c r="B942" s="256" t="s">
        <v>11</v>
      </c>
      <c r="C942" s="250" t="s">
        <v>635</v>
      </c>
      <c r="D942" s="250" t="s">
        <v>1146</v>
      </c>
      <c r="E942" s="251">
        <v>18</v>
      </c>
      <c r="F942" s="252">
        <v>9.4240837696335081E-2</v>
      </c>
      <c r="G942" s="251">
        <v>14</v>
      </c>
    </row>
    <row r="943" spans="2:7">
      <c r="B943" s="256" t="s">
        <v>11</v>
      </c>
      <c r="C943" s="250" t="s">
        <v>635</v>
      </c>
      <c r="D943" s="250" t="s">
        <v>1147</v>
      </c>
      <c r="E943" s="251">
        <v>3</v>
      </c>
      <c r="F943" s="252">
        <v>1.5706806282722512E-2</v>
      </c>
      <c r="G943" s="251">
        <v>3</v>
      </c>
    </row>
    <row r="944" spans="2:7">
      <c r="B944" s="256" t="s">
        <v>11</v>
      </c>
      <c r="C944" s="250" t="s">
        <v>635</v>
      </c>
      <c r="D944" s="250" t="s">
        <v>1148</v>
      </c>
      <c r="E944" s="251">
        <v>11</v>
      </c>
      <c r="F944" s="252">
        <v>5.7591623036649213E-2</v>
      </c>
      <c r="G944" s="251">
        <v>11</v>
      </c>
    </row>
    <row r="945" spans="2:7">
      <c r="B945" s="256" t="s">
        <v>11</v>
      </c>
      <c r="C945" s="250" t="s">
        <v>635</v>
      </c>
      <c r="D945" s="250" t="s">
        <v>1149</v>
      </c>
      <c r="E945" s="251">
        <v>4</v>
      </c>
      <c r="F945" s="252">
        <v>2.0942408376963352E-2</v>
      </c>
      <c r="G945" s="251">
        <v>4</v>
      </c>
    </row>
    <row r="946" spans="2:7">
      <c r="B946" s="256" t="s">
        <v>11</v>
      </c>
      <c r="C946" s="250" t="s">
        <v>635</v>
      </c>
      <c r="D946" s="250" t="s">
        <v>1150</v>
      </c>
      <c r="E946" s="251">
        <v>7</v>
      </c>
      <c r="F946" s="252">
        <v>3.6649214659685861E-2</v>
      </c>
      <c r="G946" s="251">
        <v>6</v>
      </c>
    </row>
    <row r="947" spans="2:7">
      <c r="B947" s="256" t="s">
        <v>11</v>
      </c>
      <c r="C947" s="250" t="s">
        <v>635</v>
      </c>
      <c r="D947" s="250" t="s">
        <v>1151</v>
      </c>
      <c r="E947" s="251">
        <v>2</v>
      </c>
      <c r="F947" s="252">
        <v>1.0471204188481676E-2</v>
      </c>
      <c r="G947" s="251">
        <v>2</v>
      </c>
    </row>
    <row r="948" spans="2:7">
      <c r="B948" s="256" t="s">
        <v>11</v>
      </c>
      <c r="C948" s="250" t="s">
        <v>635</v>
      </c>
      <c r="D948" s="250" t="s">
        <v>14</v>
      </c>
      <c r="E948" s="251">
        <v>98</v>
      </c>
      <c r="F948" s="252">
        <v>0.51308900523560208</v>
      </c>
      <c r="G948" s="251">
        <v>87</v>
      </c>
    </row>
    <row r="949" spans="2:7">
      <c r="B949" s="256" t="s">
        <v>11</v>
      </c>
      <c r="C949" s="250" t="s">
        <v>635</v>
      </c>
      <c r="D949" s="250" t="s">
        <v>1152</v>
      </c>
      <c r="E949" s="251">
        <v>7</v>
      </c>
      <c r="F949" s="252">
        <v>3.6649214659685861E-2</v>
      </c>
      <c r="G949" s="251">
        <v>7</v>
      </c>
    </row>
    <row r="950" spans="2:7">
      <c r="B950" s="256" t="s">
        <v>11</v>
      </c>
      <c r="C950" s="250" t="s">
        <v>635</v>
      </c>
      <c r="D950" s="250" t="s">
        <v>1153</v>
      </c>
      <c r="E950" s="251">
        <v>1</v>
      </c>
      <c r="F950" s="252">
        <v>5.235602094240838E-3</v>
      </c>
      <c r="G950" s="251">
        <v>1</v>
      </c>
    </row>
    <row r="951" spans="2:7">
      <c r="B951" s="256" t="s">
        <v>11</v>
      </c>
      <c r="C951" s="250" t="s">
        <v>635</v>
      </c>
      <c r="D951" s="250" t="s">
        <v>18</v>
      </c>
      <c r="E951" s="251">
        <v>29</v>
      </c>
      <c r="F951" s="252">
        <v>0.15183246073298429</v>
      </c>
      <c r="G951" s="251">
        <v>27</v>
      </c>
    </row>
    <row r="952" spans="2:7">
      <c r="B952" s="256" t="s">
        <v>11</v>
      </c>
      <c r="C952" s="250" t="s">
        <v>1154</v>
      </c>
      <c r="D952" s="250"/>
      <c r="E952" s="251">
        <v>191</v>
      </c>
      <c r="F952" s="252">
        <v>1</v>
      </c>
      <c r="G952" s="251">
        <v>159</v>
      </c>
    </row>
    <row r="953" spans="2:7">
      <c r="B953" s="256" t="s">
        <v>11</v>
      </c>
      <c r="C953" s="250" t="s">
        <v>636</v>
      </c>
      <c r="D953" s="250" t="s">
        <v>1145</v>
      </c>
      <c r="E953" s="251">
        <v>2</v>
      </c>
      <c r="F953" s="252">
        <v>4.878048780487805E-2</v>
      </c>
      <c r="G953" s="251">
        <v>2</v>
      </c>
    </row>
    <row r="954" spans="2:7">
      <c r="B954" s="256" t="s">
        <v>11</v>
      </c>
      <c r="C954" s="250" t="s">
        <v>636</v>
      </c>
      <c r="D954" s="250" t="s">
        <v>1146</v>
      </c>
      <c r="E954" s="251">
        <v>5</v>
      </c>
      <c r="F954" s="252">
        <v>0.12195121951219512</v>
      </c>
      <c r="G954" s="251">
        <v>5</v>
      </c>
    </row>
    <row r="955" spans="2:7">
      <c r="B955" s="256" t="s">
        <v>11</v>
      </c>
      <c r="C955" s="250" t="s">
        <v>636</v>
      </c>
      <c r="D955" s="250" t="s">
        <v>1147</v>
      </c>
      <c r="E955" s="251">
        <v>5</v>
      </c>
      <c r="F955" s="252">
        <v>0.12195121951219512</v>
      </c>
      <c r="G955" s="251">
        <v>5</v>
      </c>
    </row>
    <row r="956" spans="2:7">
      <c r="B956" s="256" t="s">
        <v>11</v>
      </c>
      <c r="C956" s="250" t="s">
        <v>636</v>
      </c>
      <c r="D956" s="250" t="s">
        <v>1148</v>
      </c>
      <c r="E956" s="251">
        <v>4</v>
      </c>
      <c r="F956" s="252">
        <v>9.7560975609756101E-2</v>
      </c>
      <c r="G956" s="251">
        <v>4</v>
      </c>
    </row>
    <row r="957" spans="2:7">
      <c r="B957" s="256" t="s">
        <v>11</v>
      </c>
      <c r="C957" s="250" t="s">
        <v>636</v>
      </c>
      <c r="D957" s="250" t="s">
        <v>1149</v>
      </c>
      <c r="E957" s="251">
        <v>3</v>
      </c>
      <c r="F957" s="252">
        <v>7.3170731707317069E-2</v>
      </c>
      <c r="G957" s="251">
        <v>3</v>
      </c>
    </row>
    <row r="958" spans="2:7">
      <c r="B958" s="256" t="s">
        <v>11</v>
      </c>
      <c r="C958" s="250" t="s">
        <v>636</v>
      </c>
      <c r="D958" s="250" t="s">
        <v>1150</v>
      </c>
      <c r="E958" s="251">
        <v>3</v>
      </c>
      <c r="F958" s="252">
        <v>7.3170731707317069E-2</v>
      </c>
      <c r="G958" s="251">
        <v>3</v>
      </c>
    </row>
    <row r="959" spans="2:7">
      <c r="B959" s="256" t="s">
        <v>11</v>
      </c>
      <c r="C959" s="250" t="s">
        <v>636</v>
      </c>
      <c r="D959" s="250" t="s">
        <v>14</v>
      </c>
      <c r="E959" s="251">
        <v>5</v>
      </c>
      <c r="F959" s="252">
        <v>0.12195121951219512</v>
      </c>
      <c r="G959" s="251">
        <v>5</v>
      </c>
    </row>
    <row r="960" spans="2:7">
      <c r="B960" s="256" t="s">
        <v>11</v>
      </c>
      <c r="C960" s="250" t="s">
        <v>636</v>
      </c>
      <c r="D960" s="250" t="s">
        <v>1152</v>
      </c>
      <c r="E960" s="251">
        <v>3</v>
      </c>
      <c r="F960" s="252">
        <v>7.3170731707317069E-2</v>
      </c>
      <c r="G960" s="251">
        <v>3</v>
      </c>
    </row>
    <row r="961" spans="2:7">
      <c r="B961" s="256" t="s">
        <v>11</v>
      </c>
      <c r="C961" s="250" t="s">
        <v>636</v>
      </c>
      <c r="D961" s="250" t="s">
        <v>1155</v>
      </c>
      <c r="E961" s="251">
        <v>1</v>
      </c>
      <c r="F961" s="252">
        <v>2.4390243902439025E-2</v>
      </c>
      <c r="G961" s="251">
        <v>1</v>
      </c>
    </row>
    <row r="962" spans="2:7">
      <c r="B962" s="256" t="s">
        <v>11</v>
      </c>
      <c r="C962" s="250" t="s">
        <v>636</v>
      </c>
      <c r="D962" s="250" t="s">
        <v>18</v>
      </c>
      <c r="E962" s="251">
        <v>10</v>
      </c>
      <c r="F962" s="252">
        <v>0.24390243902439024</v>
      </c>
      <c r="G962" s="251">
        <v>8</v>
      </c>
    </row>
    <row r="963" spans="2:7">
      <c r="B963" s="256" t="s">
        <v>11</v>
      </c>
      <c r="C963" s="250" t="s">
        <v>1156</v>
      </c>
      <c r="D963" s="250"/>
      <c r="E963" s="251">
        <v>41</v>
      </c>
      <c r="F963" s="252">
        <v>1</v>
      </c>
      <c r="G963" s="251">
        <v>34</v>
      </c>
    </row>
    <row r="964" spans="2:7">
      <c r="B964" s="256" t="s">
        <v>11</v>
      </c>
      <c r="C964" s="250" t="s">
        <v>637</v>
      </c>
      <c r="D964" s="250" t="s">
        <v>1157</v>
      </c>
      <c r="E964" s="251">
        <v>32</v>
      </c>
      <c r="F964" s="252">
        <v>0.18181818181818182</v>
      </c>
      <c r="G964" s="251">
        <v>32</v>
      </c>
    </row>
    <row r="965" spans="2:7">
      <c r="B965" s="256" t="s">
        <v>11</v>
      </c>
      <c r="C965" s="250" t="s">
        <v>637</v>
      </c>
      <c r="D965" s="250" t="s">
        <v>1146</v>
      </c>
      <c r="E965" s="251">
        <v>26</v>
      </c>
      <c r="F965" s="252">
        <v>0.14772727272727273</v>
      </c>
      <c r="G965" s="251">
        <v>25</v>
      </c>
    </row>
    <row r="966" spans="2:7">
      <c r="B966" s="256" t="s">
        <v>11</v>
      </c>
      <c r="C966" s="250" t="s">
        <v>637</v>
      </c>
      <c r="D966" s="250" t="s">
        <v>1147</v>
      </c>
      <c r="E966" s="251">
        <v>4</v>
      </c>
      <c r="F966" s="252">
        <v>2.2727272727272728E-2</v>
      </c>
      <c r="G966" s="251">
        <v>4</v>
      </c>
    </row>
    <row r="967" spans="2:7">
      <c r="B967" s="256" t="s">
        <v>11</v>
      </c>
      <c r="C967" s="250" t="s">
        <v>637</v>
      </c>
      <c r="D967" s="250" t="s">
        <v>1148</v>
      </c>
      <c r="E967" s="251">
        <v>4</v>
      </c>
      <c r="F967" s="252">
        <v>2.2727272727272728E-2</v>
      </c>
      <c r="G967" s="251">
        <v>4</v>
      </c>
    </row>
    <row r="968" spans="2:7">
      <c r="B968" s="256" t="s">
        <v>11</v>
      </c>
      <c r="C968" s="250" t="s">
        <v>637</v>
      </c>
      <c r="D968" s="250" t="s">
        <v>1149</v>
      </c>
      <c r="E968" s="251">
        <v>7</v>
      </c>
      <c r="F968" s="252">
        <v>3.9772727272727272E-2</v>
      </c>
      <c r="G968" s="251">
        <v>7</v>
      </c>
    </row>
    <row r="969" spans="2:7">
      <c r="B969" s="256" t="s">
        <v>11</v>
      </c>
      <c r="C969" s="250" t="s">
        <v>637</v>
      </c>
      <c r="D969" s="250" t="s">
        <v>1158</v>
      </c>
      <c r="E969" s="251">
        <v>14</v>
      </c>
      <c r="F969" s="252">
        <v>7.9545454545454544E-2</v>
      </c>
      <c r="G969" s="251">
        <v>13</v>
      </c>
    </row>
    <row r="970" spans="2:7">
      <c r="B970" s="256" t="s">
        <v>11</v>
      </c>
      <c r="C970" s="250" t="s">
        <v>637</v>
      </c>
      <c r="D970" s="250" t="s">
        <v>1159</v>
      </c>
      <c r="E970" s="251">
        <v>6</v>
      </c>
      <c r="F970" s="252">
        <v>3.4090909090909088E-2</v>
      </c>
      <c r="G970" s="251">
        <v>6</v>
      </c>
    </row>
    <row r="971" spans="2:7">
      <c r="B971" s="256" t="s">
        <v>11</v>
      </c>
      <c r="C971" s="250" t="s">
        <v>637</v>
      </c>
      <c r="D971" s="250" t="s">
        <v>1160</v>
      </c>
      <c r="E971" s="251">
        <v>30</v>
      </c>
      <c r="F971" s="252">
        <v>0.17045454545454544</v>
      </c>
      <c r="G971" s="251">
        <v>30</v>
      </c>
    </row>
    <row r="972" spans="2:7">
      <c r="B972" s="256" t="s">
        <v>11</v>
      </c>
      <c r="C972" s="250" t="s">
        <v>637</v>
      </c>
      <c r="D972" s="250" t="s">
        <v>1161</v>
      </c>
      <c r="E972" s="251">
        <v>3</v>
      </c>
      <c r="F972" s="252">
        <v>1.7045454545454544E-2</v>
      </c>
      <c r="G972" s="251">
        <v>3</v>
      </c>
    </row>
    <row r="973" spans="2:7">
      <c r="B973" s="256" t="s">
        <v>11</v>
      </c>
      <c r="C973" s="250" t="s">
        <v>637</v>
      </c>
      <c r="D973" s="250" t="s">
        <v>1162</v>
      </c>
      <c r="E973" s="251">
        <v>8</v>
      </c>
      <c r="F973" s="252">
        <v>4.5454545454545456E-2</v>
      </c>
      <c r="G973" s="251">
        <v>7</v>
      </c>
    </row>
    <row r="974" spans="2:7">
      <c r="B974" s="256" t="s">
        <v>11</v>
      </c>
      <c r="C974" s="250" t="s">
        <v>637</v>
      </c>
      <c r="D974" s="250" t="s">
        <v>14</v>
      </c>
      <c r="E974" s="251">
        <v>9</v>
      </c>
      <c r="F974" s="252">
        <v>5.113636363636364E-2</v>
      </c>
      <c r="G974" s="251">
        <v>9</v>
      </c>
    </row>
    <row r="975" spans="2:7">
      <c r="B975" s="256" t="s">
        <v>11</v>
      </c>
      <c r="C975" s="250" t="s">
        <v>637</v>
      </c>
      <c r="D975" s="250" t="s">
        <v>1163</v>
      </c>
      <c r="E975" s="251">
        <v>9</v>
      </c>
      <c r="F975" s="252">
        <v>5.113636363636364E-2</v>
      </c>
      <c r="G975" s="251">
        <v>9</v>
      </c>
    </row>
    <row r="976" spans="2:7">
      <c r="B976" s="256" t="s">
        <v>11</v>
      </c>
      <c r="C976" s="250" t="s">
        <v>637</v>
      </c>
      <c r="D976" s="250" t="s">
        <v>1155</v>
      </c>
      <c r="E976" s="251">
        <v>1</v>
      </c>
      <c r="F976" s="252">
        <v>5.681818181818182E-3</v>
      </c>
      <c r="G976" s="251">
        <v>1</v>
      </c>
    </row>
    <row r="977" spans="2:7">
      <c r="B977" s="256" t="s">
        <v>11</v>
      </c>
      <c r="C977" s="250" t="s">
        <v>637</v>
      </c>
      <c r="D977" s="250" t="s">
        <v>1164</v>
      </c>
      <c r="E977" s="251">
        <v>1</v>
      </c>
      <c r="F977" s="252">
        <v>5.681818181818182E-3</v>
      </c>
      <c r="G977" s="251">
        <v>1</v>
      </c>
    </row>
    <row r="978" spans="2:7">
      <c r="B978" s="256" t="s">
        <v>11</v>
      </c>
      <c r="C978" s="250" t="s">
        <v>637</v>
      </c>
      <c r="D978" s="250" t="s">
        <v>18</v>
      </c>
      <c r="E978" s="251">
        <v>22</v>
      </c>
      <c r="F978" s="252">
        <v>0.125</v>
      </c>
      <c r="G978" s="251">
        <v>21</v>
      </c>
    </row>
    <row r="979" spans="2:7">
      <c r="B979" s="256" t="s">
        <v>11</v>
      </c>
      <c r="C979" s="250" t="s">
        <v>1165</v>
      </c>
      <c r="D979" s="250"/>
      <c r="E979" s="251">
        <v>176</v>
      </c>
      <c r="F979" s="252">
        <v>1</v>
      </c>
      <c r="G979" s="251">
        <v>119</v>
      </c>
    </row>
    <row r="980" spans="2:7">
      <c r="B980" s="256" t="s">
        <v>11</v>
      </c>
      <c r="C980" s="250" t="s">
        <v>638</v>
      </c>
      <c r="D980" s="250" t="s">
        <v>1166</v>
      </c>
      <c r="E980" s="251">
        <v>1</v>
      </c>
      <c r="F980" s="252">
        <v>3.125E-2</v>
      </c>
      <c r="G980" s="251">
        <v>1</v>
      </c>
    </row>
    <row r="981" spans="2:7">
      <c r="B981" s="256" t="s">
        <v>11</v>
      </c>
      <c r="C981" s="250" t="s">
        <v>638</v>
      </c>
      <c r="D981" s="250" t="s">
        <v>1167</v>
      </c>
      <c r="E981" s="251">
        <v>4</v>
      </c>
      <c r="F981" s="252">
        <v>0.125</v>
      </c>
      <c r="G981" s="251">
        <v>4</v>
      </c>
    </row>
    <row r="982" spans="2:7">
      <c r="B982" s="256" t="s">
        <v>11</v>
      </c>
      <c r="C982" s="250" t="s">
        <v>638</v>
      </c>
      <c r="D982" s="250" t="s">
        <v>1168</v>
      </c>
      <c r="E982" s="251">
        <v>2</v>
      </c>
      <c r="F982" s="252">
        <v>6.25E-2</v>
      </c>
      <c r="G982" s="251">
        <v>2</v>
      </c>
    </row>
    <row r="983" spans="2:7">
      <c r="B983" s="256" t="s">
        <v>11</v>
      </c>
      <c r="C983" s="250" t="s">
        <v>638</v>
      </c>
      <c r="D983" s="250" t="s">
        <v>14</v>
      </c>
      <c r="E983" s="251">
        <v>8</v>
      </c>
      <c r="F983" s="252">
        <v>0.25</v>
      </c>
      <c r="G983" s="251">
        <v>8</v>
      </c>
    </row>
    <row r="984" spans="2:7">
      <c r="B984" s="256" t="s">
        <v>11</v>
      </c>
      <c r="C984" s="250" t="s">
        <v>638</v>
      </c>
      <c r="D984" s="250" t="s">
        <v>1169</v>
      </c>
      <c r="E984" s="251">
        <v>2</v>
      </c>
      <c r="F984" s="252">
        <v>6.25E-2</v>
      </c>
      <c r="G984" s="251">
        <v>2</v>
      </c>
    </row>
    <row r="985" spans="2:7">
      <c r="B985" s="256" t="s">
        <v>11</v>
      </c>
      <c r="C985" s="250" t="s">
        <v>638</v>
      </c>
      <c r="D985" s="250" t="s">
        <v>18</v>
      </c>
      <c r="E985" s="251">
        <v>15</v>
      </c>
      <c r="F985" s="252">
        <v>0.46875</v>
      </c>
      <c r="G985" s="251">
        <v>15</v>
      </c>
    </row>
    <row r="986" spans="2:7">
      <c r="B986" s="256" t="s">
        <v>11</v>
      </c>
      <c r="C986" s="250" t="s">
        <v>1170</v>
      </c>
      <c r="D986" s="250"/>
      <c r="E986" s="251">
        <v>32</v>
      </c>
      <c r="F986" s="252">
        <v>1</v>
      </c>
      <c r="G986" s="251">
        <v>32</v>
      </c>
    </row>
    <row r="987" spans="2:7">
      <c r="B987" s="256" t="s">
        <v>11</v>
      </c>
      <c r="C987" s="250" t="s">
        <v>639</v>
      </c>
      <c r="D987" s="250" t="s">
        <v>1171</v>
      </c>
      <c r="E987" s="251">
        <v>12</v>
      </c>
      <c r="F987" s="252">
        <v>0.4</v>
      </c>
      <c r="G987" s="251">
        <v>12</v>
      </c>
    </row>
    <row r="988" spans="2:7">
      <c r="B988" s="256" t="s">
        <v>11</v>
      </c>
      <c r="C988" s="250" t="s">
        <v>639</v>
      </c>
      <c r="D988" s="250" t="s">
        <v>1172</v>
      </c>
      <c r="E988" s="251">
        <v>6</v>
      </c>
      <c r="F988" s="252">
        <v>0.2</v>
      </c>
      <c r="G988" s="251">
        <v>6</v>
      </c>
    </row>
    <row r="989" spans="2:7">
      <c r="B989" s="256" t="s">
        <v>11</v>
      </c>
      <c r="C989" s="250" t="s">
        <v>639</v>
      </c>
      <c r="D989" s="250" t="s">
        <v>1173</v>
      </c>
      <c r="E989" s="251">
        <v>2</v>
      </c>
      <c r="F989" s="252">
        <v>6.6666666666666666E-2</v>
      </c>
      <c r="G989" s="251">
        <v>2</v>
      </c>
    </row>
    <row r="990" spans="2:7">
      <c r="B990" s="256" t="s">
        <v>11</v>
      </c>
      <c r="C990" s="250" t="s">
        <v>639</v>
      </c>
      <c r="D990" s="250" t="s">
        <v>14</v>
      </c>
      <c r="E990" s="251">
        <v>8</v>
      </c>
      <c r="F990" s="252">
        <v>0.26666666666666666</v>
      </c>
      <c r="G990" s="251">
        <v>8</v>
      </c>
    </row>
    <row r="991" spans="2:7">
      <c r="B991" s="256" t="s">
        <v>11</v>
      </c>
      <c r="C991" s="250" t="s">
        <v>639</v>
      </c>
      <c r="D991" s="250" t="s">
        <v>18</v>
      </c>
      <c r="E991" s="251">
        <v>2</v>
      </c>
      <c r="F991" s="252">
        <v>6.6666666666666666E-2</v>
      </c>
      <c r="G991" s="251">
        <v>2</v>
      </c>
    </row>
    <row r="992" spans="2:7">
      <c r="B992" s="256" t="s">
        <v>11</v>
      </c>
      <c r="C992" s="250" t="s">
        <v>1174</v>
      </c>
      <c r="D992" s="250"/>
      <c r="E992" s="251">
        <v>30</v>
      </c>
      <c r="F992" s="252">
        <v>1</v>
      </c>
      <c r="G992" s="251">
        <v>30</v>
      </c>
    </row>
    <row r="993" spans="2:7">
      <c r="B993" s="256" t="s">
        <v>11</v>
      </c>
      <c r="C993" s="250" t="s">
        <v>640</v>
      </c>
      <c r="D993" s="250" t="s">
        <v>1175</v>
      </c>
      <c r="E993" s="251">
        <v>2</v>
      </c>
      <c r="F993" s="252">
        <v>0.05</v>
      </c>
      <c r="G993" s="251">
        <v>2</v>
      </c>
    </row>
    <row r="994" spans="2:7">
      <c r="B994" s="256" t="s">
        <v>11</v>
      </c>
      <c r="C994" s="250" t="s">
        <v>640</v>
      </c>
      <c r="D994" s="250" t="s">
        <v>1176</v>
      </c>
      <c r="E994" s="251">
        <v>2</v>
      </c>
      <c r="F994" s="252">
        <v>0.05</v>
      </c>
      <c r="G994" s="251">
        <v>2</v>
      </c>
    </row>
    <row r="995" spans="2:7">
      <c r="B995" s="256" t="s">
        <v>11</v>
      </c>
      <c r="C995" s="250" t="s">
        <v>640</v>
      </c>
      <c r="D995" s="250" t="s">
        <v>1177</v>
      </c>
      <c r="E995" s="251">
        <v>4</v>
      </c>
      <c r="F995" s="252">
        <v>0.1</v>
      </c>
      <c r="G995" s="251">
        <v>4</v>
      </c>
    </row>
    <row r="996" spans="2:7">
      <c r="B996" s="256" t="s">
        <v>11</v>
      </c>
      <c r="C996" s="250" t="s">
        <v>640</v>
      </c>
      <c r="D996" s="250" t="s">
        <v>1178</v>
      </c>
      <c r="E996" s="251">
        <v>1</v>
      </c>
      <c r="F996" s="252">
        <v>2.5000000000000001E-2</v>
      </c>
      <c r="G996" s="251">
        <v>1</v>
      </c>
    </row>
    <row r="997" spans="2:7">
      <c r="B997" s="256" t="s">
        <v>11</v>
      </c>
      <c r="C997" s="250" t="s">
        <v>640</v>
      </c>
      <c r="D997" s="250" t="s">
        <v>1179</v>
      </c>
      <c r="E997" s="251">
        <v>1</v>
      </c>
      <c r="F997" s="252">
        <v>2.5000000000000001E-2</v>
      </c>
      <c r="G997" s="251">
        <v>1</v>
      </c>
    </row>
    <row r="998" spans="2:7">
      <c r="B998" s="256" t="s">
        <v>11</v>
      </c>
      <c r="C998" s="250" t="s">
        <v>640</v>
      </c>
      <c r="D998" s="250" t="s">
        <v>1180</v>
      </c>
      <c r="E998" s="251">
        <v>1</v>
      </c>
      <c r="F998" s="252">
        <v>2.5000000000000001E-2</v>
      </c>
      <c r="G998" s="251">
        <v>1</v>
      </c>
    </row>
    <row r="999" spans="2:7">
      <c r="B999" s="256" t="s">
        <v>11</v>
      </c>
      <c r="C999" s="250" t="s">
        <v>640</v>
      </c>
      <c r="D999" s="250" t="s">
        <v>1181</v>
      </c>
      <c r="E999" s="251">
        <v>1</v>
      </c>
      <c r="F999" s="252">
        <v>2.5000000000000001E-2</v>
      </c>
      <c r="G999" s="251">
        <v>1</v>
      </c>
    </row>
    <row r="1000" spans="2:7">
      <c r="B1000" s="256" t="s">
        <v>11</v>
      </c>
      <c r="C1000" s="250" t="s">
        <v>640</v>
      </c>
      <c r="D1000" s="250" t="s">
        <v>1182</v>
      </c>
      <c r="E1000" s="251">
        <v>1</v>
      </c>
      <c r="F1000" s="252">
        <v>2.5000000000000001E-2</v>
      </c>
      <c r="G1000" s="251">
        <v>1</v>
      </c>
    </row>
    <row r="1001" spans="2:7">
      <c r="B1001" s="256" t="s">
        <v>11</v>
      </c>
      <c r="C1001" s="250" t="s">
        <v>640</v>
      </c>
      <c r="D1001" s="250" t="s">
        <v>14</v>
      </c>
      <c r="E1001" s="251">
        <v>8</v>
      </c>
      <c r="F1001" s="252">
        <v>0.2</v>
      </c>
      <c r="G1001" s="251">
        <v>8</v>
      </c>
    </row>
    <row r="1002" spans="2:7">
      <c r="B1002" s="256" t="s">
        <v>11</v>
      </c>
      <c r="C1002" s="250" t="s">
        <v>640</v>
      </c>
      <c r="D1002" s="250" t="s">
        <v>18</v>
      </c>
      <c r="E1002" s="251">
        <v>19</v>
      </c>
      <c r="F1002" s="252">
        <v>0.47499999999999998</v>
      </c>
      <c r="G1002" s="251">
        <v>19</v>
      </c>
    </row>
    <row r="1003" spans="2:7">
      <c r="B1003" s="256" t="s">
        <v>11</v>
      </c>
      <c r="C1003" s="250" t="s">
        <v>1183</v>
      </c>
      <c r="D1003" s="250"/>
      <c r="E1003" s="251">
        <v>40</v>
      </c>
      <c r="F1003" s="252">
        <v>1</v>
      </c>
      <c r="G1003" s="251">
        <v>39</v>
      </c>
    </row>
    <row r="1004" spans="2:7">
      <c r="B1004" s="256" t="s">
        <v>11</v>
      </c>
      <c r="C1004" s="250" t="s">
        <v>14</v>
      </c>
      <c r="D1004" s="250" t="s">
        <v>14</v>
      </c>
      <c r="E1004" s="251">
        <v>192</v>
      </c>
      <c r="F1004" s="252">
        <v>1</v>
      </c>
      <c r="G1004" s="251">
        <v>1</v>
      </c>
    </row>
    <row r="1005" spans="2:7">
      <c r="B1005" s="256" t="s">
        <v>11</v>
      </c>
      <c r="C1005" s="250" t="s">
        <v>265</v>
      </c>
      <c r="D1005" s="250"/>
      <c r="E1005" s="251">
        <v>192</v>
      </c>
      <c r="F1005" s="252">
        <v>1</v>
      </c>
      <c r="G1005" s="251">
        <v>1</v>
      </c>
    </row>
    <row r="1006" spans="2:7">
      <c r="B1006" s="256" t="s">
        <v>134</v>
      </c>
      <c r="C1006" s="257"/>
      <c r="D1006" s="257"/>
      <c r="E1006" s="251">
        <v>908</v>
      </c>
      <c r="F1006" s="252"/>
      <c r="G1006" s="251">
        <v>494</v>
      </c>
    </row>
    <row r="1007" spans="2:7">
      <c r="B1007" s="256" t="s">
        <v>12</v>
      </c>
      <c r="C1007" s="250" t="s">
        <v>641</v>
      </c>
      <c r="D1007" s="250" t="s">
        <v>1184</v>
      </c>
      <c r="E1007" s="251">
        <v>2</v>
      </c>
      <c r="F1007" s="252">
        <v>0.22222222222222221</v>
      </c>
      <c r="G1007" s="251">
        <v>2</v>
      </c>
    </row>
    <row r="1008" spans="2:7">
      <c r="B1008" s="256" t="s">
        <v>12</v>
      </c>
      <c r="C1008" s="250" t="s">
        <v>641</v>
      </c>
      <c r="D1008" s="250" t="s">
        <v>1185</v>
      </c>
      <c r="E1008" s="251">
        <v>1</v>
      </c>
      <c r="F1008" s="252">
        <v>0.1111111111111111</v>
      </c>
      <c r="G1008" s="251">
        <v>1</v>
      </c>
    </row>
    <row r="1009" spans="2:7">
      <c r="B1009" s="256" t="s">
        <v>12</v>
      </c>
      <c r="C1009" s="250" t="s">
        <v>641</v>
      </c>
      <c r="D1009" s="250" t="s">
        <v>1186</v>
      </c>
      <c r="E1009" s="251">
        <v>3</v>
      </c>
      <c r="F1009" s="252">
        <v>0.33333333333333331</v>
      </c>
      <c r="G1009" s="251">
        <v>2</v>
      </c>
    </row>
    <row r="1010" spans="2:7">
      <c r="B1010" s="256" t="s">
        <v>12</v>
      </c>
      <c r="C1010" s="250" t="s">
        <v>641</v>
      </c>
      <c r="D1010" s="250" t="s">
        <v>1187</v>
      </c>
      <c r="E1010" s="251">
        <v>1</v>
      </c>
      <c r="F1010" s="252">
        <v>0.1111111111111111</v>
      </c>
      <c r="G1010" s="251">
        <v>1</v>
      </c>
    </row>
    <row r="1011" spans="2:7">
      <c r="B1011" s="256" t="s">
        <v>12</v>
      </c>
      <c r="C1011" s="250" t="s">
        <v>641</v>
      </c>
      <c r="D1011" s="250" t="s">
        <v>18</v>
      </c>
      <c r="E1011" s="251">
        <v>2</v>
      </c>
      <c r="F1011" s="252">
        <v>0.22222222222222221</v>
      </c>
      <c r="G1011" s="251">
        <v>2</v>
      </c>
    </row>
    <row r="1012" spans="2:7">
      <c r="B1012" s="256" t="s">
        <v>12</v>
      </c>
      <c r="C1012" s="250" t="s">
        <v>1188</v>
      </c>
      <c r="D1012" s="250"/>
      <c r="E1012" s="251">
        <v>9</v>
      </c>
      <c r="F1012" s="252">
        <v>1</v>
      </c>
      <c r="G1012" s="251">
        <v>6</v>
      </c>
    </row>
    <row r="1013" spans="2:7">
      <c r="B1013" s="256" t="s">
        <v>12</v>
      </c>
      <c r="C1013" s="250" t="s">
        <v>642</v>
      </c>
      <c r="D1013" s="250" t="s">
        <v>1189</v>
      </c>
      <c r="E1013" s="251">
        <v>26</v>
      </c>
      <c r="F1013" s="252">
        <v>0.32098765432098764</v>
      </c>
      <c r="G1013" s="251">
        <v>19</v>
      </c>
    </row>
    <row r="1014" spans="2:7">
      <c r="B1014" s="256" t="s">
        <v>12</v>
      </c>
      <c r="C1014" s="250" t="s">
        <v>642</v>
      </c>
      <c r="D1014" s="250" t="s">
        <v>1190</v>
      </c>
      <c r="E1014" s="251">
        <v>8</v>
      </c>
      <c r="F1014" s="252">
        <v>9.8765432098765427E-2</v>
      </c>
      <c r="G1014" s="251">
        <v>8</v>
      </c>
    </row>
    <row r="1015" spans="2:7">
      <c r="B1015" s="256" t="s">
        <v>12</v>
      </c>
      <c r="C1015" s="250" t="s">
        <v>642</v>
      </c>
      <c r="D1015" s="250" t="s">
        <v>1191</v>
      </c>
      <c r="E1015" s="251">
        <v>1</v>
      </c>
      <c r="F1015" s="252">
        <v>1.2345679012345678E-2</v>
      </c>
      <c r="G1015" s="251">
        <v>1</v>
      </c>
    </row>
    <row r="1016" spans="2:7">
      <c r="B1016" s="256" t="s">
        <v>12</v>
      </c>
      <c r="C1016" s="250" t="s">
        <v>642</v>
      </c>
      <c r="D1016" s="250" t="s">
        <v>1192</v>
      </c>
      <c r="E1016" s="251">
        <v>29</v>
      </c>
      <c r="F1016" s="252">
        <v>0.35802469135802467</v>
      </c>
      <c r="G1016" s="251">
        <v>24</v>
      </c>
    </row>
    <row r="1017" spans="2:7">
      <c r="B1017" s="256" t="s">
        <v>12</v>
      </c>
      <c r="C1017" s="250" t="s">
        <v>642</v>
      </c>
      <c r="D1017" s="250" t="s">
        <v>1193</v>
      </c>
      <c r="E1017" s="251">
        <v>2</v>
      </c>
      <c r="F1017" s="252">
        <v>2.4691358024691357E-2</v>
      </c>
      <c r="G1017" s="251">
        <v>2</v>
      </c>
    </row>
    <row r="1018" spans="2:7">
      <c r="B1018" s="256" t="s">
        <v>12</v>
      </c>
      <c r="C1018" s="250" t="s">
        <v>642</v>
      </c>
      <c r="D1018" s="250" t="s">
        <v>1194</v>
      </c>
      <c r="E1018" s="251">
        <v>5</v>
      </c>
      <c r="F1018" s="252">
        <v>6.1728395061728392E-2</v>
      </c>
      <c r="G1018" s="251">
        <v>4</v>
      </c>
    </row>
    <row r="1019" spans="2:7">
      <c r="B1019" s="256" t="s">
        <v>12</v>
      </c>
      <c r="C1019" s="250" t="s">
        <v>642</v>
      </c>
      <c r="D1019" s="250" t="s">
        <v>14</v>
      </c>
      <c r="E1019" s="251">
        <v>2</v>
      </c>
      <c r="F1019" s="252">
        <v>2.4691358024691357E-2</v>
      </c>
      <c r="G1019" s="251">
        <v>2</v>
      </c>
    </row>
    <row r="1020" spans="2:7">
      <c r="B1020" s="256" t="s">
        <v>12</v>
      </c>
      <c r="C1020" s="250" t="s">
        <v>642</v>
      </c>
      <c r="D1020" s="250" t="s">
        <v>18</v>
      </c>
      <c r="E1020" s="251">
        <v>8</v>
      </c>
      <c r="F1020" s="252">
        <v>9.8765432098765427E-2</v>
      </c>
      <c r="G1020" s="251">
        <v>7</v>
      </c>
    </row>
    <row r="1021" spans="2:7">
      <c r="B1021" s="256" t="s">
        <v>12</v>
      </c>
      <c r="C1021" s="250" t="s">
        <v>1195</v>
      </c>
      <c r="D1021" s="250"/>
      <c r="E1021" s="251">
        <v>81</v>
      </c>
      <c r="F1021" s="252">
        <v>1</v>
      </c>
      <c r="G1021" s="251">
        <v>57</v>
      </c>
    </row>
    <row r="1022" spans="2:7">
      <c r="B1022" s="256" t="s">
        <v>12</v>
      </c>
      <c r="C1022" s="250" t="s">
        <v>643</v>
      </c>
      <c r="D1022" s="250" t="s">
        <v>1189</v>
      </c>
      <c r="E1022" s="251">
        <v>5</v>
      </c>
      <c r="F1022" s="252">
        <v>0.625</v>
      </c>
      <c r="G1022" s="251">
        <v>4</v>
      </c>
    </row>
    <row r="1023" spans="2:7">
      <c r="B1023" s="256" t="s">
        <v>12</v>
      </c>
      <c r="C1023" s="250" t="s">
        <v>643</v>
      </c>
      <c r="D1023" s="250" t="s">
        <v>1196</v>
      </c>
      <c r="E1023" s="251">
        <v>1</v>
      </c>
      <c r="F1023" s="252">
        <v>0.125</v>
      </c>
      <c r="G1023" s="251">
        <v>1</v>
      </c>
    </row>
    <row r="1024" spans="2:7">
      <c r="B1024" s="256" t="s">
        <v>12</v>
      </c>
      <c r="C1024" s="250" t="s">
        <v>643</v>
      </c>
      <c r="D1024" s="250" t="s">
        <v>1191</v>
      </c>
      <c r="E1024" s="251">
        <v>2</v>
      </c>
      <c r="F1024" s="252">
        <v>0.25</v>
      </c>
      <c r="G1024" s="251">
        <v>2</v>
      </c>
    </row>
    <row r="1025" spans="2:7">
      <c r="B1025" s="256" t="s">
        <v>12</v>
      </c>
      <c r="C1025" s="250" t="s">
        <v>1197</v>
      </c>
      <c r="D1025" s="250"/>
      <c r="E1025" s="251">
        <v>8</v>
      </c>
      <c r="F1025" s="252">
        <v>1</v>
      </c>
      <c r="G1025" s="251">
        <v>6</v>
      </c>
    </row>
    <row r="1026" spans="2:7">
      <c r="B1026" s="256" t="s">
        <v>12</v>
      </c>
      <c r="C1026" s="250" t="s">
        <v>644</v>
      </c>
      <c r="D1026" s="250" t="s">
        <v>1189</v>
      </c>
      <c r="E1026" s="251">
        <v>2</v>
      </c>
      <c r="F1026" s="252">
        <v>0.1</v>
      </c>
      <c r="G1026" s="251">
        <v>2</v>
      </c>
    </row>
    <row r="1027" spans="2:7">
      <c r="B1027" s="256" t="s">
        <v>12</v>
      </c>
      <c r="C1027" s="250" t="s">
        <v>644</v>
      </c>
      <c r="D1027" s="250" t="s">
        <v>1190</v>
      </c>
      <c r="E1027" s="251">
        <v>3</v>
      </c>
      <c r="F1027" s="252">
        <v>0.15</v>
      </c>
      <c r="G1027" s="251">
        <v>3</v>
      </c>
    </row>
    <row r="1028" spans="2:7">
      <c r="B1028" s="256" t="s">
        <v>12</v>
      </c>
      <c r="C1028" s="250" t="s">
        <v>644</v>
      </c>
      <c r="D1028" s="250" t="s">
        <v>1196</v>
      </c>
      <c r="E1028" s="251">
        <v>10</v>
      </c>
      <c r="F1028" s="252">
        <v>0.5</v>
      </c>
      <c r="G1028" s="251">
        <v>10</v>
      </c>
    </row>
    <row r="1029" spans="2:7">
      <c r="B1029" s="256" t="s">
        <v>12</v>
      </c>
      <c r="C1029" s="250" t="s">
        <v>644</v>
      </c>
      <c r="D1029" s="250" t="s">
        <v>18</v>
      </c>
      <c r="E1029" s="251">
        <v>5</v>
      </c>
      <c r="F1029" s="252">
        <v>0.25</v>
      </c>
      <c r="G1029" s="251">
        <v>5</v>
      </c>
    </row>
    <row r="1030" spans="2:7">
      <c r="B1030" s="256" t="s">
        <v>12</v>
      </c>
      <c r="C1030" s="250" t="s">
        <v>1198</v>
      </c>
      <c r="D1030" s="250"/>
      <c r="E1030" s="251">
        <v>20</v>
      </c>
      <c r="F1030" s="252">
        <v>1</v>
      </c>
      <c r="G1030" s="251">
        <v>17</v>
      </c>
    </row>
    <row r="1031" spans="2:7">
      <c r="B1031" s="256" t="s">
        <v>12</v>
      </c>
      <c r="C1031" s="250" t="s">
        <v>645</v>
      </c>
      <c r="D1031" s="250" t="s">
        <v>1196</v>
      </c>
      <c r="E1031" s="251">
        <v>6</v>
      </c>
      <c r="F1031" s="252">
        <v>1</v>
      </c>
      <c r="G1031" s="251">
        <v>5</v>
      </c>
    </row>
    <row r="1032" spans="2:7">
      <c r="B1032" s="256" t="s">
        <v>12</v>
      </c>
      <c r="C1032" s="250" t="s">
        <v>1199</v>
      </c>
      <c r="D1032" s="250"/>
      <c r="E1032" s="251">
        <v>6</v>
      </c>
      <c r="F1032" s="252">
        <v>1</v>
      </c>
      <c r="G1032" s="251">
        <v>5</v>
      </c>
    </row>
    <row r="1033" spans="2:7">
      <c r="B1033" s="256" t="s">
        <v>12</v>
      </c>
      <c r="C1033" s="250" t="s">
        <v>646</v>
      </c>
      <c r="D1033" s="250" t="s">
        <v>1200</v>
      </c>
      <c r="E1033" s="251">
        <v>76</v>
      </c>
      <c r="F1033" s="252">
        <v>0.74509803921568629</v>
      </c>
      <c r="G1033" s="251">
        <v>48</v>
      </c>
    </row>
    <row r="1034" spans="2:7">
      <c r="B1034" s="256" t="s">
        <v>12</v>
      </c>
      <c r="C1034" s="250" t="s">
        <v>646</v>
      </c>
      <c r="D1034" s="250" t="s">
        <v>1185</v>
      </c>
      <c r="E1034" s="251">
        <v>1</v>
      </c>
      <c r="F1034" s="252">
        <v>9.8039215686274508E-3</v>
      </c>
      <c r="G1034" s="251">
        <v>1</v>
      </c>
    </row>
    <row r="1035" spans="2:7">
      <c r="B1035" s="256" t="s">
        <v>12</v>
      </c>
      <c r="C1035" s="250" t="s">
        <v>646</v>
      </c>
      <c r="D1035" s="250" t="s">
        <v>1201</v>
      </c>
      <c r="E1035" s="251">
        <v>2</v>
      </c>
      <c r="F1035" s="252">
        <v>1.9607843137254902E-2</v>
      </c>
      <c r="G1035" s="251">
        <v>2</v>
      </c>
    </row>
    <row r="1036" spans="2:7">
      <c r="B1036" s="256" t="s">
        <v>12</v>
      </c>
      <c r="C1036" s="250" t="s">
        <v>646</v>
      </c>
      <c r="D1036" s="250" t="s">
        <v>1202</v>
      </c>
      <c r="E1036" s="251">
        <v>2</v>
      </c>
      <c r="F1036" s="252">
        <v>1.9607843137254902E-2</v>
      </c>
      <c r="G1036" s="251">
        <v>2</v>
      </c>
    </row>
    <row r="1037" spans="2:7">
      <c r="B1037" s="256" t="s">
        <v>12</v>
      </c>
      <c r="C1037" s="250" t="s">
        <v>646</v>
      </c>
      <c r="D1037" s="250" t="s">
        <v>1191</v>
      </c>
      <c r="E1037" s="251">
        <v>2</v>
      </c>
      <c r="F1037" s="252">
        <v>1.9607843137254902E-2</v>
      </c>
      <c r="G1037" s="251">
        <v>1</v>
      </c>
    </row>
    <row r="1038" spans="2:7">
      <c r="B1038" s="256" t="s">
        <v>12</v>
      </c>
      <c r="C1038" s="250" t="s">
        <v>646</v>
      </c>
      <c r="D1038" s="250" t="s">
        <v>14</v>
      </c>
      <c r="E1038" s="251">
        <v>3</v>
      </c>
      <c r="F1038" s="252">
        <v>2.9411764705882353E-2</v>
      </c>
      <c r="G1038" s="251">
        <v>3</v>
      </c>
    </row>
    <row r="1039" spans="2:7">
      <c r="B1039" s="256" t="s">
        <v>12</v>
      </c>
      <c r="C1039" s="250" t="s">
        <v>646</v>
      </c>
      <c r="D1039" s="250" t="s">
        <v>1203</v>
      </c>
      <c r="E1039" s="251">
        <v>8</v>
      </c>
      <c r="F1039" s="252">
        <v>7.8431372549019607E-2</v>
      </c>
      <c r="G1039" s="251">
        <v>8</v>
      </c>
    </row>
    <row r="1040" spans="2:7">
      <c r="B1040" s="256" t="s">
        <v>12</v>
      </c>
      <c r="C1040" s="250" t="s">
        <v>646</v>
      </c>
      <c r="D1040" s="250" t="s">
        <v>18</v>
      </c>
      <c r="E1040" s="251">
        <v>8</v>
      </c>
      <c r="F1040" s="252">
        <v>7.8431372549019607E-2</v>
      </c>
      <c r="G1040" s="251">
        <v>8</v>
      </c>
    </row>
    <row r="1041" spans="2:7">
      <c r="B1041" s="256" t="s">
        <v>12</v>
      </c>
      <c r="C1041" s="250" t="s">
        <v>1204</v>
      </c>
      <c r="D1041" s="250"/>
      <c r="E1041" s="251">
        <v>102</v>
      </c>
      <c r="F1041" s="252">
        <v>1</v>
      </c>
      <c r="G1041" s="251">
        <v>63</v>
      </c>
    </row>
    <row r="1042" spans="2:7">
      <c r="B1042" s="256" t="s">
        <v>12</v>
      </c>
      <c r="C1042" s="250" t="s">
        <v>647</v>
      </c>
      <c r="D1042" s="250" t="s">
        <v>1205</v>
      </c>
      <c r="E1042" s="251">
        <v>2</v>
      </c>
      <c r="F1042" s="252">
        <v>0.66666666666666663</v>
      </c>
      <c r="G1042" s="251">
        <v>1</v>
      </c>
    </row>
    <row r="1043" spans="2:7">
      <c r="B1043" s="256" t="s">
        <v>12</v>
      </c>
      <c r="C1043" s="250" t="s">
        <v>647</v>
      </c>
      <c r="D1043" s="250" t="s">
        <v>1206</v>
      </c>
      <c r="E1043" s="251">
        <v>1</v>
      </c>
      <c r="F1043" s="252">
        <v>0.33333333333333331</v>
      </c>
      <c r="G1043" s="251">
        <v>1</v>
      </c>
    </row>
    <row r="1044" spans="2:7">
      <c r="B1044" s="256" t="s">
        <v>12</v>
      </c>
      <c r="C1044" s="250" t="s">
        <v>1207</v>
      </c>
      <c r="D1044" s="250"/>
      <c r="E1044" s="251">
        <v>3</v>
      </c>
      <c r="F1044" s="252">
        <v>1</v>
      </c>
      <c r="G1044" s="251">
        <v>1</v>
      </c>
    </row>
    <row r="1045" spans="2:7">
      <c r="B1045" s="256" t="s">
        <v>12</v>
      </c>
      <c r="C1045" s="250" t="s">
        <v>648</v>
      </c>
      <c r="D1045" s="250" t="s">
        <v>1208</v>
      </c>
      <c r="E1045" s="251">
        <v>2</v>
      </c>
      <c r="F1045" s="252">
        <v>0.13333333333333333</v>
      </c>
      <c r="G1045" s="251">
        <v>2</v>
      </c>
    </row>
    <row r="1046" spans="2:7">
      <c r="B1046" s="256" t="s">
        <v>12</v>
      </c>
      <c r="C1046" s="250" t="s">
        <v>648</v>
      </c>
      <c r="D1046" s="250" t="s">
        <v>1209</v>
      </c>
      <c r="E1046" s="251">
        <v>2</v>
      </c>
      <c r="F1046" s="252">
        <v>0.13333333333333333</v>
      </c>
      <c r="G1046" s="251">
        <v>2</v>
      </c>
    </row>
    <row r="1047" spans="2:7">
      <c r="B1047" s="256" t="s">
        <v>12</v>
      </c>
      <c r="C1047" s="250" t="s">
        <v>648</v>
      </c>
      <c r="D1047" s="250" t="s">
        <v>14</v>
      </c>
      <c r="E1047" s="251">
        <v>2</v>
      </c>
      <c r="F1047" s="252">
        <v>0.13333333333333333</v>
      </c>
      <c r="G1047" s="251">
        <v>2</v>
      </c>
    </row>
    <row r="1048" spans="2:7">
      <c r="B1048" s="256" t="s">
        <v>12</v>
      </c>
      <c r="C1048" s="250" t="s">
        <v>648</v>
      </c>
      <c r="D1048" s="250" t="s">
        <v>18</v>
      </c>
      <c r="E1048" s="251">
        <v>9</v>
      </c>
      <c r="F1048" s="252">
        <v>0.6</v>
      </c>
      <c r="G1048" s="251">
        <v>9</v>
      </c>
    </row>
    <row r="1049" spans="2:7">
      <c r="B1049" s="256" t="s">
        <v>12</v>
      </c>
      <c r="C1049" s="250" t="s">
        <v>1210</v>
      </c>
      <c r="D1049" s="250"/>
      <c r="E1049" s="251">
        <v>15</v>
      </c>
      <c r="F1049" s="252">
        <v>1</v>
      </c>
      <c r="G1049" s="251">
        <v>15</v>
      </c>
    </row>
    <row r="1050" spans="2:7">
      <c r="B1050" s="256" t="s">
        <v>12</v>
      </c>
      <c r="C1050" s="250" t="s">
        <v>14</v>
      </c>
      <c r="D1050" s="250" t="s">
        <v>14</v>
      </c>
      <c r="E1050" s="251">
        <v>55</v>
      </c>
      <c r="F1050" s="252">
        <v>1</v>
      </c>
      <c r="G1050" s="251">
        <v>1</v>
      </c>
    </row>
    <row r="1051" spans="2:7">
      <c r="B1051" s="256" t="s">
        <v>12</v>
      </c>
      <c r="C1051" s="250" t="s">
        <v>265</v>
      </c>
      <c r="D1051" s="250"/>
      <c r="E1051" s="251">
        <v>55</v>
      </c>
      <c r="F1051" s="252">
        <v>1</v>
      </c>
      <c r="G1051" s="251">
        <v>1</v>
      </c>
    </row>
    <row r="1052" spans="2:7">
      <c r="B1052" s="256" t="s">
        <v>135</v>
      </c>
      <c r="C1052" s="257"/>
      <c r="D1052" s="257"/>
      <c r="E1052" s="251">
        <v>299</v>
      </c>
      <c r="F1052" s="252"/>
      <c r="G1052" s="251">
        <v>143</v>
      </c>
    </row>
    <row r="1053" spans="2:7">
      <c r="B1053" s="256" t="s">
        <v>308</v>
      </c>
      <c r="C1053" s="250" t="s">
        <v>649</v>
      </c>
      <c r="D1053" s="250" t="s">
        <v>1211</v>
      </c>
      <c r="E1053" s="251">
        <v>11</v>
      </c>
      <c r="F1053" s="252">
        <v>0.47826086956521741</v>
      </c>
      <c r="G1053" s="251">
        <v>11</v>
      </c>
    </row>
    <row r="1054" spans="2:7">
      <c r="B1054" s="256" t="s">
        <v>308</v>
      </c>
      <c r="C1054" s="250" t="s">
        <v>649</v>
      </c>
      <c r="D1054" s="250" t="s">
        <v>1201</v>
      </c>
      <c r="E1054" s="251">
        <v>2</v>
      </c>
      <c r="F1054" s="252">
        <v>8.6956521739130432E-2</v>
      </c>
      <c r="G1054" s="251">
        <v>2</v>
      </c>
    </row>
    <row r="1055" spans="2:7">
      <c r="B1055" s="256" t="s">
        <v>308</v>
      </c>
      <c r="C1055" s="250" t="s">
        <v>649</v>
      </c>
      <c r="D1055" s="250" t="s">
        <v>1212</v>
      </c>
      <c r="E1055" s="251">
        <v>1</v>
      </c>
      <c r="F1055" s="252">
        <v>4.3478260869565216E-2</v>
      </c>
      <c r="G1055" s="251">
        <v>1</v>
      </c>
    </row>
    <row r="1056" spans="2:7">
      <c r="B1056" s="256" t="s">
        <v>308</v>
      </c>
      <c r="C1056" s="250" t="s">
        <v>649</v>
      </c>
      <c r="D1056" s="250" t="s">
        <v>1213</v>
      </c>
      <c r="E1056" s="251">
        <v>5</v>
      </c>
      <c r="F1056" s="252">
        <v>0.21739130434782608</v>
      </c>
      <c r="G1056" s="251">
        <v>5</v>
      </c>
    </row>
    <row r="1057" spans="2:7">
      <c r="B1057" s="256" t="s">
        <v>308</v>
      </c>
      <c r="C1057" s="250" t="s">
        <v>649</v>
      </c>
      <c r="D1057" s="250" t="s">
        <v>14</v>
      </c>
      <c r="E1057" s="251">
        <v>1</v>
      </c>
      <c r="F1057" s="252">
        <v>4.3478260869565216E-2</v>
      </c>
      <c r="G1057" s="251">
        <v>1</v>
      </c>
    </row>
    <row r="1058" spans="2:7">
      <c r="B1058" s="256" t="s">
        <v>308</v>
      </c>
      <c r="C1058" s="250" t="s">
        <v>649</v>
      </c>
      <c r="D1058" s="250" t="s">
        <v>18</v>
      </c>
      <c r="E1058" s="251">
        <v>3</v>
      </c>
      <c r="F1058" s="252">
        <v>0.13043478260869565</v>
      </c>
      <c r="G1058" s="251">
        <v>3</v>
      </c>
    </row>
    <row r="1059" spans="2:7">
      <c r="B1059" s="256" t="s">
        <v>308</v>
      </c>
      <c r="C1059" s="250" t="s">
        <v>1214</v>
      </c>
      <c r="D1059" s="250"/>
      <c r="E1059" s="251">
        <v>23</v>
      </c>
      <c r="F1059" s="252">
        <v>1</v>
      </c>
      <c r="G1059" s="251">
        <v>20</v>
      </c>
    </row>
    <row r="1060" spans="2:7">
      <c r="B1060" s="256" t="s">
        <v>308</v>
      </c>
      <c r="C1060" s="250" t="s">
        <v>650</v>
      </c>
      <c r="D1060" s="250" t="s">
        <v>1211</v>
      </c>
      <c r="E1060" s="251">
        <v>7</v>
      </c>
      <c r="F1060" s="252">
        <v>9.0909090909090912E-2</v>
      </c>
      <c r="G1060" s="251">
        <v>5</v>
      </c>
    </row>
    <row r="1061" spans="2:7">
      <c r="B1061" s="256" t="s">
        <v>308</v>
      </c>
      <c r="C1061" s="250" t="s">
        <v>650</v>
      </c>
      <c r="D1061" s="250" t="s">
        <v>1215</v>
      </c>
      <c r="E1061" s="251">
        <v>6</v>
      </c>
      <c r="F1061" s="252">
        <v>7.792207792207792E-2</v>
      </c>
      <c r="G1061" s="251">
        <v>6</v>
      </c>
    </row>
    <row r="1062" spans="2:7">
      <c r="B1062" s="256" t="s">
        <v>308</v>
      </c>
      <c r="C1062" s="250" t="s">
        <v>650</v>
      </c>
      <c r="D1062" s="250" t="s">
        <v>1216</v>
      </c>
      <c r="E1062" s="251">
        <v>9</v>
      </c>
      <c r="F1062" s="252">
        <v>0.11688311688311688</v>
      </c>
      <c r="G1062" s="251">
        <v>8</v>
      </c>
    </row>
    <row r="1063" spans="2:7">
      <c r="B1063" s="256" t="s">
        <v>308</v>
      </c>
      <c r="C1063" s="250" t="s">
        <v>650</v>
      </c>
      <c r="D1063" s="250" t="s">
        <v>1217</v>
      </c>
      <c r="E1063" s="251">
        <v>4</v>
      </c>
      <c r="F1063" s="252">
        <v>5.1948051948051951E-2</v>
      </c>
      <c r="G1063" s="251">
        <v>4</v>
      </c>
    </row>
    <row r="1064" spans="2:7">
      <c r="B1064" s="256" t="s">
        <v>308</v>
      </c>
      <c r="C1064" s="250" t="s">
        <v>650</v>
      </c>
      <c r="D1064" s="250" t="s">
        <v>1218</v>
      </c>
      <c r="E1064" s="251">
        <v>42</v>
      </c>
      <c r="F1064" s="252">
        <v>0.54545454545454541</v>
      </c>
      <c r="G1064" s="251">
        <v>40</v>
      </c>
    </row>
    <row r="1065" spans="2:7">
      <c r="B1065" s="256" t="s">
        <v>308</v>
      </c>
      <c r="C1065" s="250" t="s">
        <v>650</v>
      </c>
      <c r="D1065" s="250" t="s">
        <v>1219</v>
      </c>
      <c r="E1065" s="251">
        <v>1</v>
      </c>
      <c r="F1065" s="252">
        <v>1.2987012987012988E-2</v>
      </c>
      <c r="G1065" s="251">
        <v>1</v>
      </c>
    </row>
    <row r="1066" spans="2:7">
      <c r="B1066" s="256" t="s">
        <v>308</v>
      </c>
      <c r="C1066" s="250" t="s">
        <v>650</v>
      </c>
      <c r="D1066" s="250" t="s">
        <v>14</v>
      </c>
      <c r="E1066" s="251">
        <v>2</v>
      </c>
      <c r="F1066" s="252">
        <v>2.5974025974025976E-2</v>
      </c>
      <c r="G1066" s="251">
        <v>2</v>
      </c>
    </row>
    <row r="1067" spans="2:7">
      <c r="B1067" s="256" t="s">
        <v>308</v>
      </c>
      <c r="C1067" s="250" t="s">
        <v>650</v>
      </c>
      <c r="D1067" s="250" t="s">
        <v>18</v>
      </c>
      <c r="E1067" s="251">
        <v>6</v>
      </c>
      <c r="F1067" s="252">
        <v>7.792207792207792E-2</v>
      </c>
      <c r="G1067" s="251">
        <v>6</v>
      </c>
    </row>
    <row r="1068" spans="2:7">
      <c r="B1068" s="256" t="s">
        <v>308</v>
      </c>
      <c r="C1068" s="250" t="s">
        <v>1220</v>
      </c>
      <c r="D1068" s="250"/>
      <c r="E1068" s="251">
        <v>77</v>
      </c>
      <c r="F1068" s="252">
        <v>1</v>
      </c>
      <c r="G1068" s="251">
        <v>69</v>
      </c>
    </row>
    <row r="1069" spans="2:7">
      <c r="B1069" s="256" t="s">
        <v>308</v>
      </c>
      <c r="C1069" s="250" t="s">
        <v>651</v>
      </c>
      <c r="D1069" s="250" t="s">
        <v>1221</v>
      </c>
      <c r="E1069" s="251">
        <v>9</v>
      </c>
      <c r="F1069" s="252">
        <v>0.5</v>
      </c>
      <c r="G1069" s="251">
        <v>9</v>
      </c>
    </row>
    <row r="1070" spans="2:7">
      <c r="B1070" s="256" t="s">
        <v>308</v>
      </c>
      <c r="C1070" s="250" t="s">
        <v>651</v>
      </c>
      <c r="D1070" s="250" t="s">
        <v>1222</v>
      </c>
      <c r="E1070" s="251">
        <v>5</v>
      </c>
      <c r="F1070" s="252">
        <v>0.27777777777777779</v>
      </c>
      <c r="G1070" s="251">
        <v>5</v>
      </c>
    </row>
    <row r="1071" spans="2:7">
      <c r="B1071" s="256" t="s">
        <v>308</v>
      </c>
      <c r="C1071" s="250" t="s">
        <v>651</v>
      </c>
      <c r="D1071" s="250" t="s">
        <v>14</v>
      </c>
      <c r="E1071" s="251">
        <v>2</v>
      </c>
      <c r="F1071" s="252">
        <v>0.1111111111111111</v>
      </c>
      <c r="G1071" s="251">
        <v>2</v>
      </c>
    </row>
    <row r="1072" spans="2:7">
      <c r="B1072" s="256" t="s">
        <v>308</v>
      </c>
      <c r="C1072" s="250" t="s">
        <v>651</v>
      </c>
      <c r="D1072" s="250" t="s">
        <v>18</v>
      </c>
      <c r="E1072" s="251">
        <v>2</v>
      </c>
      <c r="F1072" s="252">
        <v>0.1111111111111111</v>
      </c>
      <c r="G1072" s="251">
        <v>2</v>
      </c>
    </row>
    <row r="1073" spans="2:7">
      <c r="B1073" s="256" t="s">
        <v>308</v>
      </c>
      <c r="C1073" s="250" t="s">
        <v>1223</v>
      </c>
      <c r="D1073" s="250"/>
      <c r="E1073" s="251">
        <v>18</v>
      </c>
      <c r="F1073" s="252">
        <v>1</v>
      </c>
      <c r="G1073" s="251">
        <v>17</v>
      </c>
    </row>
    <row r="1074" spans="2:7">
      <c r="B1074" s="256" t="s">
        <v>308</v>
      </c>
      <c r="C1074" s="250" t="s">
        <v>652</v>
      </c>
      <c r="D1074" s="250" t="s">
        <v>1201</v>
      </c>
      <c r="E1074" s="251">
        <v>5</v>
      </c>
      <c r="F1074" s="252">
        <v>0.10869565217391304</v>
      </c>
      <c r="G1074" s="251">
        <v>5</v>
      </c>
    </row>
    <row r="1075" spans="2:7">
      <c r="B1075" s="256" t="s">
        <v>308</v>
      </c>
      <c r="C1075" s="250" t="s">
        <v>652</v>
      </c>
      <c r="D1075" s="250" t="s">
        <v>1224</v>
      </c>
      <c r="E1075" s="251">
        <v>2</v>
      </c>
      <c r="F1075" s="252">
        <v>4.3478260869565216E-2</v>
      </c>
      <c r="G1075" s="251">
        <v>2</v>
      </c>
    </row>
    <row r="1076" spans="2:7">
      <c r="B1076" s="256" t="s">
        <v>308</v>
      </c>
      <c r="C1076" s="250" t="s">
        <v>652</v>
      </c>
      <c r="D1076" s="250" t="s">
        <v>14</v>
      </c>
      <c r="E1076" s="251">
        <v>3</v>
      </c>
      <c r="F1076" s="252">
        <v>6.5217391304347824E-2</v>
      </c>
      <c r="G1076" s="251">
        <v>3</v>
      </c>
    </row>
    <row r="1077" spans="2:7">
      <c r="B1077" s="256" t="s">
        <v>308</v>
      </c>
      <c r="C1077" s="250" t="s">
        <v>652</v>
      </c>
      <c r="D1077" s="250" t="s">
        <v>18</v>
      </c>
      <c r="E1077" s="251">
        <v>36</v>
      </c>
      <c r="F1077" s="252">
        <v>0.78260869565217395</v>
      </c>
      <c r="G1077" s="251">
        <v>35</v>
      </c>
    </row>
    <row r="1078" spans="2:7">
      <c r="B1078" s="256" t="s">
        <v>308</v>
      </c>
      <c r="C1078" s="250" t="s">
        <v>1225</v>
      </c>
      <c r="D1078" s="250"/>
      <c r="E1078" s="251">
        <v>46</v>
      </c>
      <c r="F1078" s="252">
        <v>1</v>
      </c>
      <c r="G1078" s="251">
        <v>45</v>
      </c>
    </row>
    <row r="1079" spans="2:7">
      <c r="B1079" s="256" t="s">
        <v>308</v>
      </c>
      <c r="C1079" s="250" t="s">
        <v>653</v>
      </c>
      <c r="D1079" s="250" t="s">
        <v>1226</v>
      </c>
      <c r="E1079" s="251">
        <v>4</v>
      </c>
      <c r="F1079" s="252">
        <v>0.5</v>
      </c>
      <c r="G1079" s="251">
        <v>4</v>
      </c>
    </row>
    <row r="1080" spans="2:7">
      <c r="B1080" s="256" t="s">
        <v>308</v>
      </c>
      <c r="C1080" s="250" t="s">
        <v>653</v>
      </c>
      <c r="D1080" s="250" t="s">
        <v>14</v>
      </c>
      <c r="E1080" s="251">
        <v>4</v>
      </c>
      <c r="F1080" s="252">
        <v>0.5</v>
      </c>
      <c r="G1080" s="251">
        <v>4</v>
      </c>
    </row>
    <row r="1081" spans="2:7">
      <c r="B1081" s="256" t="s">
        <v>308</v>
      </c>
      <c r="C1081" s="250" t="s">
        <v>1227</v>
      </c>
      <c r="D1081" s="250"/>
      <c r="E1081" s="251">
        <v>8</v>
      </c>
      <c r="F1081" s="252">
        <v>1</v>
      </c>
      <c r="G1081" s="251">
        <v>8</v>
      </c>
    </row>
    <row r="1082" spans="2:7">
      <c r="B1082" s="256" t="s">
        <v>308</v>
      </c>
      <c r="C1082" s="250" t="s">
        <v>654</v>
      </c>
      <c r="D1082" s="250" t="s">
        <v>1228</v>
      </c>
      <c r="E1082" s="251">
        <v>6</v>
      </c>
      <c r="F1082" s="252">
        <v>0.75</v>
      </c>
      <c r="G1082" s="251">
        <v>6</v>
      </c>
    </row>
    <row r="1083" spans="2:7">
      <c r="B1083" s="256" t="s">
        <v>308</v>
      </c>
      <c r="C1083" s="250" t="s">
        <v>654</v>
      </c>
      <c r="D1083" s="250" t="s">
        <v>1229</v>
      </c>
      <c r="E1083" s="251">
        <v>1</v>
      </c>
      <c r="F1083" s="252">
        <v>0.125</v>
      </c>
      <c r="G1083" s="251">
        <v>1</v>
      </c>
    </row>
    <row r="1084" spans="2:7">
      <c r="B1084" s="256" t="s">
        <v>308</v>
      </c>
      <c r="C1084" s="250" t="s">
        <v>654</v>
      </c>
      <c r="D1084" s="250" t="s">
        <v>18</v>
      </c>
      <c r="E1084" s="251">
        <v>1</v>
      </c>
      <c r="F1084" s="252">
        <v>0.125</v>
      </c>
      <c r="G1084" s="251">
        <v>1</v>
      </c>
    </row>
    <row r="1085" spans="2:7">
      <c r="B1085" s="256" t="s">
        <v>308</v>
      </c>
      <c r="C1085" s="250" t="s">
        <v>1230</v>
      </c>
      <c r="D1085" s="250"/>
      <c r="E1085" s="251">
        <v>8</v>
      </c>
      <c r="F1085" s="252">
        <v>1</v>
      </c>
      <c r="G1085" s="251">
        <v>8</v>
      </c>
    </row>
    <row r="1086" spans="2:7">
      <c r="B1086" s="256" t="s">
        <v>308</v>
      </c>
      <c r="C1086" s="250" t="s">
        <v>655</v>
      </c>
      <c r="D1086" s="250" t="s">
        <v>1231</v>
      </c>
      <c r="E1086" s="251">
        <v>2</v>
      </c>
      <c r="F1086" s="252">
        <v>0.10526315789473684</v>
      </c>
      <c r="G1086" s="251">
        <v>2</v>
      </c>
    </row>
    <row r="1087" spans="2:7">
      <c r="B1087" s="256" t="s">
        <v>308</v>
      </c>
      <c r="C1087" s="250" t="s">
        <v>655</v>
      </c>
      <c r="D1087" s="250" t="s">
        <v>1232</v>
      </c>
      <c r="E1087" s="251">
        <v>2</v>
      </c>
      <c r="F1087" s="252">
        <v>0.10526315789473684</v>
      </c>
      <c r="G1087" s="251">
        <v>2</v>
      </c>
    </row>
    <row r="1088" spans="2:7">
      <c r="B1088" s="256" t="s">
        <v>308</v>
      </c>
      <c r="C1088" s="250" t="s">
        <v>655</v>
      </c>
      <c r="D1088" s="250" t="s">
        <v>1233</v>
      </c>
      <c r="E1088" s="251">
        <v>2</v>
      </c>
      <c r="F1088" s="252">
        <v>0.10526315789473684</v>
      </c>
      <c r="G1088" s="251">
        <v>2</v>
      </c>
    </row>
    <row r="1089" spans="2:7">
      <c r="B1089" s="256" t="s">
        <v>308</v>
      </c>
      <c r="C1089" s="250" t="s">
        <v>655</v>
      </c>
      <c r="D1089" s="250" t="s">
        <v>1219</v>
      </c>
      <c r="E1089" s="251">
        <v>2</v>
      </c>
      <c r="F1089" s="252">
        <v>0.10526315789473684</v>
      </c>
      <c r="G1089" s="251">
        <v>2</v>
      </c>
    </row>
    <row r="1090" spans="2:7">
      <c r="B1090" s="256" t="s">
        <v>308</v>
      </c>
      <c r="C1090" s="250" t="s">
        <v>655</v>
      </c>
      <c r="D1090" s="250" t="s">
        <v>14</v>
      </c>
      <c r="E1090" s="251">
        <v>4</v>
      </c>
      <c r="F1090" s="252">
        <v>0.21052631578947367</v>
      </c>
      <c r="G1090" s="251">
        <v>4</v>
      </c>
    </row>
    <row r="1091" spans="2:7">
      <c r="B1091" s="256" t="s">
        <v>308</v>
      </c>
      <c r="C1091" s="250" t="s">
        <v>655</v>
      </c>
      <c r="D1091" s="250" t="s">
        <v>18</v>
      </c>
      <c r="E1091" s="251">
        <v>7</v>
      </c>
      <c r="F1091" s="252">
        <v>0.36842105263157893</v>
      </c>
      <c r="G1091" s="251">
        <v>7</v>
      </c>
    </row>
    <row r="1092" spans="2:7">
      <c r="B1092" s="256" t="s">
        <v>308</v>
      </c>
      <c r="C1092" s="250" t="s">
        <v>1234</v>
      </c>
      <c r="D1092" s="250"/>
      <c r="E1092" s="251">
        <v>19</v>
      </c>
      <c r="F1092" s="252">
        <v>1</v>
      </c>
      <c r="G1092" s="251">
        <v>18</v>
      </c>
    </row>
    <row r="1093" spans="2:7">
      <c r="B1093" s="256" t="s">
        <v>308</v>
      </c>
      <c r="C1093" s="250" t="s">
        <v>656</v>
      </c>
      <c r="D1093" s="250" t="s">
        <v>1235</v>
      </c>
      <c r="E1093" s="251">
        <v>1</v>
      </c>
      <c r="F1093" s="252">
        <v>7.1428571428571425E-2</v>
      </c>
      <c r="G1093" s="251">
        <v>1</v>
      </c>
    </row>
    <row r="1094" spans="2:7">
      <c r="B1094" s="256" t="s">
        <v>308</v>
      </c>
      <c r="C1094" s="250" t="s">
        <v>656</v>
      </c>
      <c r="D1094" s="250" t="s">
        <v>1236</v>
      </c>
      <c r="E1094" s="251">
        <v>1</v>
      </c>
      <c r="F1094" s="252">
        <v>7.1428571428571425E-2</v>
      </c>
      <c r="G1094" s="251">
        <v>1</v>
      </c>
    </row>
    <row r="1095" spans="2:7">
      <c r="B1095" s="256" t="s">
        <v>308</v>
      </c>
      <c r="C1095" s="250" t="s">
        <v>656</v>
      </c>
      <c r="D1095" s="250" t="s">
        <v>1237</v>
      </c>
      <c r="E1095" s="251">
        <v>3</v>
      </c>
      <c r="F1095" s="252">
        <v>0.21428571428571427</v>
      </c>
      <c r="G1095" s="251">
        <v>3</v>
      </c>
    </row>
    <row r="1096" spans="2:7">
      <c r="B1096" s="256" t="s">
        <v>308</v>
      </c>
      <c r="C1096" s="250" t="s">
        <v>656</v>
      </c>
      <c r="D1096" s="250" t="s">
        <v>1238</v>
      </c>
      <c r="E1096" s="251">
        <v>1</v>
      </c>
      <c r="F1096" s="252">
        <v>7.1428571428571425E-2</v>
      </c>
      <c r="G1096" s="251">
        <v>1</v>
      </c>
    </row>
    <row r="1097" spans="2:7">
      <c r="B1097" s="256" t="s">
        <v>308</v>
      </c>
      <c r="C1097" s="250" t="s">
        <v>656</v>
      </c>
      <c r="D1097" s="250" t="s">
        <v>1239</v>
      </c>
      <c r="E1097" s="251">
        <v>1</v>
      </c>
      <c r="F1097" s="252">
        <v>7.1428571428571425E-2</v>
      </c>
      <c r="G1097" s="251">
        <v>1</v>
      </c>
    </row>
    <row r="1098" spans="2:7">
      <c r="B1098" s="256" t="s">
        <v>308</v>
      </c>
      <c r="C1098" s="250" t="s">
        <v>656</v>
      </c>
      <c r="D1098" s="250" t="s">
        <v>1240</v>
      </c>
      <c r="E1098" s="251">
        <v>1</v>
      </c>
      <c r="F1098" s="252">
        <v>7.1428571428571425E-2</v>
      </c>
      <c r="G1098" s="251">
        <v>1</v>
      </c>
    </row>
    <row r="1099" spans="2:7">
      <c r="B1099" s="256" t="s">
        <v>308</v>
      </c>
      <c r="C1099" s="250" t="s">
        <v>656</v>
      </c>
      <c r="D1099" s="250" t="s">
        <v>1241</v>
      </c>
      <c r="E1099" s="251">
        <v>1</v>
      </c>
      <c r="F1099" s="252">
        <v>7.1428571428571425E-2</v>
      </c>
      <c r="G1099" s="251">
        <v>1</v>
      </c>
    </row>
    <row r="1100" spans="2:7">
      <c r="B1100" s="256" t="s">
        <v>308</v>
      </c>
      <c r="C1100" s="250" t="s">
        <v>656</v>
      </c>
      <c r="D1100" s="250" t="s">
        <v>14</v>
      </c>
      <c r="E1100" s="251">
        <v>2</v>
      </c>
      <c r="F1100" s="252">
        <v>0.14285714285714285</v>
      </c>
      <c r="G1100" s="251">
        <v>2</v>
      </c>
    </row>
    <row r="1101" spans="2:7">
      <c r="B1101" s="256" t="s">
        <v>308</v>
      </c>
      <c r="C1101" s="250" t="s">
        <v>656</v>
      </c>
      <c r="D1101" s="250" t="s">
        <v>1242</v>
      </c>
      <c r="E1101" s="251">
        <v>1</v>
      </c>
      <c r="F1101" s="252">
        <v>7.1428571428571425E-2</v>
      </c>
      <c r="G1101" s="251">
        <v>1</v>
      </c>
    </row>
    <row r="1102" spans="2:7">
      <c r="B1102" s="256" t="s">
        <v>308</v>
      </c>
      <c r="C1102" s="250" t="s">
        <v>656</v>
      </c>
      <c r="D1102" s="250" t="s">
        <v>1243</v>
      </c>
      <c r="E1102" s="251">
        <v>1</v>
      </c>
      <c r="F1102" s="252">
        <v>7.1428571428571425E-2</v>
      </c>
      <c r="G1102" s="251">
        <v>1</v>
      </c>
    </row>
    <row r="1103" spans="2:7">
      <c r="B1103" s="256" t="s">
        <v>308</v>
      </c>
      <c r="C1103" s="250" t="s">
        <v>656</v>
      </c>
      <c r="D1103" s="250" t="s">
        <v>18</v>
      </c>
      <c r="E1103" s="251">
        <v>1</v>
      </c>
      <c r="F1103" s="252">
        <v>7.1428571428571425E-2</v>
      </c>
      <c r="G1103" s="251">
        <v>1</v>
      </c>
    </row>
    <row r="1104" spans="2:7">
      <c r="B1104" s="256" t="s">
        <v>308</v>
      </c>
      <c r="C1104" s="250" t="s">
        <v>1244</v>
      </c>
      <c r="D1104" s="250"/>
      <c r="E1104" s="251">
        <v>14</v>
      </c>
      <c r="F1104" s="252">
        <v>1</v>
      </c>
      <c r="G1104" s="251">
        <v>12</v>
      </c>
    </row>
    <row r="1105" spans="2:7">
      <c r="B1105" s="256" t="s">
        <v>308</v>
      </c>
      <c r="C1105" s="250" t="s">
        <v>306</v>
      </c>
      <c r="D1105" s="250" t="s">
        <v>1245</v>
      </c>
      <c r="E1105" s="251">
        <v>7</v>
      </c>
      <c r="F1105" s="252">
        <v>8.5365853658536592E-2</v>
      </c>
      <c r="G1105" s="251">
        <v>7</v>
      </c>
    </row>
    <row r="1106" spans="2:7">
      <c r="B1106" s="256" t="s">
        <v>308</v>
      </c>
      <c r="C1106" s="250" t="s">
        <v>306</v>
      </c>
      <c r="D1106" s="250" t="s">
        <v>1246</v>
      </c>
      <c r="E1106" s="251">
        <v>2</v>
      </c>
      <c r="F1106" s="252">
        <v>2.4390243902439025E-2</v>
      </c>
      <c r="G1106" s="251">
        <v>2</v>
      </c>
    </row>
    <row r="1107" spans="2:7">
      <c r="B1107" s="256" t="s">
        <v>308</v>
      </c>
      <c r="C1107" s="250" t="s">
        <v>306</v>
      </c>
      <c r="D1107" s="250" t="s">
        <v>1247</v>
      </c>
      <c r="E1107" s="251">
        <v>2</v>
      </c>
      <c r="F1107" s="252">
        <v>2.4390243902439025E-2</v>
      </c>
      <c r="G1107" s="251">
        <v>2</v>
      </c>
    </row>
    <row r="1108" spans="2:7">
      <c r="B1108" s="256" t="s">
        <v>308</v>
      </c>
      <c r="C1108" s="250" t="s">
        <v>306</v>
      </c>
      <c r="D1108" s="250" t="s">
        <v>14</v>
      </c>
      <c r="E1108" s="251">
        <v>15</v>
      </c>
      <c r="F1108" s="252">
        <v>0.18292682926829268</v>
      </c>
      <c r="G1108" s="251">
        <v>15</v>
      </c>
    </row>
    <row r="1109" spans="2:7">
      <c r="B1109" s="256" t="s">
        <v>308</v>
      </c>
      <c r="C1109" s="250" t="s">
        <v>306</v>
      </c>
      <c r="D1109" s="250" t="s">
        <v>1248</v>
      </c>
      <c r="E1109" s="251">
        <v>5</v>
      </c>
      <c r="F1109" s="252">
        <v>6.097560975609756E-2</v>
      </c>
      <c r="G1109" s="251">
        <v>5</v>
      </c>
    </row>
    <row r="1110" spans="2:7">
      <c r="B1110" s="256" t="s">
        <v>308</v>
      </c>
      <c r="C1110" s="250" t="s">
        <v>306</v>
      </c>
      <c r="D1110" s="250" t="s">
        <v>18</v>
      </c>
      <c r="E1110" s="251">
        <v>51</v>
      </c>
      <c r="F1110" s="252">
        <v>0.62195121951219512</v>
      </c>
      <c r="G1110" s="251">
        <v>51</v>
      </c>
    </row>
    <row r="1111" spans="2:7">
      <c r="B1111" s="256" t="s">
        <v>308</v>
      </c>
      <c r="C1111" s="250" t="s">
        <v>314</v>
      </c>
      <c r="D1111" s="250"/>
      <c r="E1111" s="251">
        <v>82</v>
      </c>
      <c r="F1111" s="252">
        <v>1</v>
      </c>
      <c r="G1111" s="251">
        <v>82</v>
      </c>
    </row>
    <row r="1112" spans="2:7">
      <c r="B1112" s="256" t="s">
        <v>308</v>
      </c>
      <c r="C1112" s="250" t="s">
        <v>14</v>
      </c>
      <c r="D1112" s="250" t="s">
        <v>14</v>
      </c>
      <c r="E1112" s="251">
        <v>243</v>
      </c>
      <c r="F1112" s="252">
        <v>1</v>
      </c>
      <c r="G1112" s="251">
        <v>1</v>
      </c>
    </row>
    <row r="1113" spans="2:7">
      <c r="B1113" s="256" t="s">
        <v>308</v>
      </c>
      <c r="C1113" s="250" t="s">
        <v>265</v>
      </c>
      <c r="D1113" s="250"/>
      <c r="E1113" s="251">
        <v>243</v>
      </c>
      <c r="F1113" s="252">
        <v>1</v>
      </c>
      <c r="G1113" s="251">
        <v>1</v>
      </c>
    </row>
    <row r="1114" spans="2:7">
      <c r="B1114" s="256" t="s">
        <v>309</v>
      </c>
      <c r="C1114" s="257"/>
      <c r="D1114" s="257"/>
      <c r="E1114" s="251">
        <v>538</v>
      </c>
      <c r="F1114" s="252"/>
      <c r="G1114" s="251">
        <v>262</v>
      </c>
    </row>
    <row r="1115" spans="2:7">
      <c r="B1115" s="256" t="s">
        <v>13</v>
      </c>
      <c r="C1115" s="250" t="s">
        <v>657</v>
      </c>
      <c r="D1115" s="250" t="s">
        <v>1249</v>
      </c>
      <c r="E1115" s="251">
        <v>173</v>
      </c>
      <c r="F1115" s="252">
        <v>0.34462151394422313</v>
      </c>
      <c r="G1115" s="251">
        <v>116</v>
      </c>
    </row>
    <row r="1116" spans="2:7">
      <c r="B1116" s="256" t="s">
        <v>13</v>
      </c>
      <c r="C1116" s="250" t="s">
        <v>657</v>
      </c>
      <c r="D1116" s="250" t="s">
        <v>1250</v>
      </c>
      <c r="E1116" s="251">
        <v>125</v>
      </c>
      <c r="F1116" s="252">
        <v>0.24900398406374502</v>
      </c>
      <c r="G1116" s="251">
        <v>91</v>
      </c>
    </row>
    <row r="1117" spans="2:7">
      <c r="B1117" s="256" t="s">
        <v>13</v>
      </c>
      <c r="C1117" s="250" t="s">
        <v>657</v>
      </c>
      <c r="D1117" s="250" t="s">
        <v>1251</v>
      </c>
      <c r="E1117" s="251">
        <v>72</v>
      </c>
      <c r="F1117" s="252">
        <v>0.14342629482071714</v>
      </c>
      <c r="G1117" s="251">
        <v>66</v>
      </c>
    </row>
    <row r="1118" spans="2:7">
      <c r="B1118" s="256" t="s">
        <v>13</v>
      </c>
      <c r="C1118" s="250" t="s">
        <v>657</v>
      </c>
      <c r="D1118" s="250" t="s">
        <v>1252</v>
      </c>
      <c r="E1118" s="251">
        <v>13</v>
      </c>
      <c r="F1118" s="252">
        <v>2.5896414342629483E-2</v>
      </c>
      <c r="G1118" s="251">
        <v>13</v>
      </c>
    </row>
    <row r="1119" spans="2:7">
      <c r="B1119" s="256" t="s">
        <v>13</v>
      </c>
      <c r="C1119" s="250" t="s">
        <v>657</v>
      </c>
      <c r="D1119" s="250" t="s">
        <v>14</v>
      </c>
      <c r="E1119" s="251">
        <v>2</v>
      </c>
      <c r="F1119" s="252">
        <v>3.9840637450199202E-3</v>
      </c>
      <c r="G1119" s="251">
        <v>2</v>
      </c>
    </row>
    <row r="1120" spans="2:7">
      <c r="B1120" s="256" t="s">
        <v>13</v>
      </c>
      <c r="C1120" s="250" t="s">
        <v>657</v>
      </c>
      <c r="D1120" s="250" t="s">
        <v>18</v>
      </c>
      <c r="E1120" s="251">
        <v>117</v>
      </c>
      <c r="F1120" s="252">
        <v>0.23306772908366533</v>
      </c>
      <c r="G1120" s="251">
        <v>82</v>
      </c>
    </row>
    <row r="1121" spans="2:7">
      <c r="B1121" s="256" t="s">
        <v>13</v>
      </c>
      <c r="C1121" s="250" t="s">
        <v>1253</v>
      </c>
      <c r="D1121" s="250"/>
      <c r="E1121" s="251">
        <v>502</v>
      </c>
      <c r="F1121" s="252">
        <v>1</v>
      </c>
      <c r="G1121" s="251">
        <v>239</v>
      </c>
    </row>
    <row r="1122" spans="2:7">
      <c r="B1122" s="256" t="s">
        <v>13</v>
      </c>
      <c r="C1122" s="250" t="s">
        <v>306</v>
      </c>
      <c r="D1122" s="250" t="s">
        <v>1254</v>
      </c>
      <c r="E1122" s="251">
        <v>3</v>
      </c>
      <c r="F1122" s="252">
        <v>8.8235294117647065E-2</v>
      </c>
      <c r="G1122" s="251">
        <v>3</v>
      </c>
    </row>
    <row r="1123" spans="2:7">
      <c r="B1123" s="256" t="s">
        <v>13</v>
      </c>
      <c r="C1123" s="250" t="s">
        <v>306</v>
      </c>
      <c r="D1123" s="250" t="s">
        <v>1255</v>
      </c>
      <c r="E1123" s="251">
        <v>2</v>
      </c>
      <c r="F1123" s="252">
        <v>5.8823529411764705E-2</v>
      </c>
      <c r="G1123" s="251">
        <v>2</v>
      </c>
    </row>
    <row r="1124" spans="2:7">
      <c r="B1124" s="256" t="s">
        <v>13</v>
      </c>
      <c r="C1124" s="250" t="s">
        <v>306</v>
      </c>
      <c r="D1124" s="250" t="s">
        <v>1256</v>
      </c>
      <c r="E1124" s="251">
        <v>1</v>
      </c>
      <c r="F1124" s="252">
        <v>2.9411764705882353E-2</v>
      </c>
      <c r="G1124" s="251">
        <v>1</v>
      </c>
    </row>
    <row r="1125" spans="2:7">
      <c r="B1125" s="256" t="s">
        <v>13</v>
      </c>
      <c r="C1125" s="250" t="s">
        <v>306</v>
      </c>
      <c r="D1125" s="250" t="s">
        <v>1257</v>
      </c>
      <c r="E1125" s="251">
        <v>3</v>
      </c>
      <c r="F1125" s="252">
        <v>8.8235294117647065E-2</v>
      </c>
      <c r="G1125" s="251">
        <v>3</v>
      </c>
    </row>
    <row r="1126" spans="2:7">
      <c r="B1126" s="256" t="s">
        <v>13</v>
      </c>
      <c r="C1126" s="250" t="s">
        <v>306</v>
      </c>
      <c r="D1126" s="250" t="s">
        <v>14</v>
      </c>
      <c r="E1126" s="251">
        <v>7</v>
      </c>
      <c r="F1126" s="252">
        <v>0.20588235294117646</v>
      </c>
      <c r="G1126" s="251">
        <v>7</v>
      </c>
    </row>
    <row r="1127" spans="2:7">
      <c r="B1127" s="256" t="s">
        <v>13</v>
      </c>
      <c r="C1127" s="250" t="s">
        <v>306</v>
      </c>
      <c r="D1127" s="250" t="s">
        <v>18</v>
      </c>
      <c r="E1127" s="251">
        <v>18</v>
      </c>
      <c r="F1127" s="252">
        <v>0.52941176470588236</v>
      </c>
      <c r="G1127" s="251">
        <v>18</v>
      </c>
    </row>
    <row r="1128" spans="2:7">
      <c r="B1128" s="256" t="s">
        <v>13</v>
      </c>
      <c r="C1128" s="250" t="s">
        <v>314</v>
      </c>
      <c r="D1128" s="250"/>
      <c r="E1128" s="251">
        <v>34</v>
      </c>
      <c r="F1128" s="252">
        <v>1</v>
      </c>
      <c r="G1128" s="251">
        <v>34</v>
      </c>
    </row>
    <row r="1129" spans="2:7">
      <c r="B1129" s="256" t="s">
        <v>13</v>
      </c>
      <c r="C1129" s="250" t="s">
        <v>14</v>
      </c>
      <c r="D1129" s="250" t="s">
        <v>14</v>
      </c>
      <c r="E1129" s="251">
        <v>75</v>
      </c>
      <c r="F1129" s="252">
        <v>1</v>
      </c>
      <c r="G1129" s="251">
        <v>1</v>
      </c>
    </row>
    <row r="1130" spans="2:7">
      <c r="B1130" s="256" t="s">
        <v>13</v>
      </c>
      <c r="C1130" s="250" t="s">
        <v>265</v>
      </c>
      <c r="D1130" s="250"/>
      <c r="E1130" s="251">
        <v>75</v>
      </c>
      <c r="F1130" s="252">
        <v>1</v>
      </c>
      <c r="G1130" s="251">
        <v>1</v>
      </c>
    </row>
    <row r="1131" spans="2:7">
      <c r="B1131" s="256" t="s">
        <v>482</v>
      </c>
      <c r="C1131" s="257"/>
      <c r="D1131" s="257"/>
      <c r="E1131" s="251">
        <v>611</v>
      </c>
      <c r="F1131" s="252"/>
      <c r="G1131" s="251">
        <v>268</v>
      </c>
    </row>
    <row r="1132" spans="2:7">
      <c r="B1132" s="256" t="s">
        <v>310</v>
      </c>
      <c r="C1132" s="250" t="s">
        <v>658</v>
      </c>
      <c r="D1132" s="250" t="s">
        <v>1258</v>
      </c>
      <c r="E1132" s="251">
        <v>7</v>
      </c>
      <c r="F1132" s="252">
        <v>0.25</v>
      </c>
      <c r="G1132" s="251">
        <v>7</v>
      </c>
    </row>
    <row r="1133" spans="2:7">
      <c r="B1133" s="256" t="s">
        <v>310</v>
      </c>
      <c r="C1133" s="250" t="s">
        <v>658</v>
      </c>
      <c r="D1133" s="250" t="s">
        <v>1259</v>
      </c>
      <c r="E1133" s="251">
        <v>1</v>
      </c>
      <c r="F1133" s="252">
        <v>3.5714285714285712E-2</v>
      </c>
      <c r="G1133" s="251">
        <v>1</v>
      </c>
    </row>
    <row r="1134" spans="2:7">
      <c r="B1134" s="256" t="s">
        <v>310</v>
      </c>
      <c r="C1134" s="250" t="s">
        <v>658</v>
      </c>
      <c r="D1134" s="250" t="s">
        <v>1260</v>
      </c>
      <c r="E1134" s="251">
        <v>16</v>
      </c>
      <c r="F1134" s="252">
        <v>0.5714285714285714</v>
      </c>
      <c r="G1134" s="251">
        <v>16</v>
      </c>
    </row>
    <row r="1135" spans="2:7">
      <c r="B1135" s="256" t="s">
        <v>310</v>
      </c>
      <c r="C1135" s="250" t="s">
        <v>658</v>
      </c>
      <c r="D1135" s="250" t="s">
        <v>14</v>
      </c>
      <c r="E1135" s="251">
        <v>2</v>
      </c>
      <c r="F1135" s="252">
        <v>7.1428571428571425E-2</v>
      </c>
      <c r="G1135" s="251">
        <v>2</v>
      </c>
    </row>
    <row r="1136" spans="2:7">
      <c r="B1136" s="256" t="s">
        <v>310</v>
      </c>
      <c r="C1136" s="250" t="s">
        <v>658</v>
      </c>
      <c r="D1136" s="250" t="s">
        <v>18</v>
      </c>
      <c r="E1136" s="251">
        <v>2</v>
      </c>
      <c r="F1136" s="252">
        <v>7.1428571428571425E-2</v>
      </c>
      <c r="G1136" s="251">
        <v>2</v>
      </c>
    </row>
    <row r="1137" spans="2:7">
      <c r="B1137" s="256" t="s">
        <v>310</v>
      </c>
      <c r="C1137" s="250" t="s">
        <v>1261</v>
      </c>
      <c r="D1137" s="250"/>
      <c r="E1137" s="251">
        <v>28</v>
      </c>
      <c r="F1137" s="252">
        <v>1</v>
      </c>
      <c r="G1137" s="251">
        <v>27</v>
      </c>
    </row>
    <row r="1138" spans="2:7">
      <c r="B1138" s="256" t="s">
        <v>310</v>
      </c>
      <c r="C1138" s="250" t="s">
        <v>659</v>
      </c>
      <c r="D1138" s="250" t="s">
        <v>1262</v>
      </c>
      <c r="E1138" s="251">
        <v>7</v>
      </c>
      <c r="F1138" s="252">
        <v>0.63636363636363635</v>
      </c>
      <c r="G1138" s="251">
        <v>7</v>
      </c>
    </row>
    <row r="1139" spans="2:7">
      <c r="B1139" s="256" t="s">
        <v>310</v>
      </c>
      <c r="C1139" s="250" t="s">
        <v>659</v>
      </c>
      <c r="D1139" s="250" t="s">
        <v>1263</v>
      </c>
      <c r="E1139" s="251">
        <v>1</v>
      </c>
      <c r="F1139" s="252">
        <v>9.0909090909090912E-2</v>
      </c>
      <c r="G1139" s="251">
        <v>1</v>
      </c>
    </row>
    <row r="1140" spans="2:7">
      <c r="B1140" s="256" t="s">
        <v>310</v>
      </c>
      <c r="C1140" s="250" t="s">
        <v>659</v>
      </c>
      <c r="D1140" s="250" t="s">
        <v>18</v>
      </c>
      <c r="E1140" s="251">
        <v>3</v>
      </c>
      <c r="F1140" s="252">
        <v>0.27272727272727271</v>
      </c>
      <c r="G1140" s="251">
        <v>3</v>
      </c>
    </row>
    <row r="1141" spans="2:7">
      <c r="B1141" s="256" t="s">
        <v>310</v>
      </c>
      <c r="C1141" s="250" t="s">
        <v>1264</v>
      </c>
      <c r="D1141" s="250"/>
      <c r="E1141" s="251">
        <v>11</v>
      </c>
      <c r="F1141" s="252">
        <v>1</v>
      </c>
      <c r="G1141" s="251">
        <v>11</v>
      </c>
    </row>
    <row r="1142" spans="2:7">
      <c r="B1142" s="256" t="s">
        <v>310</v>
      </c>
      <c r="C1142" s="250" t="s">
        <v>660</v>
      </c>
      <c r="D1142" s="250" t="s">
        <v>1265</v>
      </c>
      <c r="E1142" s="251">
        <v>46</v>
      </c>
      <c r="F1142" s="252">
        <v>0.20444444444444446</v>
      </c>
      <c r="G1142" s="251">
        <v>45</v>
      </c>
    </row>
    <row r="1143" spans="2:7">
      <c r="B1143" s="256" t="s">
        <v>310</v>
      </c>
      <c r="C1143" s="250" t="s">
        <v>660</v>
      </c>
      <c r="D1143" s="250" t="s">
        <v>1266</v>
      </c>
      <c r="E1143" s="251">
        <v>6</v>
      </c>
      <c r="F1143" s="252">
        <v>2.6666666666666668E-2</v>
      </c>
      <c r="G1143" s="251">
        <v>5</v>
      </c>
    </row>
    <row r="1144" spans="2:7">
      <c r="B1144" s="256" t="s">
        <v>310</v>
      </c>
      <c r="C1144" s="250" t="s">
        <v>660</v>
      </c>
      <c r="D1144" s="250" t="s">
        <v>1267</v>
      </c>
      <c r="E1144" s="251">
        <v>45</v>
      </c>
      <c r="F1144" s="252">
        <v>0.2</v>
      </c>
      <c r="G1144" s="251">
        <v>45</v>
      </c>
    </row>
    <row r="1145" spans="2:7">
      <c r="B1145" s="256" t="s">
        <v>310</v>
      </c>
      <c r="C1145" s="250" t="s">
        <v>660</v>
      </c>
      <c r="D1145" s="250" t="s">
        <v>1268</v>
      </c>
      <c r="E1145" s="251">
        <v>29</v>
      </c>
      <c r="F1145" s="252">
        <v>0.12888888888888889</v>
      </c>
      <c r="G1145" s="251">
        <v>28</v>
      </c>
    </row>
    <row r="1146" spans="2:7">
      <c r="B1146" s="256" t="s">
        <v>310</v>
      </c>
      <c r="C1146" s="250" t="s">
        <v>660</v>
      </c>
      <c r="D1146" s="250" t="s">
        <v>1269</v>
      </c>
      <c r="E1146" s="251">
        <v>3</v>
      </c>
      <c r="F1146" s="252">
        <v>1.3333333333333334E-2</v>
      </c>
      <c r="G1146" s="251">
        <v>3</v>
      </c>
    </row>
    <row r="1147" spans="2:7">
      <c r="B1147" s="256" t="s">
        <v>310</v>
      </c>
      <c r="C1147" s="250" t="s">
        <v>660</v>
      </c>
      <c r="D1147" s="250" t="s">
        <v>1270</v>
      </c>
      <c r="E1147" s="251">
        <v>66</v>
      </c>
      <c r="F1147" s="252">
        <v>0.29333333333333333</v>
      </c>
      <c r="G1147" s="251">
        <v>64</v>
      </c>
    </row>
    <row r="1148" spans="2:7">
      <c r="B1148" s="256" t="s">
        <v>310</v>
      </c>
      <c r="C1148" s="250" t="s">
        <v>660</v>
      </c>
      <c r="D1148" s="250" t="s">
        <v>14</v>
      </c>
      <c r="E1148" s="251">
        <v>18</v>
      </c>
      <c r="F1148" s="252">
        <v>0.08</v>
      </c>
      <c r="G1148" s="251">
        <v>18</v>
      </c>
    </row>
    <row r="1149" spans="2:7">
      <c r="B1149" s="256" t="s">
        <v>310</v>
      </c>
      <c r="C1149" s="250" t="s">
        <v>660</v>
      </c>
      <c r="D1149" s="250" t="s">
        <v>18</v>
      </c>
      <c r="E1149" s="251">
        <v>12</v>
      </c>
      <c r="F1149" s="252">
        <v>5.3333333333333337E-2</v>
      </c>
      <c r="G1149" s="251">
        <v>12</v>
      </c>
    </row>
    <row r="1150" spans="2:7">
      <c r="B1150" s="256" t="s">
        <v>310</v>
      </c>
      <c r="C1150" s="250" t="s">
        <v>1271</v>
      </c>
      <c r="D1150" s="250"/>
      <c r="E1150" s="251">
        <v>225</v>
      </c>
      <c r="F1150" s="252">
        <v>1</v>
      </c>
      <c r="G1150" s="251">
        <v>156</v>
      </c>
    </row>
    <row r="1151" spans="2:7">
      <c r="B1151" s="256" t="s">
        <v>310</v>
      </c>
      <c r="C1151" s="250" t="s">
        <v>661</v>
      </c>
      <c r="D1151" s="250" t="s">
        <v>1272</v>
      </c>
      <c r="E1151" s="251">
        <v>4</v>
      </c>
      <c r="F1151" s="252">
        <v>2.9411764705882353E-2</v>
      </c>
      <c r="G1151" s="251">
        <v>4</v>
      </c>
    </row>
    <row r="1152" spans="2:7">
      <c r="B1152" s="256" t="s">
        <v>310</v>
      </c>
      <c r="C1152" s="250" t="s">
        <v>661</v>
      </c>
      <c r="D1152" s="250" t="s">
        <v>1273</v>
      </c>
      <c r="E1152" s="251">
        <v>30</v>
      </c>
      <c r="F1152" s="252">
        <v>0.22058823529411764</v>
      </c>
      <c r="G1152" s="251">
        <v>28</v>
      </c>
    </row>
    <row r="1153" spans="2:7">
      <c r="B1153" s="256" t="s">
        <v>310</v>
      </c>
      <c r="C1153" s="250" t="s">
        <v>661</v>
      </c>
      <c r="D1153" s="250" t="s">
        <v>1274</v>
      </c>
      <c r="E1153" s="251">
        <v>54</v>
      </c>
      <c r="F1153" s="252">
        <v>0.39705882352941174</v>
      </c>
      <c r="G1153" s="251">
        <v>54</v>
      </c>
    </row>
    <row r="1154" spans="2:7">
      <c r="B1154" s="256" t="s">
        <v>310</v>
      </c>
      <c r="C1154" s="250" t="s">
        <v>661</v>
      </c>
      <c r="D1154" s="250" t="s">
        <v>1275</v>
      </c>
      <c r="E1154" s="251">
        <v>4</v>
      </c>
      <c r="F1154" s="252">
        <v>2.9411764705882353E-2</v>
      </c>
      <c r="G1154" s="251">
        <v>4</v>
      </c>
    </row>
    <row r="1155" spans="2:7">
      <c r="B1155" s="256" t="s">
        <v>310</v>
      </c>
      <c r="C1155" s="250" t="s">
        <v>661</v>
      </c>
      <c r="D1155" s="250" t="s">
        <v>1276</v>
      </c>
      <c r="E1155" s="251">
        <v>1</v>
      </c>
      <c r="F1155" s="252">
        <v>7.3529411764705881E-3</v>
      </c>
      <c r="G1155" s="251">
        <v>1</v>
      </c>
    </row>
    <row r="1156" spans="2:7">
      <c r="B1156" s="256" t="s">
        <v>310</v>
      </c>
      <c r="C1156" s="250" t="s">
        <v>661</v>
      </c>
      <c r="D1156" s="250" t="s">
        <v>1277</v>
      </c>
      <c r="E1156" s="251">
        <v>2</v>
      </c>
      <c r="F1156" s="252">
        <v>1.4705882352941176E-2</v>
      </c>
      <c r="G1156" s="251">
        <v>2</v>
      </c>
    </row>
    <row r="1157" spans="2:7">
      <c r="B1157" s="256" t="s">
        <v>310</v>
      </c>
      <c r="C1157" s="250" t="s">
        <v>661</v>
      </c>
      <c r="D1157" s="250" t="s">
        <v>14</v>
      </c>
      <c r="E1157" s="251">
        <v>10</v>
      </c>
      <c r="F1157" s="252">
        <v>7.3529411764705885E-2</v>
      </c>
      <c r="G1157" s="251">
        <v>10</v>
      </c>
    </row>
    <row r="1158" spans="2:7">
      <c r="B1158" s="256" t="s">
        <v>310</v>
      </c>
      <c r="C1158" s="250" t="s">
        <v>661</v>
      </c>
      <c r="D1158" s="250" t="s">
        <v>1278</v>
      </c>
      <c r="E1158" s="251">
        <v>14</v>
      </c>
      <c r="F1158" s="252">
        <v>0.10294117647058823</v>
      </c>
      <c r="G1158" s="251">
        <v>14</v>
      </c>
    </row>
    <row r="1159" spans="2:7">
      <c r="B1159" s="256" t="s">
        <v>310</v>
      </c>
      <c r="C1159" s="250" t="s">
        <v>661</v>
      </c>
      <c r="D1159" s="250" t="s">
        <v>18</v>
      </c>
      <c r="E1159" s="251">
        <v>17</v>
      </c>
      <c r="F1159" s="252">
        <v>0.125</v>
      </c>
      <c r="G1159" s="251">
        <v>15</v>
      </c>
    </row>
    <row r="1160" spans="2:7">
      <c r="B1160" s="256" t="s">
        <v>310</v>
      </c>
      <c r="C1160" s="250" t="s">
        <v>1279</v>
      </c>
      <c r="D1160" s="250"/>
      <c r="E1160" s="251">
        <v>136</v>
      </c>
      <c r="F1160" s="252">
        <v>1</v>
      </c>
      <c r="G1160" s="251">
        <v>116</v>
      </c>
    </row>
    <row r="1161" spans="2:7">
      <c r="B1161" s="256" t="s">
        <v>310</v>
      </c>
      <c r="C1161" s="250" t="s">
        <v>662</v>
      </c>
      <c r="D1161" s="250" t="s">
        <v>1280</v>
      </c>
      <c r="E1161" s="251">
        <v>12</v>
      </c>
      <c r="F1161" s="252">
        <v>0.34285714285714286</v>
      </c>
      <c r="G1161" s="251">
        <v>12</v>
      </c>
    </row>
    <row r="1162" spans="2:7">
      <c r="B1162" s="256" t="s">
        <v>310</v>
      </c>
      <c r="C1162" s="250" t="s">
        <v>662</v>
      </c>
      <c r="D1162" s="250" t="s">
        <v>1281</v>
      </c>
      <c r="E1162" s="251">
        <v>2</v>
      </c>
      <c r="F1162" s="252">
        <v>5.7142857142857141E-2</v>
      </c>
      <c r="G1162" s="251">
        <v>2</v>
      </c>
    </row>
    <row r="1163" spans="2:7">
      <c r="B1163" s="256" t="s">
        <v>310</v>
      </c>
      <c r="C1163" s="250" t="s">
        <v>662</v>
      </c>
      <c r="D1163" s="250" t="s">
        <v>1282</v>
      </c>
      <c r="E1163" s="251">
        <v>7</v>
      </c>
      <c r="F1163" s="252">
        <v>0.2</v>
      </c>
      <c r="G1163" s="251">
        <v>7</v>
      </c>
    </row>
    <row r="1164" spans="2:7">
      <c r="B1164" s="256" t="s">
        <v>310</v>
      </c>
      <c r="C1164" s="250" t="s">
        <v>662</v>
      </c>
      <c r="D1164" s="250" t="s">
        <v>1283</v>
      </c>
      <c r="E1164" s="251">
        <v>10</v>
      </c>
      <c r="F1164" s="252">
        <v>0.2857142857142857</v>
      </c>
      <c r="G1164" s="251">
        <v>10</v>
      </c>
    </row>
    <row r="1165" spans="2:7">
      <c r="B1165" s="256" t="s">
        <v>310</v>
      </c>
      <c r="C1165" s="250" t="s">
        <v>662</v>
      </c>
      <c r="D1165" s="250" t="s">
        <v>1284</v>
      </c>
      <c r="E1165" s="251">
        <v>1</v>
      </c>
      <c r="F1165" s="252">
        <v>2.8571428571428571E-2</v>
      </c>
      <c r="G1165" s="251">
        <v>1</v>
      </c>
    </row>
    <row r="1166" spans="2:7">
      <c r="B1166" s="256" t="s">
        <v>310</v>
      </c>
      <c r="C1166" s="250" t="s">
        <v>662</v>
      </c>
      <c r="D1166" s="250" t="s">
        <v>14</v>
      </c>
      <c r="E1166" s="251">
        <v>2</v>
      </c>
      <c r="F1166" s="252">
        <v>5.7142857142857141E-2</v>
      </c>
      <c r="G1166" s="251">
        <v>2</v>
      </c>
    </row>
    <row r="1167" spans="2:7">
      <c r="B1167" s="256" t="s">
        <v>310</v>
      </c>
      <c r="C1167" s="250" t="s">
        <v>662</v>
      </c>
      <c r="D1167" s="250" t="s">
        <v>18</v>
      </c>
      <c r="E1167" s="251">
        <v>1</v>
      </c>
      <c r="F1167" s="252">
        <v>2.8571428571428571E-2</v>
      </c>
      <c r="G1167" s="251">
        <v>1</v>
      </c>
    </row>
    <row r="1168" spans="2:7">
      <c r="B1168" s="256" t="s">
        <v>310</v>
      </c>
      <c r="C1168" s="250" t="s">
        <v>1285</v>
      </c>
      <c r="D1168" s="250"/>
      <c r="E1168" s="251">
        <v>35</v>
      </c>
      <c r="F1168" s="252">
        <v>1</v>
      </c>
      <c r="G1168" s="251">
        <v>32</v>
      </c>
    </row>
    <row r="1169" spans="2:7">
      <c r="B1169" s="256" t="s">
        <v>310</v>
      </c>
      <c r="C1169" s="250" t="s">
        <v>663</v>
      </c>
      <c r="D1169" s="250" t="s">
        <v>1280</v>
      </c>
      <c r="E1169" s="251">
        <v>7</v>
      </c>
      <c r="F1169" s="252">
        <v>0.23333333333333334</v>
      </c>
      <c r="G1169" s="251">
        <v>7</v>
      </c>
    </row>
    <row r="1170" spans="2:7">
      <c r="B1170" s="256" t="s">
        <v>310</v>
      </c>
      <c r="C1170" s="250" t="s">
        <v>663</v>
      </c>
      <c r="D1170" s="250" t="s">
        <v>788</v>
      </c>
      <c r="E1170" s="251">
        <v>7</v>
      </c>
      <c r="F1170" s="252">
        <v>0.23333333333333334</v>
      </c>
      <c r="G1170" s="251">
        <v>7</v>
      </c>
    </row>
    <row r="1171" spans="2:7">
      <c r="B1171" s="256" t="s">
        <v>310</v>
      </c>
      <c r="C1171" s="250" t="s">
        <v>663</v>
      </c>
      <c r="D1171" s="250" t="s">
        <v>1282</v>
      </c>
      <c r="E1171" s="251">
        <v>3</v>
      </c>
      <c r="F1171" s="252">
        <v>0.1</v>
      </c>
      <c r="G1171" s="251">
        <v>3</v>
      </c>
    </row>
    <row r="1172" spans="2:7">
      <c r="B1172" s="256" t="s">
        <v>310</v>
      </c>
      <c r="C1172" s="250" t="s">
        <v>663</v>
      </c>
      <c r="D1172" s="250" t="s">
        <v>1284</v>
      </c>
      <c r="E1172" s="251">
        <v>9</v>
      </c>
      <c r="F1172" s="252">
        <v>0.3</v>
      </c>
      <c r="G1172" s="251">
        <v>9</v>
      </c>
    </row>
    <row r="1173" spans="2:7">
      <c r="B1173" s="256" t="s">
        <v>310</v>
      </c>
      <c r="C1173" s="250" t="s">
        <v>663</v>
      </c>
      <c r="D1173" s="250" t="s">
        <v>14</v>
      </c>
      <c r="E1173" s="251">
        <v>1</v>
      </c>
      <c r="F1173" s="252">
        <v>3.3333333333333333E-2</v>
      </c>
      <c r="G1173" s="251">
        <v>1</v>
      </c>
    </row>
    <row r="1174" spans="2:7">
      <c r="B1174" s="256" t="s">
        <v>310</v>
      </c>
      <c r="C1174" s="250" t="s">
        <v>663</v>
      </c>
      <c r="D1174" s="250" t="s">
        <v>18</v>
      </c>
      <c r="E1174" s="251">
        <v>3</v>
      </c>
      <c r="F1174" s="252">
        <v>0.1</v>
      </c>
      <c r="G1174" s="251">
        <v>3</v>
      </c>
    </row>
    <row r="1175" spans="2:7">
      <c r="B1175" s="256" t="s">
        <v>310</v>
      </c>
      <c r="C1175" s="250" t="s">
        <v>1286</v>
      </c>
      <c r="D1175" s="250"/>
      <c r="E1175" s="251">
        <v>30</v>
      </c>
      <c r="F1175" s="252">
        <v>1</v>
      </c>
      <c r="G1175" s="251">
        <v>27</v>
      </c>
    </row>
    <row r="1176" spans="2:7">
      <c r="B1176" s="256" t="s">
        <v>310</v>
      </c>
      <c r="C1176" s="250" t="s">
        <v>664</v>
      </c>
      <c r="D1176" s="250" t="s">
        <v>1287</v>
      </c>
      <c r="E1176" s="251">
        <v>13</v>
      </c>
      <c r="F1176" s="252">
        <v>0.40625</v>
      </c>
      <c r="G1176" s="251">
        <v>13</v>
      </c>
    </row>
    <row r="1177" spans="2:7">
      <c r="B1177" s="256" t="s">
        <v>310</v>
      </c>
      <c r="C1177" s="250" t="s">
        <v>664</v>
      </c>
      <c r="D1177" s="250" t="s">
        <v>1288</v>
      </c>
      <c r="E1177" s="251">
        <v>3</v>
      </c>
      <c r="F1177" s="252">
        <v>9.375E-2</v>
      </c>
      <c r="G1177" s="251">
        <v>2</v>
      </c>
    </row>
    <row r="1178" spans="2:7">
      <c r="B1178" s="256" t="s">
        <v>310</v>
      </c>
      <c r="C1178" s="250" t="s">
        <v>664</v>
      </c>
      <c r="D1178" s="250" t="s">
        <v>1289</v>
      </c>
      <c r="E1178" s="251">
        <v>5</v>
      </c>
      <c r="F1178" s="252">
        <v>0.15625</v>
      </c>
      <c r="G1178" s="251">
        <v>5</v>
      </c>
    </row>
    <row r="1179" spans="2:7">
      <c r="B1179" s="256" t="s">
        <v>310</v>
      </c>
      <c r="C1179" s="250" t="s">
        <v>664</v>
      </c>
      <c r="D1179" s="250" t="s">
        <v>1290</v>
      </c>
      <c r="E1179" s="251">
        <v>1</v>
      </c>
      <c r="F1179" s="252">
        <v>3.125E-2</v>
      </c>
      <c r="G1179" s="251">
        <v>1</v>
      </c>
    </row>
    <row r="1180" spans="2:7">
      <c r="B1180" s="256" t="s">
        <v>310</v>
      </c>
      <c r="C1180" s="250" t="s">
        <v>664</v>
      </c>
      <c r="D1180" s="250" t="s">
        <v>14</v>
      </c>
      <c r="E1180" s="251">
        <v>1</v>
      </c>
      <c r="F1180" s="252">
        <v>3.125E-2</v>
      </c>
      <c r="G1180" s="251">
        <v>1</v>
      </c>
    </row>
    <row r="1181" spans="2:7">
      <c r="B1181" s="256" t="s">
        <v>310</v>
      </c>
      <c r="C1181" s="250" t="s">
        <v>664</v>
      </c>
      <c r="D1181" s="250" t="s">
        <v>18</v>
      </c>
      <c r="E1181" s="251">
        <v>9</v>
      </c>
      <c r="F1181" s="252">
        <v>0.28125</v>
      </c>
      <c r="G1181" s="251">
        <v>9</v>
      </c>
    </row>
    <row r="1182" spans="2:7">
      <c r="B1182" s="256" t="s">
        <v>310</v>
      </c>
      <c r="C1182" s="250" t="s">
        <v>1291</v>
      </c>
      <c r="D1182" s="250"/>
      <c r="E1182" s="251">
        <v>32</v>
      </c>
      <c r="F1182" s="252">
        <v>1</v>
      </c>
      <c r="G1182" s="251">
        <v>30</v>
      </c>
    </row>
    <row r="1183" spans="2:7">
      <c r="B1183" s="256" t="s">
        <v>310</v>
      </c>
      <c r="C1183" s="250" t="s">
        <v>665</v>
      </c>
      <c r="D1183" s="250" t="s">
        <v>1292</v>
      </c>
      <c r="E1183" s="251">
        <v>3</v>
      </c>
      <c r="F1183" s="252">
        <v>0.6</v>
      </c>
      <c r="G1183" s="251">
        <v>3</v>
      </c>
    </row>
    <row r="1184" spans="2:7">
      <c r="B1184" s="256" t="s">
        <v>310</v>
      </c>
      <c r="C1184" s="250" t="s">
        <v>665</v>
      </c>
      <c r="D1184" s="250" t="s">
        <v>14</v>
      </c>
      <c r="E1184" s="251">
        <v>2</v>
      </c>
      <c r="F1184" s="252">
        <v>0.4</v>
      </c>
      <c r="G1184" s="251">
        <v>2</v>
      </c>
    </row>
    <row r="1185" spans="2:7">
      <c r="B1185" s="256" t="s">
        <v>310</v>
      </c>
      <c r="C1185" s="250" t="s">
        <v>1293</v>
      </c>
      <c r="D1185" s="250"/>
      <c r="E1185" s="251">
        <v>5</v>
      </c>
      <c r="F1185" s="252">
        <v>1</v>
      </c>
      <c r="G1185" s="251">
        <v>5</v>
      </c>
    </row>
    <row r="1186" spans="2:7">
      <c r="B1186" s="256" t="s">
        <v>310</v>
      </c>
      <c r="C1186" s="250" t="s">
        <v>306</v>
      </c>
      <c r="D1186" s="250" t="s">
        <v>14</v>
      </c>
      <c r="E1186" s="251">
        <v>8</v>
      </c>
      <c r="F1186" s="252">
        <v>0.34782608695652173</v>
      </c>
      <c r="G1186" s="251">
        <v>8</v>
      </c>
    </row>
    <row r="1187" spans="2:7">
      <c r="B1187" s="256" t="s">
        <v>310</v>
      </c>
      <c r="C1187" s="250" t="s">
        <v>306</v>
      </c>
      <c r="D1187" s="250" t="s">
        <v>18</v>
      </c>
      <c r="E1187" s="251">
        <v>15</v>
      </c>
      <c r="F1187" s="252">
        <v>0.65217391304347827</v>
      </c>
      <c r="G1187" s="251">
        <v>15</v>
      </c>
    </row>
    <row r="1188" spans="2:7">
      <c r="B1188" s="256" t="s">
        <v>310</v>
      </c>
      <c r="C1188" s="250" t="s">
        <v>314</v>
      </c>
      <c r="D1188" s="250"/>
      <c r="E1188" s="251">
        <v>23</v>
      </c>
      <c r="F1188" s="252">
        <v>1</v>
      </c>
      <c r="G1188" s="251">
        <v>23</v>
      </c>
    </row>
    <row r="1189" spans="2:7">
      <c r="B1189" s="256" t="s">
        <v>310</v>
      </c>
      <c r="C1189" s="250" t="s">
        <v>14</v>
      </c>
      <c r="D1189" s="250" t="s">
        <v>14</v>
      </c>
      <c r="E1189" s="251">
        <v>83</v>
      </c>
      <c r="F1189" s="252">
        <v>1</v>
      </c>
      <c r="G1189" s="251">
        <v>1</v>
      </c>
    </row>
    <row r="1190" spans="2:7">
      <c r="B1190" s="256" t="s">
        <v>310</v>
      </c>
      <c r="C1190" s="250" t="s">
        <v>265</v>
      </c>
      <c r="D1190" s="250"/>
      <c r="E1190" s="251">
        <v>83</v>
      </c>
      <c r="F1190" s="252">
        <v>1</v>
      </c>
      <c r="G1190" s="251">
        <v>1</v>
      </c>
    </row>
    <row r="1191" spans="2:7">
      <c r="B1191" s="256" t="s">
        <v>311</v>
      </c>
      <c r="C1191" s="257"/>
      <c r="D1191" s="257"/>
      <c r="E1191" s="251">
        <v>608</v>
      </c>
      <c r="F1191" s="252"/>
      <c r="G1191" s="251">
        <v>360</v>
      </c>
    </row>
    <row r="1192" spans="2:7">
      <c r="B1192" s="256" t="s">
        <v>422</v>
      </c>
      <c r="C1192" s="250" t="s">
        <v>666</v>
      </c>
      <c r="D1192" s="250" t="s">
        <v>1294</v>
      </c>
      <c r="E1192" s="251">
        <v>1</v>
      </c>
      <c r="F1192" s="252">
        <v>1.2048192771084338E-2</v>
      </c>
      <c r="G1192" s="251">
        <v>1</v>
      </c>
    </row>
    <row r="1193" spans="2:7">
      <c r="B1193" s="256" t="s">
        <v>422</v>
      </c>
      <c r="C1193" s="250" t="s">
        <v>666</v>
      </c>
      <c r="D1193" s="250" t="s">
        <v>1295</v>
      </c>
      <c r="E1193" s="251">
        <v>20</v>
      </c>
      <c r="F1193" s="252">
        <v>0.24096385542168675</v>
      </c>
      <c r="G1193" s="251">
        <v>17</v>
      </c>
    </row>
    <row r="1194" spans="2:7">
      <c r="B1194" s="256" t="s">
        <v>422</v>
      </c>
      <c r="C1194" s="250" t="s">
        <v>666</v>
      </c>
      <c r="D1194" s="250" t="s">
        <v>1296</v>
      </c>
      <c r="E1194" s="251">
        <v>15</v>
      </c>
      <c r="F1194" s="252">
        <v>0.18072289156626506</v>
      </c>
      <c r="G1194" s="251">
        <v>13</v>
      </c>
    </row>
    <row r="1195" spans="2:7">
      <c r="B1195" s="256" t="s">
        <v>422</v>
      </c>
      <c r="C1195" s="250" t="s">
        <v>666</v>
      </c>
      <c r="D1195" s="250" t="s">
        <v>1297</v>
      </c>
      <c r="E1195" s="251">
        <v>22</v>
      </c>
      <c r="F1195" s="252">
        <v>0.26506024096385544</v>
      </c>
      <c r="G1195" s="251">
        <v>20</v>
      </c>
    </row>
    <row r="1196" spans="2:7">
      <c r="B1196" s="256" t="s">
        <v>422</v>
      </c>
      <c r="C1196" s="250" t="s">
        <v>666</v>
      </c>
      <c r="D1196" s="250" t="s">
        <v>1298</v>
      </c>
      <c r="E1196" s="251">
        <v>8</v>
      </c>
      <c r="F1196" s="252">
        <v>9.6385542168674704E-2</v>
      </c>
      <c r="G1196" s="251">
        <v>8</v>
      </c>
    </row>
    <row r="1197" spans="2:7">
      <c r="B1197" s="256" t="s">
        <v>422</v>
      </c>
      <c r="C1197" s="250" t="s">
        <v>666</v>
      </c>
      <c r="D1197" s="250" t="s">
        <v>1299</v>
      </c>
      <c r="E1197" s="251">
        <v>2</v>
      </c>
      <c r="F1197" s="252">
        <v>2.4096385542168676E-2</v>
      </c>
      <c r="G1197" s="251">
        <v>2</v>
      </c>
    </row>
    <row r="1198" spans="2:7">
      <c r="B1198" s="256" t="s">
        <v>422</v>
      </c>
      <c r="C1198" s="250" t="s">
        <v>666</v>
      </c>
      <c r="D1198" s="250" t="s">
        <v>18</v>
      </c>
      <c r="E1198" s="251">
        <v>15</v>
      </c>
      <c r="F1198" s="252">
        <v>0.18072289156626506</v>
      </c>
      <c r="G1198" s="251">
        <v>15</v>
      </c>
    </row>
    <row r="1199" spans="2:7">
      <c r="B1199" s="256" t="s">
        <v>422</v>
      </c>
      <c r="C1199" s="250" t="s">
        <v>1300</v>
      </c>
      <c r="D1199" s="250"/>
      <c r="E1199" s="251">
        <v>83</v>
      </c>
      <c r="F1199" s="252">
        <v>1</v>
      </c>
      <c r="G1199" s="251">
        <v>60</v>
      </c>
    </row>
    <row r="1200" spans="2:7">
      <c r="B1200" s="256" t="s">
        <v>422</v>
      </c>
      <c r="C1200" s="250" t="s">
        <v>667</v>
      </c>
      <c r="D1200" s="250" t="s">
        <v>1294</v>
      </c>
      <c r="E1200" s="251">
        <v>1</v>
      </c>
      <c r="F1200" s="252">
        <v>3.0303030303030304E-2</v>
      </c>
      <c r="G1200" s="251">
        <v>1</v>
      </c>
    </row>
    <row r="1201" spans="2:7">
      <c r="B1201" s="256" t="s">
        <v>422</v>
      </c>
      <c r="C1201" s="250" t="s">
        <v>667</v>
      </c>
      <c r="D1201" s="250" t="s">
        <v>1301</v>
      </c>
      <c r="E1201" s="251">
        <v>2</v>
      </c>
      <c r="F1201" s="252">
        <v>6.0606060606060608E-2</v>
      </c>
      <c r="G1201" s="251">
        <v>2</v>
      </c>
    </row>
    <row r="1202" spans="2:7">
      <c r="B1202" s="256" t="s">
        <v>422</v>
      </c>
      <c r="C1202" s="250" t="s">
        <v>667</v>
      </c>
      <c r="D1202" s="250" t="s">
        <v>1302</v>
      </c>
      <c r="E1202" s="251">
        <v>19</v>
      </c>
      <c r="F1202" s="252">
        <v>0.5757575757575758</v>
      </c>
      <c r="G1202" s="251">
        <v>18</v>
      </c>
    </row>
    <row r="1203" spans="2:7">
      <c r="B1203" s="256" t="s">
        <v>422</v>
      </c>
      <c r="C1203" s="250" t="s">
        <v>667</v>
      </c>
      <c r="D1203" s="250" t="s">
        <v>14</v>
      </c>
      <c r="E1203" s="251">
        <v>1</v>
      </c>
      <c r="F1203" s="252">
        <v>3.0303030303030304E-2</v>
      </c>
      <c r="G1203" s="251">
        <v>1</v>
      </c>
    </row>
    <row r="1204" spans="2:7">
      <c r="B1204" s="256" t="s">
        <v>422</v>
      </c>
      <c r="C1204" s="250" t="s">
        <v>667</v>
      </c>
      <c r="D1204" s="250" t="s">
        <v>1303</v>
      </c>
      <c r="E1204" s="251">
        <v>3</v>
      </c>
      <c r="F1204" s="252">
        <v>9.0909090909090912E-2</v>
      </c>
      <c r="G1204" s="251">
        <v>3</v>
      </c>
    </row>
    <row r="1205" spans="2:7">
      <c r="B1205" s="256" t="s">
        <v>422</v>
      </c>
      <c r="C1205" s="250" t="s">
        <v>667</v>
      </c>
      <c r="D1205" s="250" t="s">
        <v>18</v>
      </c>
      <c r="E1205" s="251">
        <v>7</v>
      </c>
      <c r="F1205" s="252">
        <v>0.21212121212121213</v>
      </c>
      <c r="G1205" s="251">
        <v>7</v>
      </c>
    </row>
    <row r="1206" spans="2:7">
      <c r="B1206" s="256" t="s">
        <v>422</v>
      </c>
      <c r="C1206" s="250" t="s">
        <v>1304</v>
      </c>
      <c r="D1206" s="250"/>
      <c r="E1206" s="251">
        <v>33</v>
      </c>
      <c r="F1206" s="252">
        <v>1</v>
      </c>
      <c r="G1206" s="251">
        <v>32</v>
      </c>
    </row>
    <row r="1207" spans="2:7">
      <c r="B1207" s="256" t="s">
        <v>422</v>
      </c>
      <c r="C1207" s="250" t="s">
        <v>423</v>
      </c>
      <c r="D1207" s="250" t="s">
        <v>1305</v>
      </c>
      <c r="E1207" s="251">
        <v>3</v>
      </c>
      <c r="F1207" s="252">
        <v>0.27272727272727271</v>
      </c>
      <c r="G1207" s="251">
        <v>3</v>
      </c>
    </row>
    <row r="1208" spans="2:7">
      <c r="B1208" s="256" t="s">
        <v>422</v>
      </c>
      <c r="C1208" s="250" t="s">
        <v>423</v>
      </c>
      <c r="D1208" s="250" t="s">
        <v>14</v>
      </c>
      <c r="E1208" s="251">
        <v>1</v>
      </c>
      <c r="F1208" s="252">
        <v>9.0909090909090912E-2</v>
      </c>
      <c r="G1208" s="251">
        <v>1</v>
      </c>
    </row>
    <row r="1209" spans="2:7">
      <c r="B1209" s="256" t="s">
        <v>422</v>
      </c>
      <c r="C1209" s="250" t="s">
        <v>423</v>
      </c>
      <c r="D1209" s="250" t="s">
        <v>1306</v>
      </c>
      <c r="E1209" s="251">
        <v>2</v>
      </c>
      <c r="F1209" s="252">
        <v>0.18181818181818182</v>
      </c>
      <c r="G1209" s="251">
        <v>2</v>
      </c>
    </row>
    <row r="1210" spans="2:7">
      <c r="B1210" s="256" t="s">
        <v>422</v>
      </c>
      <c r="C1210" s="250" t="s">
        <v>423</v>
      </c>
      <c r="D1210" s="250" t="s">
        <v>18</v>
      </c>
      <c r="E1210" s="251">
        <v>5</v>
      </c>
      <c r="F1210" s="252">
        <v>0.45454545454545453</v>
      </c>
      <c r="G1210" s="251">
        <v>5</v>
      </c>
    </row>
    <row r="1211" spans="2:7">
      <c r="B1211" s="256" t="s">
        <v>422</v>
      </c>
      <c r="C1211" s="250" t="s">
        <v>430</v>
      </c>
      <c r="D1211" s="250"/>
      <c r="E1211" s="251">
        <v>11</v>
      </c>
      <c r="F1211" s="252">
        <v>1</v>
      </c>
      <c r="G1211" s="251">
        <v>11</v>
      </c>
    </row>
    <row r="1212" spans="2:7">
      <c r="B1212" s="256" t="s">
        <v>422</v>
      </c>
      <c r="C1212" s="250" t="s">
        <v>14</v>
      </c>
      <c r="D1212" s="250" t="s">
        <v>14</v>
      </c>
      <c r="E1212" s="251">
        <v>19</v>
      </c>
      <c r="F1212" s="252">
        <v>1</v>
      </c>
      <c r="G1212" s="251">
        <v>1</v>
      </c>
    </row>
    <row r="1213" spans="2:7">
      <c r="B1213" s="256" t="s">
        <v>422</v>
      </c>
      <c r="C1213" s="250" t="s">
        <v>265</v>
      </c>
      <c r="D1213" s="250"/>
      <c r="E1213" s="251">
        <v>19</v>
      </c>
      <c r="F1213" s="252">
        <v>1</v>
      </c>
      <c r="G1213" s="251">
        <v>1</v>
      </c>
    </row>
    <row r="1214" spans="2:7">
      <c r="B1214" s="256" t="s">
        <v>424</v>
      </c>
      <c r="C1214" s="257"/>
      <c r="D1214" s="257"/>
      <c r="E1214" s="251">
        <v>146</v>
      </c>
      <c r="F1214" s="252"/>
      <c r="G1214" s="251">
        <v>100</v>
      </c>
    </row>
    <row r="1215" spans="2:7">
      <c r="B1215" s="256" t="s">
        <v>668</v>
      </c>
      <c r="C1215" s="250" t="s">
        <v>669</v>
      </c>
      <c r="D1215" s="250" t="s">
        <v>1307</v>
      </c>
      <c r="E1215" s="251">
        <v>5</v>
      </c>
      <c r="F1215" s="252">
        <v>1</v>
      </c>
      <c r="G1215" s="251">
        <v>5</v>
      </c>
    </row>
    <row r="1216" spans="2:7">
      <c r="B1216" s="256" t="s">
        <v>668</v>
      </c>
      <c r="C1216" s="250" t="s">
        <v>1308</v>
      </c>
      <c r="D1216" s="250"/>
      <c r="E1216" s="251">
        <v>5</v>
      </c>
      <c r="F1216" s="252">
        <v>1</v>
      </c>
      <c r="G1216" s="251">
        <v>5</v>
      </c>
    </row>
    <row r="1217" spans="2:7">
      <c r="B1217" s="256" t="s">
        <v>668</v>
      </c>
      <c r="C1217" s="250" t="s">
        <v>670</v>
      </c>
      <c r="D1217" s="250" t="s">
        <v>1309</v>
      </c>
      <c r="E1217" s="251">
        <v>1</v>
      </c>
      <c r="F1217" s="252">
        <v>0.14285714285714285</v>
      </c>
      <c r="G1217" s="251">
        <v>1</v>
      </c>
    </row>
    <row r="1218" spans="2:7">
      <c r="B1218" s="256" t="s">
        <v>668</v>
      </c>
      <c r="C1218" s="250" t="s">
        <v>670</v>
      </c>
      <c r="D1218" s="250" t="s">
        <v>1310</v>
      </c>
      <c r="E1218" s="251">
        <v>2</v>
      </c>
      <c r="F1218" s="252">
        <v>0.2857142857142857</v>
      </c>
      <c r="G1218" s="251">
        <v>2</v>
      </c>
    </row>
    <row r="1219" spans="2:7">
      <c r="B1219" s="256" t="s">
        <v>668</v>
      </c>
      <c r="C1219" s="250" t="s">
        <v>670</v>
      </c>
      <c r="D1219" s="250" t="s">
        <v>1311</v>
      </c>
      <c r="E1219" s="251">
        <v>1</v>
      </c>
      <c r="F1219" s="252">
        <v>0.14285714285714285</v>
      </c>
      <c r="G1219" s="251">
        <v>1</v>
      </c>
    </row>
    <row r="1220" spans="2:7">
      <c r="B1220" s="256" t="s">
        <v>668</v>
      </c>
      <c r="C1220" s="250" t="s">
        <v>670</v>
      </c>
      <c r="D1220" s="250" t="s">
        <v>18</v>
      </c>
      <c r="E1220" s="251">
        <v>3</v>
      </c>
      <c r="F1220" s="252">
        <v>0.42857142857142855</v>
      </c>
      <c r="G1220" s="251">
        <v>2</v>
      </c>
    </row>
    <row r="1221" spans="2:7">
      <c r="B1221" s="256" t="s">
        <v>668</v>
      </c>
      <c r="C1221" s="250" t="s">
        <v>1312</v>
      </c>
      <c r="D1221" s="250"/>
      <c r="E1221" s="251">
        <v>7</v>
      </c>
      <c r="F1221" s="252">
        <v>1</v>
      </c>
      <c r="G1221" s="251">
        <v>5</v>
      </c>
    </row>
    <row r="1222" spans="2:7">
      <c r="B1222" s="256" t="s">
        <v>668</v>
      </c>
      <c r="C1222" s="250" t="s">
        <v>671</v>
      </c>
      <c r="D1222" s="250" t="s">
        <v>792</v>
      </c>
      <c r="E1222" s="251">
        <v>1</v>
      </c>
      <c r="F1222" s="252">
        <v>0.2</v>
      </c>
      <c r="G1222" s="251">
        <v>1</v>
      </c>
    </row>
    <row r="1223" spans="2:7">
      <c r="B1223" s="256" t="s">
        <v>668</v>
      </c>
      <c r="C1223" s="250" t="s">
        <v>671</v>
      </c>
      <c r="D1223" s="250" t="s">
        <v>1313</v>
      </c>
      <c r="E1223" s="251">
        <v>1</v>
      </c>
      <c r="F1223" s="252">
        <v>0.2</v>
      </c>
      <c r="G1223" s="251">
        <v>1</v>
      </c>
    </row>
    <row r="1224" spans="2:7">
      <c r="B1224" s="256" t="s">
        <v>668</v>
      </c>
      <c r="C1224" s="250" t="s">
        <v>671</v>
      </c>
      <c r="D1224" s="250" t="s">
        <v>465</v>
      </c>
      <c r="E1224" s="251">
        <v>3</v>
      </c>
      <c r="F1224" s="252">
        <v>0.6</v>
      </c>
      <c r="G1224" s="251">
        <v>3</v>
      </c>
    </row>
    <row r="1225" spans="2:7">
      <c r="B1225" s="256" t="s">
        <v>668</v>
      </c>
      <c r="C1225" s="250" t="s">
        <v>1314</v>
      </c>
      <c r="D1225" s="250"/>
      <c r="E1225" s="251">
        <v>5</v>
      </c>
      <c r="F1225" s="252">
        <v>1</v>
      </c>
      <c r="G1225" s="251">
        <v>3</v>
      </c>
    </row>
    <row r="1226" spans="2:7">
      <c r="B1226" s="256" t="s">
        <v>668</v>
      </c>
      <c r="C1226" s="250" t="s">
        <v>672</v>
      </c>
      <c r="D1226" s="250" t="s">
        <v>1315</v>
      </c>
      <c r="E1226" s="251">
        <v>1</v>
      </c>
      <c r="F1226" s="252">
        <v>0.1111111111111111</v>
      </c>
      <c r="G1226" s="251">
        <v>1</v>
      </c>
    </row>
    <row r="1227" spans="2:7">
      <c r="B1227" s="256" t="s">
        <v>668</v>
      </c>
      <c r="C1227" s="250" t="s">
        <v>672</v>
      </c>
      <c r="D1227" s="250" t="s">
        <v>1316</v>
      </c>
      <c r="E1227" s="251">
        <v>4</v>
      </c>
      <c r="F1227" s="252">
        <v>0.44444444444444442</v>
      </c>
      <c r="G1227" s="251">
        <v>3</v>
      </c>
    </row>
    <row r="1228" spans="2:7">
      <c r="B1228" s="256" t="s">
        <v>668</v>
      </c>
      <c r="C1228" s="250" t="s">
        <v>672</v>
      </c>
      <c r="D1228" s="250" t="s">
        <v>1317</v>
      </c>
      <c r="E1228" s="251">
        <v>1</v>
      </c>
      <c r="F1228" s="252">
        <v>0.1111111111111111</v>
      </c>
      <c r="G1228" s="251">
        <v>1</v>
      </c>
    </row>
    <row r="1229" spans="2:7">
      <c r="B1229" s="256" t="s">
        <v>668</v>
      </c>
      <c r="C1229" s="250" t="s">
        <v>672</v>
      </c>
      <c r="D1229" s="250" t="s">
        <v>14</v>
      </c>
      <c r="E1229" s="251">
        <v>1</v>
      </c>
      <c r="F1229" s="252">
        <v>0.1111111111111111</v>
      </c>
      <c r="G1229" s="251">
        <v>1</v>
      </c>
    </row>
    <row r="1230" spans="2:7">
      <c r="B1230" s="256" t="s">
        <v>668</v>
      </c>
      <c r="C1230" s="250" t="s">
        <v>672</v>
      </c>
      <c r="D1230" s="250" t="s">
        <v>1318</v>
      </c>
      <c r="E1230" s="251">
        <v>2</v>
      </c>
      <c r="F1230" s="252">
        <v>0.22222222222222221</v>
      </c>
      <c r="G1230" s="251">
        <v>2</v>
      </c>
    </row>
    <row r="1231" spans="2:7">
      <c r="B1231" s="256" t="s">
        <v>668</v>
      </c>
      <c r="C1231" s="250" t="s">
        <v>1319</v>
      </c>
      <c r="D1231" s="250"/>
      <c r="E1231" s="251">
        <v>9</v>
      </c>
      <c r="F1231" s="252">
        <v>1</v>
      </c>
      <c r="G1231" s="251">
        <v>8</v>
      </c>
    </row>
    <row r="1232" spans="2:7">
      <c r="B1232" s="256" t="s">
        <v>668</v>
      </c>
      <c r="C1232" s="250" t="s">
        <v>673</v>
      </c>
      <c r="D1232" s="250" t="s">
        <v>1320</v>
      </c>
      <c r="E1232" s="251">
        <v>3</v>
      </c>
      <c r="F1232" s="252">
        <v>0.27272727272727271</v>
      </c>
      <c r="G1232" s="251">
        <v>2</v>
      </c>
    </row>
    <row r="1233" spans="2:7">
      <c r="B1233" s="256" t="s">
        <v>668</v>
      </c>
      <c r="C1233" s="250" t="s">
        <v>673</v>
      </c>
      <c r="D1233" s="250" t="s">
        <v>788</v>
      </c>
      <c r="E1233" s="251">
        <v>2</v>
      </c>
      <c r="F1233" s="252">
        <v>0.18181818181818182</v>
      </c>
      <c r="G1233" s="251">
        <v>2</v>
      </c>
    </row>
    <row r="1234" spans="2:7">
      <c r="B1234" s="256" t="s">
        <v>668</v>
      </c>
      <c r="C1234" s="250" t="s">
        <v>673</v>
      </c>
      <c r="D1234" s="250" t="s">
        <v>1321</v>
      </c>
      <c r="E1234" s="251">
        <v>5</v>
      </c>
      <c r="F1234" s="252">
        <v>0.45454545454545453</v>
      </c>
      <c r="G1234" s="251">
        <v>5</v>
      </c>
    </row>
    <row r="1235" spans="2:7">
      <c r="B1235" s="256" t="s">
        <v>668</v>
      </c>
      <c r="C1235" s="250" t="s">
        <v>673</v>
      </c>
      <c r="D1235" s="250" t="s">
        <v>465</v>
      </c>
      <c r="E1235" s="251">
        <v>1</v>
      </c>
      <c r="F1235" s="252">
        <v>9.0909090909090912E-2</v>
      </c>
      <c r="G1235" s="251">
        <v>1</v>
      </c>
    </row>
    <row r="1236" spans="2:7">
      <c r="B1236" s="256" t="s">
        <v>668</v>
      </c>
      <c r="C1236" s="250" t="s">
        <v>1322</v>
      </c>
      <c r="D1236" s="250"/>
      <c r="E1236" s="251">
        <v>11</v>
      </c>
      <c r="F1236" s="252">
        <v>1</v>
      </c>
      <c r="G1236" s="251">
        <v>9</v>
      </c>
    </row>
    <row r="1237" spans="2:7">
      <c r="B1237" s="256" t="s">
        <v>668</v>
      </c>
      <c r="C1237" s="250" t="s">
        <v>674</v>
      </c>
      <c r="D1237" s="250" t="s">
        <v>1323</v>
      </c>
      <c r="E1237" s="251">
        <v>1</v>
      </c>
      <c r="F1237" s="252">
        <v>0.5</v>
      </c>
      <c r="G1237" s="251">
        <v>1</v>
      </c>
    </row>
    <row r="1238" spans="2:7">
      <c r="B1238" s="256" t="s">
        <v>668</v>
      </c>
      <c r="C1238" s="250" t="s">
        <v>674</v>
      </c>
      <c r="D1238" s="250" t="s">
        <v>1324</v>
      </c>
      <c r="E1238" s="251">
        <v>1</v>
      </c>
      <c r="F1238" s="252">
        <v>0.5</v>
      </c>
      <c r="G1238" s="251">
        <v>1</v>
      </c>
    </row>
    <row r="1239" spans="2:7">
      <c r="B1239" s="256" t="s">
        <v>668</v>
      </c>
      <c r="C1239" s="250" t="s">
        <v>1325</v>
      </c>
      <c r="D1239" s="250"/>
      <c r="E1239" s="251">
        <v>2</v>
      </c>
      <c r="F1239" s="252">
        <v>1</v>
      </c>
      <c r="G1239" s="251">
        <v>2</v>
      </c>
    </row>
    <row r="1240" spans="2:7">
      <c r="B1240" s="256" t="s">
        <v>668</v>
      </c>
      <c r="C1240" s="250" t="s">
        <v>14</v>
      </c>
      <c r="D1240" s="250" t="s">
        <v>14</v>
      </c>
      <c r="E1240" s="251">
        <v>8</v>
      </c>
      <c r="F1240" s="252">
        <v>1</v>
      </c>
      <c r="G1240" s="251">
        <v>1</v>
      </c>
    </row>
    <row r="1241" spans="2:7">
      <c r="B1241" s="256" t="s">
        <v>668</v>
      </c>
      <c r="C1241" s="250" t="s">
        <v>265</v>
      </c>
      <c r="D1241" s="250"/>
      <c r="E1241" s="251">
        <v>8</v>
      </c>
      <c r="F1241" s="252">
        <v>1</v>
      </c>
      <c r="G1241" s="251">
        <v>1</v>
      </c>
    </row>
    <row r="1242" spans="2:7">
      <c r="B1242" s="256" t="s">
        <v>675</v>
      </c>
      <c r="C1242" s="257"/>
      <c r="D1242" s="257"/>
      <c r="E1242" s="251">
        <v>47</v>
      </c>
      <c r="F1242" s="252"/>
      <c r="G1242" s="251">
        <v>32</v>
      </c>
    </row>
    <row r="1243" spans="2:7">
      <c r="B1243" s="256" t="s">
        <v>676</v>
      </c>
      <c r="C1243" s="250" t="s">
        <v>677</v>
      </c>
      <c r="D1243" s="250" t="s">
        <v>1326</v>
      </c>
      <c r="E1243" s="251">
        <v>74</v>
      </c>
      <c r="F1243" s="252">
        <v>0.31896551724137934</v>
      </c>
      <c r="G1243" s="251">
        <v>70</v>
      </c>
    </row>
    <row r="1244" spans="2:7">
      <c r="B1244" s="256" t="s">
        <v>676</v>
      </c>
      <c r="C1244" s="250" t="s">
        <v>677</v>
      </c>
      <c r="D1244" s="250" t="s">
        <v>1327</v>
      </c>
      <c r="E1244" s="251">
        <v>49</v>
      </c>
      <c r="F1244" s="252">
        <v>0.21120689655172414</v>
      </c>
      <c r="G1244" s="251">
        <v>39</v>
      </c>
    </row>
    <row r="1245" spans="2:7">
      <c r="B1245" s="256" t="s">
        <v>676</v>
      </c>
      <c r="C1245" s="250" t="s">
        <v>677</v>
      </c>
      <c r="D1245" s="250" t="s">
        <v>1328</v>
      </c>
      <c r="E1245" s="251">
        <v>11</v>
      </c>
      <c r="F1245" s="252">
        <v>4.7413793103448273E-2</v>
      </c>
      <c r="G1245" s="251">
        <v>11</v>
      </c>
    </row>
    <row r="1246" spans="2:7">
      <c r="B1246" s="256" t="s">
        <v>676</v>
      </c>
      <c r="C1246" s="250" t="s">
        <v>677</v>
      </c>
      <c r="D1246" s="250" t="s">
        <v>1329</v>
      </c>
      <c r="E1246" s="251">
        <v>2</v>
      </c>
      <c r="F1246" s="252">
        <v>8.6206896551724137E-3</v>
      </c>
      <c r="G1246" s="251">
        <v>2</v>
      </c>
    </row>
    <row r="1247" spans="2:7">
      <c r="B1247" s="256" t="s">
        <v>676</v>
      </c>
      <c r="C1247" s="250" t="s">
        <v>677</v>
      </c>
      <c r="D1247" s="250" t="s">
        <v>1330</v>
      </c>
      <c r="E1247" s="251">
        <v>1</v>
      </c>
      <c r="F1247" s="252">
        <v>4.3103448275862068E-3</v>
      </c>
      <c r="G1247" s="251">
        <v>1</v>
      </c>
    </row>
    <row r="1248" spans="2:7">
      <c r="B1248" s="256" t="s">
        <v>676</v>
      </c>
      <c r="C1248" s="250" t="s">
        <v>677</v>
      </c>
      <c r="D1248" s="250" t="s">
        <v>426</v>
      </c>
      <c r="E1248" s="251">
        <v>5</v>
      </c>
      <c r="F1248" s="252">
        <v>2.1551724137931036E-2</v>
      </c>
      <c r="G1248" s="251">
        <v>3</v>
      </c>
    </row>
    <row r="1249" spans="2:7">
      <c r="B1249" s="256" t="s">
        <v>676</v>
      </c>
      <c r="C1249" s="250" t="s">
        <v>677</v>
      </c>
      <c r="D1249" s="250" t="s">
        <v>1331</v>
      </c>
      <c r="E1249" s="251">
        <v>6</v>
      </c>
      <c r="F1249" s="252">
        <v>2.5862068965517241E-2</v>
      </c>
      <c r="G1249" s="251">
        <v>5</v>
      </c>
    </row>
    <row r="1250" spans="2:7">
      <c r="B1250" s="256" t="s">
        <v>676</v>
      </c>
      <c r="C1250" s="250" t="s">
        <v>677</v>
      </c>
      <c r="D1250" s="250" t="s">
        <v>1332</v>
      </c>
      <c r="E1250" s="251">
        <v>17</v>
      </c>
      <c r="F1250" s="252">
        <v>7.3275862068965511E-2</v>
      </c>
      <c r="G1250" s="251">
        <v>15</v>
      </c>
    </row>
    <row r="1251" spans="2:7">
      <c r="B1251" s="256" t="s">
        <v>676</v>
      </c>
      <c r="C1251" s="250" t="s">
        <v>677</v>
      </c>
      <c r="D1251" s="250" t="s">
        <v>1333</v>
      </c>
      <c r="E1251" s="251">
        <v>1</v>
      </c>
      <c r="F1251" s="252">
        <v>4.3103448275862068E-3</v>
      </c>
      <c r="G1251" s="251">
        <v>1</v>
      </c>
    </row>
    <row r="1252" spans="2:7">
      <c r="B1252" s="256" t="s">
        <v>676</v>
      </c>
      <c r="C1252" s="250" t="s">
        <v>677</v>
      </c>
      <c r="D1252" s="250" t="s">
        <v>14</v>
      </c>
      <c r="E1252" s="251">
        <v>5</v>
      </c>
      <c r="F1252" s="252">
        <v>2.1551724137931036E-2</v>
      </c>
      <c r="G1252" s="251">
        <v>4</v>
      </c>
    </row>
    <row r="1253" spans="2:7">
      <c r="B1253" s="256" t="s">
        <v>676</v>
      </c>
      <c r="C1253" s="250" t="s">
        <v>677</v>
      </c>
      <c r="D1253" s="250" t="s">
        <v>1334</v>
      </c>
      <c r="E1253" s="251">
        <v>26</v>
      </c>
      <c r="F1253" s="252">
        <v>0.11206896551724138</v>
      </c>
      <c r="G1253" s="251">
        <v>25</v>
      </c>
    </row>
    <row r="1254" spans="2:7">
      <c r="B1254" s="256" t="s">
        <v>676</v>
      </c>
      <c r="C1254" s="250" t="s">
        <v>677</v>
      </c>
      <c r="D1254" s="250" t="s">
        <v>1335</v>
      </c>
      <c r="E1254" s="251">
        <v>1</v>
      </c>
      <c r="F1254" s="252">
        <v>4.3103448275862068E-3</v>
      </c>
      <c r="G1254" s="251">
        <v>1</v>
      </c>
    </row>
    <row r="1255" spans="2:7">
      <c r="B1255" s="256" t="s">
        <v>676</v>
      </c>
      <c r="C1255" s="250" t="s">
        <v>677</v>
      </c>
      <c r="D1255" s="250" t="s">
        <v>465</v>
      </c>
      <c r="E1255" s="251">
        <v>19</v>
      </c>
      <c r="F1255" s="252">
        <v>8.1896551724137928E-2</v>
      </c>
      <c r="G1255" s="251">
        <v>15</v>
      </c>
    </row>
    <row r="1256" spans="2:7">
      <c r="B1256" s="256" t="s">
        <v>676</v>
      </c>
      <c r="C1256" s="250" t="s">
        <v>677</v>
      </c>
      <c r="D1256" s="250" t="s">
        <v>1336</v>
      </c>
      <c r="E1256" s="251">
        <v>1</v>
      </c>
      <c r="F1256" s="252">
        <v>4.3103448275862068E-3</v>
      </c>
      <c r="G1256" s="251">
        <v>1</v>
      </c>
    </row>
    <row r="1257" spans="2:7">
      <c r="B1257" s="256" t="s">
        <v>676</v>
      </c>
      <c r="C1257" s="250" t="s">
        <v>677</v>
      </c>
      <c r="D1257" s="250" t="s">
        <v>1337</v>
      </c>
      <c r="E1257" s="251">
        <v>1</v>
      </c>
      <c r="F1257" s="252">
        <v>4.3103448275862068E-3</v>
      </c>
      <c r="G1257" s="251">
        <v>1</v>
      </c>
    </row>
    <row r="1258" spans="2:7">
      <c r="B1258" s="256" t="s">
        <v>676</v>
      </c>
      <c r="C1258" s="250" t="s">
        <v>677</v>
      </c>
      <c r="D1258" s="250" t="s">
        <v>18</v>
      </c>
      <c r="E1258" s="251">
        <v>13</v>
      </c>
      <c r="F1258" s="252">
        <v>5.6034482758620691E-2</v>
      </c>
      <c r="G1258" s="251">
        <v>12</v>
      </c>
    </row>
    <row r="1259" spans="2:7">
      <c r="B1259" s="256" t="s">
        <v>676</v>
      </c>
      <c r="C1259" s="250" t="s">
        <v>1338</v>
      </c>
      <c r="D1259" s="250"/>
      <c r="E1259" s="251">
        <v>232</v>
      </c>
      <c r="F1259" s="252">
        <v>1</v>
      </c>
      <c r="G1259" s="251">
        <v>149</v>
      </c>
    </row>
    <row r="1260" spans="2:7">
      <c r="B1260" s="256" t="s">
        <v>676</v>
      </c>
      <c r="C1260" s="250" t="s">
        <v>678</v>
      </c>
      <c r="D1260" s="250" t="s">
        <v>1339</v>
      </c>
      <c r="E1260" s="251">
        <v>4</v>
      </c>
      <c r="F1260" s="252">
        <v>0.22222222222222221</v>
      </c>
      <c r="G1260" s="251">
        <v>4</v>
      </c>
    </row>
    <row r="1261" spans="2:7">
      <c r="B1261" s="256" t="s">
        <v>676</v>
      </c>
      <c r="C1261" s="250" t="s">
        <v>678</v>
      </c>
      <c r="D1261" s="250" t="s">
        <v>1340</v>
      </c>
      <c r="E1261" s="251">
        <v>8</v>
      </c>
      <c r="F1261" s="252">
        <v>0.44444444444444442</v>
      </c>
      <c r="G1261" s="251">
        <v>8</v>
      </c>
    </row>
    <row r="1262" spans="2:7">
      <c r="B1262" s="256" t="s">
        <v>676</v>
      </c>
      <c r="C1262" s="250" t="s">
        <v>678</v>
      </c>
      <c r="D1262" s="250" t="s">
        <v>1341</v>
      </c>
      <c r="E1262" s="251">
        <v>1</v>
      </c>
      <c r="F1262" s="252">
        <v>5.5555555555555552E-2</v>
      </c>
      <c r="G1262" s="251">
        <v>1</v>
      </c>
    </row>
    <row r="1263" spans="2:7">
      <c r="B1263" s="256" t="s">
        <v>676</v>
      </c>
      <c r="C1263" s="250" t="s">
        <v>678</v>
      </c>
      <c r="D1263" s="250" t="s">
        <v>1342</v>
      </c>
      <c r="E1263" s="251">
        <v>1</v>
      </c>
      <c r="F1263" s="252">
        <v>5.5555555555555552E-2</v>
      </c>
      <c r="G1263" s="251">
        <v>1</v>
      </c>
    </row>
    <row r="1264" spans="2:7">
      <c r="B1264" s="256" t="s">
        <v>676</v>
      </c>
      <c r="C1264" s="250" t="s">
        <v>678</v>
      </c>
      <c r="D1264" s="250" t="s">
        <v>14</v>
      </c>
      <c r="E1264" s="251">
        <v>2</v>
      </c>
      <c r="F1264" s="252">
        <v>0.1111111111111111</v>
      </c>
      <c r="G1264" s="251">
        <v>2</v>
      </c>
    </row>
    <row r="1265" spans="2:7">
      <c r="B1265" s="256" t="s">
        <v>676</v>
      </c>
      <c r="C1265" s="250" t="s">
        <v>678</v>
      </c>
      <c r="D1265" s="250" t="s">
        <v>18</v>
      </c>
      <c r="E1265" s="251">
        <v>2</v>
      </c>
      <c r="F1265" s="252">
        <v>0.1111111111111111</v>
      </c>
      <c r="G1265" s="251">
        <v>2</v>
      </c>
    </row>
    <row r="1266" spans="2:7">
      <c r="B1266" s="256" t="s">
        <v>676</v>
      </c>
      <c r="C1266" s="250" t="s">
        <v>1343</v>
      </c>
      <c r="D1266" s="250"/>
      <c r="E1266" s="251">
        <v>18</v>
      </c>
      <c r="F1266" s="252">
        <v>1</v>
      </c>
      <c r="G1266" s="251">
        <v>16</v>
      </c>
    </row>
    <row r="1267" spans="2:7">
      <c r="B1267" s="256" t="s">
        <v>676</v>
      </c>
      <c r="C1267" s="250" t="s">
        <v>679</v>
      </c>
      <c r="D1267" s="250" t="s">
        <v>1326</v>
      </c>
      <c r="E1267" s="251">
        <v>3</v>
      </c>
      <c r="F1267" s="252">
        <v>0.15789473684210525</v>
      </c>
      <c r="G1267" s="251">
        <v>1</v>
      </c>
    </row>
    <row r="1268" spans="2:7">
      <c r="B1268" s="256" t="s">
        <v>676</v>
      </c>
      <c r="C1268" s="250" t="s">
        <v>679</v>
      </c>
      <c r="D1268" s="250" t="s">
        <v>1344</v>
      </c>
      <c r="E1268" s="251">
        <v>2</v>
      </c>
      <c r="F1268" s="252">
        <v>0.10526315789473684</v>
      </c>
      <c r="G1268" s="251">
        <v>2</v>
      </c>
    </row>
    <row r="1269" spans="2:7">
      <c r="B1269" s="256" t="s">
        <v>676</v>
      </c>
      <c r="C1269" s="250" t="s">
        <v>679</v>
      </c>
      <c r="D1269" s="250" t="s">
        <v>1329</v>
      </c>
      <c r="E1269" s="251">
        <v>4</v>
      </c>
      <c r="F1269" s="252">
        <v>0.21052631578947367</v>
      </c>
      <c r="G1269" s="251">
        <v>3</v>
      </c>
    </row>
    <row r="1270" spans="2:7">
      <c r="B1270" s="256" t="s">
        <v>676</v>
      </c>
      <c r="C1270" s="250" t="s">
        <v>679</v>
      </c>
      <c r="D1270" s="250" t="s">
        <v>426</v>
      </c>
      <c r="E1270" s="251">
        <v>2</v>
      </c>
      <c r="F1270" s="252">
        <v>0.10526315789473684</v>
      </c>
      <c r="G1270" s="251">
        <v>2</v>
      </c>
    </row>
    <row r="1271" spans="2:7">
      <c r="B1271" s="256" t="s">
        <v>676</v>
      </c>
      <c r="C1271" s="250" t="s">
        <v>679</v>
      </c>
      <c r="D1271" s="250" t="s">
        <v>1331</v>
      </c>
      <c r="E1271" s="251">
        <v>1</v>
      </c>
      <c r="F1271" s="252">
        <v>5.2631578947368418E-2</v>
      </c>
      <c r="G1271" s="251">
        <v>1</v>
      </c>
    </row>
    <row r="1272" spans="2:7">
      <c r="B1272" s="256" t="s">
        <v>676</v>
      </c>
      <c r="C1272" s="250" t="s">
        <v>679</v>
      </c>
      <c r="D1272" s="250" t="s">
        <v>465</v>
      </c>
      <c r="E1272" s="251">
        <v>7</v>
      </c>
      <c r="F1272" s="252">
        <v>0.36842105263157893</v>
      </c>
      <c r="G1272" s="251">
        <v>4</v>
      </c>
    </row>
    <row r="1273" spans="2:7">
      <c r="B1273" s="256" t="s">
        <v>676</v>
      </c>
      <c r="C1273" s="250" t="s">
        <v>1345</v>
      </c>
      <c r="D1273" s="250"/>
      <c r="E1273" s="251">
        <v>19</v>
      </c>
      <c r="F1273" s="252">
        <v>1</v>
      </c>
      <c r="G1273" s="251">
        <v>6</v>
      </c>
    </row>
    <row r="1274" spans="2:7">
      <c r="B1274" s="256" t="s">
        <v>676</v>
      </c>
      <c r="C1274" s="250" t="s">
        <v>680</v>
      </c>
      <c r="D1274" s="250" t="s">
        <v>1344</v>
      </c>
      <c r="E1274" s="251">
        <v>5</v>
      </c>
      <c r="F1274" s="252">
        <v>0.29411764705882354</v>
      </c>
      <c r="G1274" s="251">
        <v>5</v>
      </c>
    </row>
    <row r="1275" spans="2:7">
      <c r="B1275" s="256" t="s">
        <v>676</v>
      </c>
      <c r="C1275" s="250" t="s">
        <v>680</v>
      </c>
      <c r="D1275" s="250" t="s">
        <v>1329</v>
      </c>
      <c r="E1275" s="251">
        <v>4</v>
      </c>
      <c r="F1275" s="252">
        <v>0.23529411764705882</v>
      </c>
      <c r="G1275" s="251">
        <v>3</v>
      </c>
    </row>
    <row r="1276" spans="2:7">
      <c r="B1276" s="256" t="s">
        <v>676</v>
      </c>
      <c r="C1276" s="250" t="s">
        <v>680</v>
      </c>
      <c r="D1276" s="250" t="s">
        <v>1346</v>
      </c>
      <c r="E1276" s="251">
        <v>1</v>
      </c>
      <c r="F1276" s="252">
        <v>5.8823529411764705E-2</v>
      </c>
      <c r="G1276" s="251">
        <v>1</v>
      </c>
    </row>
    <row r="1277" spans="2:7">
      <c r="B1277" s="256" t="s">
        <v>676</v>
      </c>
      <c r="C1277" s="250" t="s">
        <v>680</v>
      </c>
      <c r="D1277" s="250" t="s">
        <v>426</v>
      </c>
      <c r="E1277" s="251">
        <v>2</v>
      </c>
      <c r="F1277" s="252">
        <v>0.11764705882352941</v>
      </c>
      <c r="G1277" s="251">
        <v>2</v>
      </c>
    </row>
    <row r="1278" spans="2:7">
      <c r="B1278" s="256" t="s">
        <v>676</v>
      </c>
      <c r="C1278" s="250" t="s">
        <v>680</v>
      </c>
      <c r="D1278" s="250" t="s">
        <v>1331</v>
      </c>
      <c r="E1278" s="251">
        <v>1</v>
      </c>
      <c r="F1278" s="252">
        <v>5.8823529411764705E-2</v>
      </c>
      <c r="G1278" s="251">
        <v>1</v>
      </c>
    </row>
    <row r="1279" spans="2:7">
      <c r="B1279" s="256" t="s">
        <v>676</v>
      </c>
      <c r="C1279" s="250" t="s">
        <v>680</v>
      </c>
      <c r="D1279" s="250" t="s">
        <v>14</v>
      </c>
      <c r="E1279" s="251">
        <v>1</v>
      </c>
      <c r="F1279" s="252">
        <v>5.8823529411764705E-2</v>
      </c>
      <c r="G1279" s="251">
        <v>1</v>
      </c>
    </row>
    <row r="1280" spans="2:7">
      <c r="B1280" s="256" t="s">
        <v>676</v>
      </c>
      <c r="C1280" s="250" t="s">
        <v>680</v>
      </c>
      <c r="D1280" s="250" t="s">
        <v>465</v>
      </c>
      <c r="E1280" s="251">
        <v>3</v>
      </c>
      <c r="F1280" s="252">
        <v>0.17647058823529413</v>
      </c>
      <c r="G1280" s="251">
        <v>3</v>
      </c>
    </row>
    <row r="1281" spans="2:7">
      <c r="B1281" s="256" t="s">
        <v>676</v>
      </c>
      <c r="C1281" s="250" t="s">
        <v>1347</v>
      </c>
      <c r="D1281" s="250"/>
      <c r="E1281" s="251">
        <v>17</v>
      </c>
      <c r="F1281" s="252">
        <v>1</v>
      </c>
      <c r="G1281" s="251">
        <v>10</v>
      </c>
    </row>
    <row r="1282" spans="2:7">
      <c r="B1282" s="256" t="s">
        <v>676</v>
      </c>
      <c r="C1282" s="250" t="s">
        <v>681</v>
      </c>
      <c r="D1282" s="250" t="s">
        <v>1348</v>
      </c>
      <c r="E1282" s="251">
        <v>3</v>
      </c>
      <c r="F1282" s="252">
        <v>1</v>
      </c>
      <c r="G1282" s="251">
        <v>3</v>
      </c>
    </row>
    <row r="1283" spans="2:7">
      <c r="B1283" s="256" t="s">
        <v>676</v>
      </c>
      <c r="C1283" s="250" t="s">
        <v>1349</v>
      </c>
      <c r="D1283" s="250"/>
      <c r="E1283" s="251">
        <v>3</v>
      </c>
      <c r="F1283" s="252">
        <v>1</v>
      </c>
      <c r="G1283" s="251">
        <v>3</v>
      </c>
    </row>
    <row r="1284" spans="2:7">
      <c r="B1284" s="256" t="s">
        <v>676</v>
      </c>
      <c r="C1284" s="250" t="s">
        <v>682</v>
      </c>
      <c r="D1284" s="250" t="s">
        <v>1344</v>
      </c>
      <c r="E1284" s="251">
        <v>2</v>
      </c>
      <c r="F1284" s="252">
        <v>0.14285714285714285</v>
      </c>
      <c r="G1284" s="251">
        <v>2</v>
      </c>
    </row>
    <row r="1285" spans="2:7">
      <c r="B1285" s="256" t="s">
        <v>676</v>
      </c>
      <c r="C1285" s="250" t="s">
        <v>682</v>
      </c>
      <c r="D1285" s="250" t="s">
        <v>1329</v>
      </c>
      <c r="E1285" s="251">
        <v>4</v>
      </c>
      <c r="F1285" s="252">
        <v>0.2857142857142857</v>
      </c>
      <c r="G1285" s="251">
        <v>3</v>
      </c>
    </row>
    <row r="1286" spans="2:7">
      <c r="B1286" s="256" t="s">
        <v>676</v>
      </c>
      <c r="C1286" s="250" t="s">
        <v>682</v>
      </c>
      <c r="D1286" s="250" t="s">
        <v>426</v>
      </c>
      <c r="E1286" s="251">
        <v>2</v>
      </c>
      <c r="F1286" s="252">
        <v>0.14285714285714285</v>
      </c>
      <c r="G1286" s="251">
        <v>2</v>
      </c>
    </row>
    <row r="1287" spans="2:7">
      <c r="B1287" s="256" t="s">
        <v>676</v>
      </c>
      <c r="C1287" s="250" t="s">
        <v>682</v>
      </c>
      <c r="D1287" s="250" t="s">
        <v>1331</v>
      </c>
      <c r="E1287" s="251">
        <v>3</v>
      </c>
      <c r="F1287" s="252">
        <v>0.21428571428571427</v>
      </c>
      <c r="G1287" s="251">
        <v>3</v>
      </c>
    </row>
    <row r="1288" spans="2:7">
      <c r="B1288" s="256" t="s">
        <v>676</v>
      </c>
      <c r="C1288" s="250" t="s">
        <v>682</v>
      </c>
      <c r="D1288" s="250" t="s">
        <v>465</v>
      </c>
      <c r="E1288" s="251">
        <v>3</v>
      </c>
      <c r="F1288" s="252">
        <v>0.21428571428571427</v>
      </c>
      <c r="G1288" s="251">
        <v>3</v>
      </c>
    </row>
    <row r="1289" spans="2:7">
      <c r="B1289" s="256" t="s">
        <v>676</v>
      </c>
      <c r="C1289" s="250" t="s">
        <v>1350</v>
      </c>
      <c r="D1289" s="250"/>
      <c r="E1289" s="251">
        <v>14</v>
      </c>
      <c r="F1289" s="252">
        <v>1</v>
      </c>
      <c r="G1289" s="251">
        <v>6</v>
      </c>
    </row>
    <row r="1290" spans="2:7">
      <c r="B1290" s="256" t="s">
        <v>676</v>
      </c>
      <c r="C1290" s="250" t="s">
        <v>683</v>
      </c>
      <c r="D1290" s="250" t="s">
        <v>1351</v>
      </c>
      <c r="E1290" s="251">
        <v>1</v>
      </c>
      <c r="F1290" s="252">
        <v>1</v>
      </c>
      <c r="G1290" s="251">
        <v>1</v>
      </c>
    </row>
    <row r="1291" spans="2:7">
      <c r="B1291" s="256" t="s">
        <v>676</v>
      </c>
      <c r="C1291" s="250" t="s">
        <v>1352</v>
      </c>
      <c r="D1291" s="250"/>
      <c r="E1291" s="251">
        <v>1</v>
      </c>
      <c r="F1291" s="252">
        <v>1</v>
      </c>
      <c r="G1291" s="251">
        <v>1</v>
      </c>
    </row>
    <row r="1292" spans="2:7">
      <c r="B1292" s="256" t="s">
        <v>676</v>
      </c>
      <c r="C1292" s="250" t="s">
        <v>684</v>
      </c>
      <c r="D1292" s="250" t="s">
        <v>1353</v>
      </c>
      <c r="E1292" s="251">
        <v>1</v>
      </c>
      <c r="F1292" s="252">
        <v>0.5</v>
      </c>
      <c r="G1292" s="251">
        <v>1</v>
      </c>
    </row>
    <row r="1293" spans="2:7">
      <c r="B1293" s="256" t="s">
        <v>676</v>
      </c>
      <c r="C1293" s="250" t="s">
        <v>684</v>
      </c>
      <c r="D1293" s="250" t="s">
        <v>18</v>
      </c>
      <c r="E1293" s="251">
        <v>1</v>
      </c>
      <c r="F1293" s="252">
        <v>0.5</v>
      </c>
      <c r="G1293" s="251">
        <v>1</v>
      </c>
    </row>
    <row r="1294" spans="2:7">
      <c r="B1294" s="256" t="s">
        <v>676</v>
      </c>
      <c r="C1294" s="250" t="s">
        <v>1354</v>
      </c>
      <c r="D1294" s="250"/>
      <c r="E1294" s="251">
        <v>2</v>
      </c>
      <c r="F1294" s="252">
        <v>1</v>
      </c>
      <c r="G1294" s="251">
        <v>2</v>
      </c>
    </row>
    <row r="1295" spans="2:7">
      <c r="B1295" s="256" t="s">
        <v>676</v>
      </c>
      <c r="C1295" s="250" t="s">
        <v>14</v>
      </c>
      <c r="D1295" s="250" t="s">
        <v>14</v>
      </c>
      <c r="E1295" s="251">
        <v>22</v>
      </c>
      <c r="F1295" s="252">
        <v>1</v>
      </c>
      <c r="G1295" s="251">
        <v>1</v>
      </c>
    </row>
    <row r="1296" spans="2:7">
      <c r="B1296" s="256" t="s">
        <v>676</v>
      </c>
      <c r="C1296" s="250" t="s">
        <v>265</v>
      </c>
      <c r="D1296" s="250"/>
      <c r="E1296" s="251">
        <v>22</v>
      </c>
      <c r="F1296" s="252">
        <v>1</v>
      </c>
      <c r="G1296" s="251">
        <v>1</v>
      </c>
    </row>
    <row r="1297" spans="2:7">
      <c r="B1297" s="256" t="s">
        <v>685</v>
      </c>
      <c r="C1297" s="257"/>
      <c r="D1297" s="257"/>
      <c r="E1297" s="251">
        <v>328</v>
      </c>
      <c r="F1297" s="252"/>
      <c r="G1297" s="251">
        <v>186</v>
      </c>
    </row>
    <row r="1298" spans="2:7">
      <c r="B1298"/>
      <c r="C1298"/>
      <c r="D1298"/>
      <c r="E1298"/>
      <c r="F1298"/>
      <c r="G1298"/>
    </row>
    <row r="1299" spans="2:7">
      <c r="B1299"/>
      <c r="C1299"/>
      <c r="D1299"/>
      <c r="E1299"/>
      <c r="F1299"/>
      <c r="G1299"/>
    </row>
    <row r="1300" spans="2:7">
      <c r="B1300"/>
      <c r="C1300"/>
      <c r="D1300"/>
      <c r="E1300"/>
      <c r="F1300"/>
      <c r="G1300"/>
    </row>
    <row r="1301" spans="2:7">
      <c r="B1301"/>
      <c r="C1301"/>
      <c r="D1301"/>
      <c r="E1301"/>
      <c r="F1301"/>
      <c r="G1301"/>
    </row>
    <row r="1302" spans="2:7">
      <c r="B1302"/>
      <c r="C1302"/>
      <c r="D1302"/>
      <c r="E1302"/>
      <c r="F1302"/>
      <c r="G1302"/>
    </row>
    <row r="1303" spans="2:7">
      <c r="B1303"/>
      <c r="C1303"/>
      <c r="D1303"/>
      <c r="E1303"/>
      <c r="F1303"/>
      <c r="G1303"/>
    </row>
    <row r="1304" spans="2:7">
      <c r="B1304"/>
      <c r="C1304"/>
      <c r="D1304"/>
      <c r="E1304"/>
      <c r="F1304"/>
      <c r="G1304"/>
    </row>
    <row r="1305" spans="2:7">
      <c r="B1305"/>
      <c r="C1305"/>
      <c r="D1305"/>
      <c r="E1305"/>
      <c r="F1305"/>
      <c r="G1305"/>
    </row>
    <row r="1306" spans="2:7">
      <c r="B1306"/>
      <c r="C1306"/>
      <c r="D1306"/>
      <c r="E1306"/>
      <c r="F1306"/>
      <c r="G1306"/>
    </row>
    <row r="1307" spans="2:7">
      <c r="B1307"/>
      <c r="C1307"/>
      <c r="D1307"/>
      <c r="E1307"/>
      <c r="F1307"/>
      <c r="G1307"/>
    </row>
    <row r="1308" spans="2:7">
      <c r="B1308"/>
      <c r="C1308"/>
      <c r="D1308"/>
      <c r="E1308"/>
      <c r="F1308"/>
      <c r="G1308"/>
    </row>
    <row r="1309" spans="2:7">
      <c r="B1309"/>
      <c r="C1309"/>
      <c r="D1309"/>
      <c r="E1309"/>
      <c r="F1309"/>
      <c r="G1309"/>
    </row>
    <row r="1310" spans="2:7">
      <c r="B1310"/>
      <c r="C1310"/>
      <c r="D1310"/>
      <c r="E1310"/>
      <c r="F1310"/>
      <c r="G1310"/>
    </row>
    <row r="1311" spans="2:7">
      <c r="B1311"/>
      <c r="C1311"/>
      <c r="D1311"/>
      <c r="E1311"/>
      <c r="F1311"/>
      <c r="G1311"/>
    </row>
    <row r="1312" spans="2:7">
      <c r="B1312"/>
      <c r="C1312"/>
      <c r="D1312"/>
      <c r="E1312"/>
      <c r="F1312"/>
      <c r="G1312"/>
    </row>
    <row r="1313" spans="2:7">
      <c r="B1313"/>
      <c r="C1313"/>
      <c r="D1313"/>
      <c r="E1313"/>
      <c r="F1313"/>
      <c r="G1313"/>
    </row>
    <row r="1314" spans="2:7">
      <c r="B1314"/>
      <c r="C1314"/>
      <c r="D1314"/>
      <c r="E1314"/>
      <c r="F1314"/>
      <c r="G1314"/>
    </row>
    <row r="1315" spans="2:7">
      <c r="B1315"/>
      <c r="C1315"/>
      <c r="D1315"/>
      <c r="E1315"/>
      <c r="F1315"/>
      <c r="G1315"/>
    </row>
    <row r="1316" spans="2:7">
      <c r="B1316"/>
      <c r="C1316"/>
      <c r="D1316"/>
      <c r="E1316"/>
      <c r="F1316"/>
      <c r="G1316"/>
    </row>
    <row r="1317" spans="2:7">
      <c r="B1317"/>
      <c r="C1317"/>
      <c r="D1317"/>
      <c r="E1317"/>
      <c r="F1317"/>
      <c r="G1317"/>
    </row>
    <row r="1318" spans="2:7">
      <c r="B1318"/>
      <c r="C1318"/>
      <c r="D1318"/>
      <c r="E1318"/>
      <c r="F1318"/>
      <c r="G1318"/>
    </row>
    <row r="1319" spans="2:7">
      <c r="B1319"/>
      <c r="C1319"/>
      <c r="D1319"/>
      <c r="E1319"/>
      <c r="F1319"/>
      <c r="G1319"/>
    </row>
    <row r="1320" spans="2:7">
      <c r="B1320"/>
      <c r="C1320"/>
      <c r="D1320"/>
      <c r="E1320"/>
      <c r="F1320"/>
      <c r="G1320"/>
    </row>
    <row r="1321" spans="2:7">
      <c r="B1321"/>
      <c r="C1321"/>
      <c r="D1321"/>
      <c r="E1321"/>
      <c r="F1321"/>
      <c r="G1321"/>
    </row>
    <row r="1322" spans="2:7">
      <c r="B1322"/>
      <c r="C1322"/>
      <c r="D1322"/>
      <c r="E1322"/>
      <c r="F1322"/>
      <c r="G1322"/>
    </row>
    <row r="1323" spans="2:7">
      <c r="B1323"/>
      <c r="C1323"/>
      <c r="D1323"/>
      <c r="E1323"/>
      <c r="F1323"/>
      <c r="G1323"/>
    </row>
    <row r="1324" spans="2:7">
      <c r="B1324"/>
      <c r="C1324"/>
      <c r="D1324"/>
      <c r="E1324"/>
      <c r="F1324"/>
      <c r="G1324"/>
    </row>
    <row r="1325" spans="2:7">
      <c r="B1325"/>
      <c r="C1325"/>
      <c r="D1325"/>
      <c r="E1325"/>
      <c r="F1325"/>
      <c r="G1325"/>
    </row>
    <row r="1326" spans="2:7">
      <c r="B1326"/>
      <c r="C1326"/>
      <c r="D1326"/>
      <c r="E1326"/>
      <c r="F1326"/>
      <c r="G1326"/>
    </row>
    <row r="1327" spans="2:7">
      <c r="B1327"/>
      <c r="C1327"/>
      <c r="D1327"/>
      <c r="E1327"/>
      <c r="F1327"/>
      <c r="G1327"/>
    </row>
    <row r="1328" spans="2:7">
      <c r="B1328"/>
      <c r="C1328"/>
      <c r="D1328"/>
      <c r="E1328"/>
      <c r="F1328"/>
      <c r="G1328"/>
    </row>
    <row r="1329" spans="2:7">
      <c r="B1329"/>
      <c r="C1329"/>
      <c r="D1329"/>
      <c r="E1329"/>
      <c r="F1329"/>
      <c r="G1329"/>
    </row>
    <row r="1330" spans="2:7">
      <c r="B1330"/>
      <c r="C1330"/>
      <c r="D1330"/>
      <c r="E1330"/>
      <c r="F1330"/>
      <c r="G1330"/>
    </row>
    <row r="1331" spans="2:7">
      <c r="B1331"/>
      <c r="C1331"/>
      <c r="D1331"/>
      <c r="E1331"/>
      <c r="F1331"/>
      <c r="G1331"/>
    </row>
    <row r="1332" spans="2:7">
      <c r="B1332"/>
      <c r="C1332"/>
      <c r="D1332"/>
      <c r="E1332"/>
      <c r="F1332"/>
      <c r="G1332"/>
    </row>
    <row r="1333" spans="2:7">
      <c r="B1333"/>
      <c r="C1333"/>
      <c r="D1333"/>
      <c r="E1333"/>
      <c r="F1333"/>
      <c r="G1333"/>
    </row>
    <row r="1334" spans="2:7">
      <c r="B1334"/>
      <c r="C1334"/>
      <c r="D1334"/>
      <c r="E1334"/>
      <c r="F1334"/>
      <c r="G1334"/>
    </row>
    <row r="1335" spans="2:7">
      <c r="B1335"/>
      <c r="C1335"/>
      <c r="D1335"/>
      <c r="E1335"/>
      <c r="F1335"/>
      <c r="G1335"/>
    </row>
    <row r="1336" spans="2:7">
      <c r="B1336"/>
      <c r="C1336"/>
      <c r="D1336"/>
      <c r="E1336"/>
      <c r="F1336"/>
      <c r="G1336"/>
    </row>
    <row r="1337" spans="2:7">
      <c r="B1337"/>
      <c r="C1337"/>
      <c r="D1337"/>
      <c r="E1337"/>
      <c r="F1337"/>
      <c r="G1337"/>
    </row>
    <row r="1338" spans="2:7">
      <c r="B1338"/>
      <c r="C1338"/>
      <c r="D1338"/>
      <c r="E1338"/>
      <c r="F1338"/>
      <c r="G1338"/>
    </row>
    <row r="1339" spans="2:7">
      <c r="B1339"/>
      <c r="C1339"/>
      <c r="D1339"/>
      <c r="E1339"/>
      <c r="F1339"/>
      <c r="G1339"/>
    </row>
    <row r="1340" spans="2:7">
      <c r="B1340"/>
      <c r="C1340"/>
      <c r="D1340"/>
      <c r="E1340"/>
      <c r="F1340"/>
      <c r="G1340"/>
    </row>
    <row r="1341" spans="2:7">
      <c r="B1341"/>
      <c r="C1341"/>
      <c r="D1341"/>
      <c r="E1341"/>
      <c r="F1341"/>
      <c r="G1341"/>
    </row>
    <row r="1342" spans="2:7">
      <c r="B1342"/>
      <c r="C1342"/>
      <c r="D1342"/>
      <c r="E1342"/>
      <c r="F1342"/>
      <c r="G1342"/>
    </row>
    <row r="1343" spans="2:7">
      <c r="B1343"/>
      <c r="C1343"/>
      <c r="D1343"/>
      <c r="E1343"/>
      <c r="F1343"/>
      <c r="G1343"/>
    </row>
    <row r="1344" spans="2:7">
      <c r="B1344"/>
      <c r="C1344"/>
      <c r="D1344"/>
      <c r="E1344"/>
      <c r="F1344"/>
      <c r="G1344"/>
    </row>
    <row r="1345" spans="2:7">
      <c r="B1345"/>
      <c r="C1345"/>
      <c r="D1345"/>
      <c r="E1345"/>
      <c r="F1345"/>
      <c r="G1345"/>
    </row>
    <row r="1346" spans="2:7">
      <c r="B1346"/>
      <c r="C1346"/>
      <c r="D1346"/>
      <c r="E1346"/>
      <c r="F1346"/>
      <c r="G1346"/>
    </row>
    <row r="1347" spans="2:7">
      <c r="B1347"/>
      <c r="C1347"/>
      <c r="D1347"/>
      <c r="E1347"/>
      <c r="F1347"/>
      <c r="G1347"/>
    </row>
    <row r="1348" spans="2:7">
      <c r="B1348"/>
      <c r="C1348"/>
      <c r="D1348"/>
      <c r="E1348"/>
      <c r="F1348"/>
      <c r="G1348"/>
    </row>
    <row r="1349" spans="2:7">
      <c r="B1349"/>
      <c r="C1349"/>
      <c r="D1349"/>
      <c r="E1349"/>
      <c r="F1349"/>
      <c r="G1349"/>
    </row>
    <row r="1350" spans="2:7">
      <c r="B1350"/>
      <c r="C1350"/>
      <c r="D1350"/>
      <c r="E1350"/>
      <c r="F1350"/>
      <c r="G1350"/>
    </row>
    <row r="1351" spans="2:7">
      <c r="B1351"/>
      <c r="C1351"/>
      <c r="D1351"/>
      <c r="E1351"/>
      <c r="F1351"/>
      <c r="G1351"/>
    </row>
    <row r="1352" spans="2:7">
      <c r="B1352"/>
      <c r="C1352"/>
      <c r="D1352"/>
      <c r="E1352"/>
      <c r="F1352"/>
      <c r="G1352"/>
    </row>
    <row r="1353" spans="2:7">
      <c r="B1353"/>
      <c r="C1353"/>
      <c r="D1353"/>
      <c r="E1353"/>
      <c r="F1353"/>
      <c r="G1353"/>
    </row>
    <row r="1354" spans="2:7">
      <c r="B1354"/>
      <c r="C1354"/>
      <c r="D1354"/>
      <c r="E1354"/>
      <c r="F1354"/>
      <c r="G1354"/>
    </row>
    <row r="1355" spans="2:7">
      <c r="B1355"/>
      <c r="C1355"/>
      <c r="D1355"/>
      <c r="E1355"/>
      <c r="F1355"/>
      <c r="G1355"/>
    </row>
    <row r="1356" spans="2:7">
      <c r="B1356"/>
      <c r="C1356"/>
      <c r="D1356"/>
      <c r="E1356"/>
      <c r="F1356"/>
      <c r="G1356"/>
    </row>
    <row r="1357" spans="2:7">
      <c r="B1357"/>
      <c r="C1357"/>
      <c r="D1357"/>
      <c r="E1357"/>
      <c r="F1357"/>
      <c r="G1357"/>
    </row>
    <row r="1358" spans="2:7">
      <c r="B1358"/>
      <c r="C1358"/>
      <c r="D1358"/>
      <c r="E1358"/>
      <c r="F1358"/>
      <c r="G1358"/>
    </row>
    <row r="1359" spans="2:7">
      <c r="B1359"/>
      <c r="C1359"/>
      <c r="D1359"/>
      <c r="E1359"/>
      <c r="F1359"/>
      <c r="G1359"/>
    </row>
    <row r="1360" spans="2:7">
      <c r="B1360"/>
      <c r="C1360"/>
      <c r="D1360"/>
      <c r="E1360"/>
      <c r="F1360"/>
      <c r="G1360"/>
    </row>
    <row r="1361" spans="2:7">
      <c r="B1361"/>
      <c r="C1361"/>
      <c r="D1361"/>
      <c r="E1361"/>
      <c r="F1361"/>
      <c r="G1361"/>
    </row>
    <row r="1362" spans="2:7">
      <c r="B1362"/>
      <c r="C1362"/>
      <c r="D1362"/>
      <c r="E1362"/>
      <c r="F1362"/>
      <c r="G1362"/>
    </row>
    <row r="1363" spans="2:7">
      <c r="B1363"/>
      <c r="C1363"/>
      <c r="D1363"/>
      <c r="E1363"/>
      <c r="F1363"/>
      <c r="G1363"/>
    </row>
    <row r="1364" spans="2:7">
      <c r="B1364"/>
      <c r="C1364"/>
      <c r="D1364"/>
      <c r="E1364"/>
      <c r="F1364"/>
      <c r="G1364"/>
    </row>
    <row r="1365" spans="2:7">
      <c r="B1365"/>
      <c r="C1365"/>
      <c r="D1365"/>
      <c r="E1365"/>
      <c r="F1365"/>
      <c r="G1365"/>
    </row>
    <row r="1366" spans="2:7">
      <c r="B1366"/>
      <c r="C1366"/>
      <c r="D1366"/>
      <c r="E1366"/>
      <c r="F1366"/>
      <c r="G1366"/>
    </row>
    <row r="1367" spans="2:7">
      <c r="B1367"/>
      <c r="C1367"/>
      <c r="D1367"/>
      <c r="E1367"/>
      <c r="F1367"/>
      <c r="G1367"/>
    </row>
    <row r="1368" spans="2:7">
      <c r="B1368"/>
      <c r="C1368"/>
      <c r="D1368"/>
      <c r="E1368"/>
      <c r="F1368"/>
      <c r="G1368"/>
    </row>
    <row r="1369" spans="2:7">
      <c r="B1369"/>
      <c r="C1369"/>
      <c r="D1369"/>
      <c r="E1369"/>
      <c r="F1369"/>
      <c r="G1369"/>
    </row>
    <row r="1370" spans="2:7">
      <c r="B1370"/>
      <c r="C1370"/>
      <c r="D1370"/>
      <c r="E1370"/>
      <c r="F1370"/>
      <c r="G1370"/>
    </row>
    <row r="1371" spans="2:7">
      <c r="B1371"/>
      <c r="C1371"/>
      <c r="D1371"/>
      <c r="E1371"/>
      <c r="F1371"/>
      <c r="G1371"/>
    </row>
    <row r="1372" spans="2:7">
      <c r="B1372"/>
      <c r="C1372"/>
      <c r="D1372"/>
      <c r="E1372"/>
      <c r="F1372"/>
      <c r="G1372"/>
    </row>
    <row r="1373" spans="2:7">
      <c r="B1373"/>
      <c r="C1373"/>
      <c r="D1373"/>
      <c r="E1373"/>
      <c r="F1373"/>
      <c r="G1373"/>
    </row>
    <row r="1374" spans="2:7">
      <c r="B1374"/>
      <c r="C1374"/>
      <c r="D1374"/>
      <c r="E1374"/>
      <c r="F1374"/>
      <c r="G1374"/>
    </row>
    <row r="1375" spans="2:7">
      <c r="B1375"/>
      <c r="C1375"/>
      <c r="D1375"/>
      <c r="E1375"/>
      <c r="F1375"/>
      <c r="G1375"/>
    </row>
    <row r="1376" spans="2:7">
      <c r="B1376"/>
      <c r="C1376"/>
      <c r="D1376"/>
      <c r="E1376"/>
      <c r="F1376"/>
      <c r="G1376"/>
    </row>
    <row r="1377" spans="2:7">
      <c r="B1377"/>
      <c r="C1377"/>
      <c r="D1377"/>
      <c r="E1377"/>
      <c r="F1377"/>
      <c r="G1377"/>
    </row>
    <row r="1378" spans="2:7">
      <c r="B1378"/>
      <c r="C1378"/>
      <c r="D1378"/>
      <c r="E1378"/>
      <c r="F1378"/>
      <c r="G1378"/>
    </row>
    <row r="1379" spans="2:7">
      <c r="B1379"/>
      <c r="C1379"/>
      <c r="D1379"/>
      <c r="E1379"/>
      <c r="F1379"/>
      <c r="G1379"/>
    </row>
    <row r="1380" spans="2:7">
      <c r="B1380"/>
      <c r="C1380"/>
      <c r="D1380"/>
      <c r="E1380"/>
      <c r="F1380"/>
      <c r="G1380"/>
    </row>
    <row r="1381" spans="2:7">
      <c r="B1381"/>
      <c r="C1381"/>
      <c r="D1381"/>
      <c r="E1381"/>
      <c r="F1381"/>
      <c r="G1381"/>
    </row>
    <row r="1382" spans="2:7">
      <c r="B1382"/>
      <c r="C1382"/>
      <c r="D1382"/>
      <c r="E1382"/>
      <c r="F1382"/>
      <c r="G1382"/>
    </row>
    <row r="1383" spans="2:7">
      <c r="B1383"/>
      <c r="C1383"/>
      <c r="D1383"/>
      <c r="E1383"/>
      <c r="F1383"/>
      <c r="G1383"/>
    </row>
    <row r="1384" spans="2:7">
      <c r="B1384"/>
      <c r="C1384"/>
      <c r="D1384"/>
      <c r="E1384"/>
      <c r="F1384"/>
      <c r="G1384"/>
    </row>
    <row r="1385" spans="2:7">
      <c r="B1385"/>
      <c r="C1385"/>
      <c r="D1385"/>
      <c r="E1385"/>
      <c r="F1385"/>
      <c r="G1385"/>
    </row>
    <row r="1386" spans="2:7">
      <c r="B1386"/>
      <c r="C1386"/>
      <c r="D1386"/>
      <c r="E1386"/>
      <c r="F1386"/>
      <c r="G1386"/>
    </row>
    <row r="1387" spans="2:7">
      <c r="B1387"/>
      <c r="C1387"/>
      <c r="D1387"/>
      <c r="E1387"/>
      <c r="F1387"/>
      <c r="G1387"/>
    </row>
    <row r="1388" spans="2:7">
      <c r="B1388"/>
      <c r="C1388"/>
      <c r="D1388"/>
      <c r="E1388"/>
      <c r="F1388"/>
      <c r="G1388"/>
    </row>
    <row r="1389" spans="2:7">
      <c r="B1389"/>
      <c r="C1389"/>
      <c r="D1389"/>
      <c r="E1389"/>
      <c r="F1389"/>
      <c r="G1389"/>
    </row>
    <row r="1390" spans="2:7">
      <c r="B1390"/>
      <c r="C1390"/>
      <c r="D1390"/>
      <c r="E1390"/>
      <c r="F1390"/>
      <c r="G1390"/>
    </row>
    <row r="1391" spans="2:7">
      <c r="B1391"/>
      <c r="C1391"/>
      <c r="D1391"/>
      <c r="E1391"/>
      <c r="F1391"/>
      <c r="G1391"/>
    </row>
    <row r="1392" spans="2:7">
      <c r="B1392"/>
      <c r="C1392"/>
      <c r="D1392"/>
      <c r="E1392"/>
      <c r="F1392"/>
      <c r="G1392"/>
    </row>
    <row r="1393" spans="2:7">
      <c r="B1393"/>
      <c r="C1393"/>
      <c r="D1393"/>
      <c r="E1393"/>
      <c r="F1393"/>
      <c r="G1393"/>
    </row>
    <row r="1394" spans="2:7">
      <c r="B1394"/>
      <c r="C1394"/>
      <c r="D1394"/>
      <c r="E1394"/>
      <c r="F1394"/>
      <c r="G1394"/>
    </row>
    <row r="1395" spans="2:7">
      <c r="B1395"/>
      <c r="C1395"/>
      <c r="D1395"/>
      <c r="E1395"/>
      <c r="F1395"/>
      <c r="G1395"/>
    </row>
    <row r="1396" spans="2:7">
      <c r="B1396"/>
      <c r="C1396"/>
      <c r="D1396"/>
      <c r="E1396"/>
      <c r="F1396"/>
      <c r="G1396"/>
    </row>
    <row r="1397" spans="2:7">
      <c r="B1397"/>
      <c r="C1397"/>
      <c r="D1397"/>
      <c r="E1397"/>
      <c r="F1397"/>
      <c r="G1397"/>
    </row>
    <row r="1398" spans="2:7">
      <c r="B1398"/>
      <c r="C1398"/>
      <c r="D1398"/>
      <c r="E1398"/>
      <c r="F1398"/>
      <c r="G1398"/>
    </row>
    <row r="1399" spans="2:7">
      <c r="B1399"/>
      <c r="C1399"/>
      <c r="D1399"/>
      <c r="E1399"/>
      <c r="F1399"/>
      <c r="G1399"/>
    </row>
    <row r="1400" spans="2:7">
      <c r="B1400"/>
      <c r="C1400"/>
      <c r="D1400"/>
      <c r="E1400"/>
      <c r="F1400"/>
      <c r="G1400"/>
    </row>
    <row r="1401" spans="2:7">
      <c r="B1401"/>
      <c r="C1401"/>
      <c r="D1401"/>
      <c r="E1401"/>
      <c r="F1401"/>
      <c r="G1401"/>
    </row>
    <row r="1402" spans="2:7">
      <c r="B1402"/>
      <c r="C1402"/>
      <c r="D1402"/>
      <c r="E1402"/>
      <c r="F1402"/>
      <c r="G1402"/>
    </row>
    <row r="1403" spans="2:7">
      <c r="B1403"/>
      <c r="C1403"/>
      <c r="D1403"/>
      <c r="E1403"/>
      <c r="F1403"/>
      <c r="G1403"/>
    </row>
    <row r="1404" spans="2:7">
      <c r="B1404"/>
      <c r="C1404"/>
      <c r="D1404"/>
      <c r="E1404"/>
      <c r="F1404"/>
      <c r="G1404"/>
    </row>
    <row r="1405" spans="2:7">
      <c r="B1405"/>
      <c r="C1405"/>
      <c r="D1405"/>
      <c r="E1405"/>
      <c r="F1405"/>
      <c r="G1405"/>
    </row>
    <row r="1406" spans="2:7">
      <c r="B1406"/>
      <c r="C1406"/>
      <c r="D1406"/>
      <c r="E1406"/>
      <c r="F1406"/>
      <c r="G1406"/>
    </row>
    <row r="1407" spans="2:7">
      <c r="B1407"/>
      <c r="C1407"/>
      <c r="D1407"/>
      <c r="E1407"/>
      <c r="F1407"/>
      <c r="G1407"/>
    </row>
    <row r="1408" spans="2:7">
      <c r="B1408"/>
      <c r="C1408"/>
      <c r="D1408"/>
      <c r="E1408"/>
      <c r="F1408"/>
      <c r="G1408"/>
    </row>
    <row r="1409" spans="2:7">
      <c r="B1409"/>
      <c r="C1409"/>
      <c r="D1409"/>
      <c r="E1409"/>
      <c r="F1409"/>
      <c r="G1409"/>
    </row>
    <row r="1410" spans="2:7">
      <c r="B1410"/>
      <c r="C1410"/>
      <c r="D1410"/>
      <c r="E1410"/>
      <c r="F1410"/>
      <c r="G1410"/>
    </row>
    <row r="1411" spans="2:7">
      <c r="B1411"/>
      <c r="C1411"/>
      <c r="D1411"/>
      <c r="E1411"/>
      <c r="F1411"/>
      <c r="G1411"/>
    </row>
    <row r="1412" spans="2:7">
      <c r="B1412"/>
      <c r="C1412"/>
      <c r="D1412"/>
      <c r="E1412"/>
      <c r="F1412"/>
      <c r="G1412"/>
    </row>
    <row r="1413" spans="2:7">
      <c r="B1413"/>
      <c r="C1413"/>
      <c r="D1413"/>
      <c r="E1413"/>
      <c r="F1413"/>
      <c r="G1413"/>
    </row>
    <row r="1414" spans="2:7">
      <c r="B1414"/>
      <c r="C1414"/>
      <c r="D1414"/>
      <c r="E1414"/>
      <c r="F1414"/>
      <c r="G1414"/>
    </row>
    <row r="1415" spans="2:7">
      <c r="B1415"/>
      <c r="C1415"/>
      <c r="D1415"/>
      <c r="E1415"/>
      <c r="F1415"/>
      <c r="G1415"/>
    </row>
    <row r="1416" spans="2:7">
      <c r="B1416"/>
      <c r="C1416"/>
      <c r="D1416"/>
      <c r="E1416"/>
      <c r="F1416"/>
      <c r="G1416"/>
    </row>
    <row r="1417" spans="2:7">
      <c r="B1417"/>
      <c r="C1417"/>
      <c r="D1417"/>
      <c r="E1417"/>
      <c r="F1417"/>
      <c r="G1417"/>
    </row>
    <row r="1418" spans="2:7">
      <c r="B1418"/>
      <c r="C1418"/>
      <c r="D1418"/>
      <c r="E1418"/>
      <c r="F1418"/>
      <c r="G1418"/>
    </row>
    <row r="1419" spans="2:7">
      <c r="B1419"/>
      <c r="C1419"/>
      <c r="D1419"/>
      <c r="E1419"/>
      <c r="F1419"/>
      <c r="G1419"/>
    </row>
    <row r="1420" spans="2:7">
      <c r="B1420"/>
      <c r="C1420"/>
      <c r="D1420"/>
      <c r="E1420"/>
      <c r="F1420"/>
      <c r="G1420"/>
    </row>
    <row r="1421" spans="2:7">
      <c r="B1421"/>
      <c r="C1421"/>
      <c r="D1421"/>
      <c r="E1421"/>
      <c r="F1421"/>
      <c r="G1421"/>
    </row>
    <row r="1422" spans="2:7">
      <c r="B1422"/>
      <c r="C1422"/>
      <c r="D1422"/>
      <c r="E1422"/>
      <c r="F1422"/>
      <c r="G1422"/>
    </row>
    <row r="1423" spans="2:7">
      <c r="B1423"/>
      <c r="C1423"/>
      <c r="D1423"/>
      <c r="E1423"/>
      <c r="F1423"/>
      <c r="G1423"/>
    </row>
    <row r="1424" spans="2:7">
      <c r="B1424"/>
      <c r="C1424"/>
      <c r="D1424"/>
      <c r="E1424"/>
      <c r="F1424"/>
      <c r="G1424"/>
    </row>
    <row r="1425" spans="2:7">
      <c r="B1425"/>
      <c r="C1425"/>
      <c r="D1425"/>
      <c r="E1425"/>
      <c r="F1425"/>
      <c r="G1425"/>
    </row>
    <row r="1426" spans="2:7">
      <c r="B1426"/>
      <c r="C1426"/>
      <c r="D1426"/>
      <c r="E1426"/>
      <c r="F1426"/>
      <c r="G1426"/>
    </row>
    <row r="1427" spans="2:7">
      <c r="B1427"/>
      <c r="C1427"/>
      <c r="D1427"/>
      <c r="E1427"/>
      <c r="F1427"/>
      <c r="G1427"/>
    </row>
    <row r="1428" spans="2:7">
      <c r="B1428"/>
      <c r="C1428"/>
      <c r="D1428"/>
      <c r="E1428"/>
      <c r="F1428"/>
      <c r="G1428"/>
    </row>
    <row r="1429" spans="2:7">
      <c r="B1429"/>
      <c r="C1429"/>
      <c r="D1429"/>
      <c r="E1429"/>
      <c r="F1429"/>
      <c r="G1429"/>
    </row>
    <row r="1430" spans="2:7">
      <c r="B1430"/>
      <c r="C1430"/>
      <c r="D1430"/>
      <c r="E1430"/>
      <c r="F1430"/>
      <c r="G1430"/>
    </row>
    <row r="1431" spans="2:7">
      <c r="B1431"/>
      <c r="C1431"/>
      <c r="D1431"/>
      <c r="E1431"/>
      <c r="F1431"/>
      <c r="G1431"/>
    </row>
    <row r="1432" spans="2:7">
      <c r="B1432"/>
      <c r="C1432"/>
      <c r="D1432"/>
      <c r="E1432"/>
      <c r="F1432"/>
      <c r="G1432"/>
    </row>
    <row r="1433" spans="2:7">
      <c r="B1433"/>
      <c r="C1433"/>
      <c r="D1433"/>
      <c r="E1433"/>
      <c r="F1433"/>
      <c r="G1433"/>
    </row>
    <row r="1434" spans="2:7">
      <c r="B1434"/>
      <c r="C1434"/>
      <c r="D1434"/>
      <c r="E1434"/>
      <c r="F1434"/>
      <c r="G1434"/>
    </row>
    <row r="1435" spans="2:7">
      <c r="B1435"/>
      <c r="C1435"/>
      <c r="D1435"/>
      <c r="E1435"/>
      <c r="F1435"/>
      <c r="G1435"/>
    </row>
    <row r="1436" spans="2:7">
      <c r="B1436"/>
      <c r="C1436"/>
      <c r="D1436"/>
      <c r="E1436"/>
      <c r="F1436"/>
      <c r="G1436"/>
    </row>
    <row r="1437" spans="2:7">
      <c r="B1437"/>
      <c r="C1437"/>
      <c r="D1437"/>
      <c r="E1437"/>
      <c r="F1437"/>
      <c r="G1437"/>
    </row>
    <row r="1438" spans="2:7">
      <c r="B1438"/>
      <c r="C1438"/>
      <c r="D1438"/>
      <c r="E1438"/>
      <c r="F1438"/>
      <c r="G1438"/>
    </row>
    <row r="1439" spans="2:7">
      <c r="B1439"/>
      <c r="C1439"/>
      <c r="D1439"/>
      <c r="E1439"/>
      <c r="F1439"/>
      <c r="G1439"/>
    </row>
    <row r="1440" spans="2:7">
      <c r="B1440"/>
      <c r="C1440"/>
      <c r="D1440"/>
      <c r="E1440"/>
      <c r="F1440"/>
      <c r="G1440"/>
    </row>
    <row r="1441" spans="2:7">
      <c r="B1441"/>
      <c r="C1441"/>
      <c r="D1441"/>
      <c r="E1441"/>
      <c r="F1441"/>
      <c r="G1441"/>
    </row>
    <row r="1442" spans="2:7">
      <c r="B1442"/>
      <c r="C1442"/>
      <c r="D1442"/>
      <c r="E1442"/>
      <c r="F1442"/>
      <c r="G1442"/>
    </row>
    <row r="1443" spans="2:7">
      <c r="B1443"/>
      <c r="C1443"/>
      <c r="D1443"/>
      <c r="E1443"/>
      <c r="F1443"/>
      <c r="G1443"/>
    </row>
    <row r="1444" spans="2:7">
      <c r="B1444"/>
      <c r="C1444"/>
      <c r="D1444"/>
      <c r="E1444"/>
      <c r="F1444"/>
      <c r="G1444"/>
    </row>
    <row r="1445" spans="2:7">
      <c r="B1445"/>
      <c r="C1445"/>
      <c r="D1445"/>
      <c r="E1445"/>
      <c r="F1445"/>
      <c r="G1445"/>
    </row>
    <row r="1446" spans="2:7">
      <c r="B1446"/>
      <c r="C1446"/>
      <c r="D1446"/>
      <c r="E1446"/>
      <c r="F1446"/>
      <c r="G1446"/>
    </row>
    <row r="1447" spans="2:7">
      <c r="B1447"/>
      <c r="C1447"/>
      <c r="D1447"/>
      <c r="E1447"/>
      <c r="F1447"/>
      <c r="G1447"/>
    </row>
    <row r="1448" spans="2:7">
      <c r="B1448"/>
      <c r="C1448"/>
      <c r="D1448"/>
      <c r="E1448"/>
      <c r="F1448"/>
      <c r="G1448"/>
    </row>
    <row r="1449" spans="2:7">
      <c r="B1449"/>
      <c r="C1449"/>
      <c r="D1449"/>
      <c r="E1449"/>
      <c r="F1449"/>
      <c r="G1449"/>
    </row>
    <row r="1450" spans="2:7">
      <c r="B1450"/>
      <c r="C1450"/>
      <c r="D1450"/>
      <c r="E1450"/>
      <c r="F1450"/>
      <c r="G1450"/>
    </row>
    <row r="1451" spans="2:7">
      <c r="B1451"/>
      <c r="C1451"/>
      <c r="D1451"/>
      <c r="E1451"/>
      <c r="F1451"/>
      <c r="G1451"/>
    </row>
    <row r="1452" spans="2:7">
      <c r="B1452"/>
      <c r="C1452"/>
      <c r="D1452"/>
      <c r="E1452"/>
      <c r="F1452"/>
      <c r="G1452"/>
    </row>
    <row r="1453" spans="2:7">
      <c r="B1453"/>
      <c r="C1453"/>
      <c r="D1453"/>
      <c r="E1453"/>
      <c r="F1453"/>
      <c r="G1453"/>
    </row>
    <row r="1454" spans="2:7">
      <c r="B1454"/>
      <c r="C1454"/>
      <c r="D1454"/>
      <c r="E1454"/>
      <c r="F1454"/>
      <c r="G1454"/>
    </row>
    <row r="1455" spans="2:7">
      <c r="B1455"/>
      <c r="C1455"/>
      <c r="D1455"/>
      <c r="E1455"/>
      <c r="F1455"/>
      <c r="G1455"/>
    </row>
    <row r="1456" spans="2:7">
      <c r="B1456"/>
      <c r="C1456"/>
      <c r="D1456"/>
      <c r="E1456"/>
      <c r="F1456"/>
      <c r="G1456"/>
    </row>
    <row r="1457" spans="2:7">
      <c r="B1457"/>
      <c r="C1457"/>
      <c r="D1457"/>
      <c r="E1457"/>
      <c r="F1457"/>
      <c r="G1457"/>
    </row>
    <row r="1458" spans="2:7">
      <c r="B1458"/>
      <c r="C1458"/>
      <c r="D1458"/>
      <c r="E1458"/>
      <c r="F1458"/>
      <c r="G1458"/>
    </row>
    <row r="1459" spans="2:7">
      <c r="B1459"/>
      <c r="C1459"/>
      <c r="D1459"/>
      <c r="E1459"/>
      <c r="F1459"/>
      <c r="G1459"/>
    </row>
    <row r="1460" spans="2:7">
      <c r="B1460"/>
      <c r="C1460"/>
      <c r="D1460"/>
      <c r="E1460"/>
      <c r="F1460"/>
      <c r="G1460"/>
    </row>
    <row r="1461" spans="2:7">
      <c r="B1461"/>
      <c r="C1461"/>
      <c r="D1461"/>
      <c r="E1461"/>
      <c r="F1461"/>
      <c r="G1461"/>
    </row>
    <row r="1462" spans="2:7">
      <c r="B1462"/>
      <c r="C1462"/>
      <c r="D1462"/>
      <c r="E1462"/>
      <c r="F1462"/>
      <c r="G1462"/>
    </row>
    <row r="1463" spans="2:7">
      <c r="B1463"/>
      <c r="C1463"/>
      <c r="D1463"/>
      <c r="E1463"/>
      <c r="F1463"/>
      <c r="G1463"/>
    </row>
    <row r="1464" spans="2:7">
      <c r="B1464"/>
      <c r="C1464"/>
      <c r="D1464"/>
      <c r="E1464"/>
      <c r="F1464"/>
      <c r="G1464"/>
    </row>
    <row r="1465" spans="2:7">
      <c r="B1465"/>
      <c r="C1465"/>
      <c r="D1465"/>
      <c r="E1465"/>
      <c r="F1465"/>
      <c r="G1465"/>
    </row>
    <row r="1466" spans="2:7">
      <c r="B1466"/>
      <c r="C1466"/>
      <c r="D1466"/>
      <c r="E1466"/>
      <c r="F1466"/>
      <c r="G1466"/>
    </row>
    <row r="1467" spans="2:7">
      <c r="B1467"/>
      <c r="C1467"/>
      <c r="D1467"/>
      <c r="E1467"/>
      <c r="F1467"/>
      <c r="G1467"/>
    </row>
    <row r="1468" spans="2:7">
      <c r="B1468"/>
      <c r="C1468"/>
      <c r="D1468"/>
      <c r="E1468"/>
      <c r="F1468"/>
      <c r="G1468"/>
    </row>
    <row r="1469" spans="2:7">
      <c r="B1469"/>
      <c r="C1469"/>
      <c r="D1469"/>
      <c r="E1469"/>
      <c r="F1469"/>
      <c r="G1469"/>
    </row>
    <row r="1470" spans="2:7">
      <c r="B1470"/>
      <c r="C1470"/>
      <c r="D1470"/>
      <c r="E1470"/>
      <c r="F1470"/>
      <c r="G1470"/>
    </row>
    <row r="1471" spans="2:7">
      <c r="B1471"/>
      <c r="C1471"/>
      <c r="D1471"/>
      <c r="E1471"/>
      <c r="F1471"/>
      <c r="G1471"/>
    </row>
    <row r="1472" spans="2:7">
      <c r="B1472"/>
      <c r="C1472"/>
      <c r="D1472"/>
      <c r="E1472"/>
      <c r="F1472"/>
      <c r="G1472"/>
    </row>
    <row r="1473" spans="2:7">
      <c r="B1473"/>
      <c r="C1473"/>
      <c r="D1473"/>
      <c r="E1473"/>
      <c r="F1473"/>
      <c r="G1473"/>
    </row>
    <row r="1474" spans="2:7">
      <c r="B1474"/>
      <c r="C1474"/>
      <c r="D1474"/>
      <c r="E1474"/>
      <c r="F1474"/>
      <c r="G1474"/>
    </row>
    <row r="1475" spans="2:7">
      <c r="B1475"/>
      <c r="C1475"/>
      <c r="D1475"/>
      <c r="E1475"/>
      <c r="F1475"/>
      <c r="G1475"/>
    </row>
    <row r="1476" spans="2:7">
      <c r="B1476"/>
      <c r="C1476"/>
      <c r="D1476"/>
      <c r="E1476"/>
      <c r="F1476"/>
      <c r="G1476"/>
    </row>
    <row r="1477" spans="2:7">
      <c r="B1477"/>
      <c r="C1477"/>
      <c r="D1477"/>
      <c r="E1477"/>
      <c r="F1477"/>
      <c r="G1477"/>
    </row>
    <row r="1478" spans="2:7">
      <c r="B1478"/>
      <c r="C1478"/>
      <c r="D1478"/>
      <c r="E1478"/>
      <c r="F1478"/>
      <c r="G1478"/>
    </row>
    <row r="1479" spans="2:7">
      <c r="B1479"/>
      <c r="C1479"/>
      <c r="D1479"/>
      <c r="E1479"/>
      <c r="F1479"/>
      <c r="G1479"/>
    </row>
    <row r="1480" spans="2:7">
      <c r="B1480"/>
      <c r="C1480"/>
      <c r="D1480"/>
      <c r="E1480"/>
      <c r="F1480"/>
      <c r="G1480"/>
    </row>
    <row r="1481" spans="2:7">
      <c r="B1481"/>
      <c r="C1481"/>
      <c r="D1481"/>
      <c r="E1481"/>
      <c r="F1481"/>
      <c r="G1481"/>
    </row>
    <row r="1482" spans="2:7">
      <c r="B1482"/>
      <c r="C1482"/>
      <c r="D1482"/>
      <c r="E1482"/>
      <c r="F1482"/>
      <c r="G1482"/>
    </row>
    <row r="1483" spans="2:7">
      <c r="B1483"/>
      <c r="C1483"/>
      <c r="D1483"/>
      <c r="E1483"/>
      <c r="F1483"/>
      <c r="G1483"/>
    </row>
    <row r="1484" spans="2:7">
      <c r="B1484"/>
      <c r="C1484"/>
      <c r="D1484"/>
      <c r="E1484"/>
      <c r="F1484"/>
      <c r="G1484"/>
    </row>
    <row r="1485" spans="2:7">
      <c r="B1485"/>
      <c r="C1485"/>
      <c r="D1485"/>
      <c r="E1485"/>
      <c r="F1485"/>
      <c r="G1485"/>
    </row>
    <row r="1486" spans="2:7">
      <c r="B1486"/>
      <c r="C1486"/>
      <c r="D1486"/>
      <c r="E1486"/>
      <c r="F1486"/>
      <c r="G1486"/>
    </row>
    <row r="1487" spans="2:7">
      <c r="B1487"/>
      <c r="C1487"/>
      <c r="D1487"/>
      <c r="E1487"/>
      <c r="F1487"/>
      <c r="G1487"/>
    </row>
    <row r="1488" spans="2:7">
      <c r="B1488"/>
      <c r="C1488"/>
      <c r="D1488"/>
      <c r="E1488"/>
      <c r="F1488"/>
      <c r="G1488"/>
    </row>
    <row r="1489" spans="2:7">
      <c r="B1489"/>
      <c r="C1489"/>
      <c r="D1489"/>
      <c r="E1489"/>
      <c r="F1489"/>
      <c r="G1489"/>
    </row>
    <row r="1490" spans="2:7">
      <c r="B1490"/>
      <c r="C1490"/>
      <c r="D1490"/>
      <c r="E1490"/>
      <c r="F1490"/>
      <c r="G1490"/>
    </row>
    <row r="1491" spans="2:7">
      <c r="B1491"/>
      <c r="C1491"/>
      <c r="D1491"/>
      <c r="E1491"/>
      <c r="F1491"/>
      <c r="G1491"/>
    </row>
    <row r="1492" spans="2:7">
      <c r="B1492"/>
      <c r="C1492"/>
      <c r="D1492"/>
      <c r="E1492"/>
      <c r="F1492"/>
      <c r="G1492"/>
    </row>
    <row r="1493" spans="2:7">
      <c r="B1493"/>
      <c r="C1493"/>
      <c r="D1493"/>
      <c r="E1493"/>
      <c r="F1493"/>
      <c r="G1493"/>
    </row>
    <row r="1494" spans="2:7">
      <c r="B1494"/>
      <c r="C1494"/>
      <c r="D1494"/>
      <c r="E1494"/>
      <c r="F1494"/>
      <c r="G1494"/>
    </row>
    <row r="1495" spans="2:7">
      <c r="B1495"/>
      <c r="C1495"/>
      <c r="D1495"/>
      <c r="E1495"/>
      <c r="F1495"/>
      <c r="G1495"/>
    </row>
    <row r="1496" spans="2:7">
      <c r="B1496"/>
      <c r="C1496"/>
      <c r="D1496"/>
      <c r="E1496"/>
      <c r="F1496"/>
      <c r="G1496"/>
    </row>
    <row r="1497" spans="2:7">
      <c r="B1497"/>
      <c r="C1497"/>
      <c r="D1497"/>
      <c r="E1497"/>
      <c r="F1497"/>
      <c r="G1497"/>
    </row>
    <row r="1498" spans="2:7">
      <c r="B1498"/>
      <c r="C1498"/>
      <c r="D1498"/>
      <c r="E1498"/>
      <c r="F1498"/>
      <c r="G1498"/>
    </row>
    <row r="1499" spans="2:7">
      <c r="B1499"/>
      <c r="C1499"/>
      <c r="D1499"/>
      <c r="E1499"/>
      <c r="F1499"/>
      <c r="G1499"/>
    </row>
    <row r="1500" spans="2:7">
      <c r="B1500"/>
      <c r="C1500"/>
      <c r="D1500"/>
      <c r="E1500"/>
      <c r="F1500"/>
      <c r="G1500"/>
    </row>
    <row r="1501" spans="2:7">
      <c r="B1501"/>
      <c r="C1501"/>
      <c r="D1501"/>
      <c r="E1501"/>
      <c r="F1501"/>
      <c r="G1501"/>
    </row>
    <row r="1502" spans="2:7">
      <c r="B1502"/>
      <c r="C1502"/>
      <c r="D1502"/>
      <c r="E1502"/>
      <c r="F1502"/>
      <c r="G1502"/>
    </row>
    <row r="1503" spans="2:7">
      <c r="B1503"/>
      <c r="C1503"/>
      <c r="D1503"/>
      <c r="E1503"/>
      <c r="F1503"/>
      <c r="G1503"/>
    </row>
    <row r="1504" spans="2:7">
      <c r="B1504"/>
      <c r="C1504"/>
      <c r="D1504"/>
      <c r="E1504"/>
      <c r="F1504"/>
      <c r="G1504"/>
    </row>
    <row r="1505" spans="2:7">
      <c r="B1505"/>
      <c r="C1505"/>
      <c r="D1505"/>
      <c r="E1505"/>
      <c r="F1505"/>
      <c r="G1505"/>
    </row>
    <row r="1506" spans="2:7">
      <c r="B1506"/>
      <c r="C1506"/>
      <c r="D1506"/>
      <c r="E1506"/>
      <c r="F1506"/>
      <c r="G1506"/>
    </row>
    <row r="1507" spans="2:7">
      <c r="B1507"/>
      <c r="C1507"/>
      <c r="D1507"/>
      <c r="E1507"/>
      <c r="F1507"/>
      <c r="G1507"/>
    </row>
    <row r="1508" spans="2:7">
      <c r="B1508"/>
      <c r="C1508"/>
      <c r="D1508"/>
      <c r="E1508"/>
      <c r="F1508"/>
      <c r="G1508"/>
    </row>
    <row r="1509" spans="2:7">
      <c r="B1509"/>
      <c r="C1509"/>
      <c r="D1509"/>
      <c r="E1509"/>
      <c r="F1509"/>
      <c r="G1509"/>
    </row>
    <row r="1510" spans="2:7">
      <c r="B1510"/>
      <c r="C1510"/>
      <c r="D1510"/>
      <c r="E1510"/>
      <c r="F1510"/>
      <c r="G1510"/>
    </row>
    <row r="1511" spans="2:7">
      <c r="B1511"/>
      <c r="C1511"/>
      <c r="D1511"/>
      <c r="E1511"/>
      <c r="F1511"/>
      <c r="G1511"/>
    </row>
    <row r="1512" spans="2:7">
      <c r="B1512"/>
      <c r="C1512"/>
      <c r="D1512"/>
      <c r="E1512"/>
      <c r="F1512"/>
      <c r="G1512"/>
    </row>
    <row r="1513" spans="2:7">
      <c r="B1513"/>
      <c r="C1513"/>
      <c r="D1513"/>
      <c r="E1513"/>
      <c r="F1513"/>
      <c r="G1513"/>
    </row>
    <row r="1514" spans="2:7">
      <c r="B1514"/>
      <c r="C1514"/>
      <c r="D1514"/>
      <c r="E1514"/>
      <c r="F1514"/>
      <c r="G1514"/>
    </row>
    <row r="1515" spans="2:7">
      <c r="B1515"/>
      <c r="C1515"/>
      <c r="D1515"/>
      <c r="E1515"/>
      <c r="F1515"/>
      <c r="G1515"/>
    </row>
    <row r="1516" spans="2:7">
      <c r="B1516"/>
      <c r="C1516"/>
      <c r="D1516"/>
      <c r="E1516"/>
      <c r="F1516"/>
      <c r="G1516"/>
    </row>
    <row r="1517" spans="2:7">
      <c r="B1517"/>
      <c r="C1517"/>
      <c r="D1517"/>
      <c r="E1517"/>
      <c r="F1517"/>
      <c r="G1517"/>
    </row>
    <row r="1518" spans="2:7">
      <c r="B1518"/>
      <c r="C1518"/>
      <c r="D1518"/>
      <c r="E1518"/>
      <c r="F1518"/>
      <c r="G1518"/>
    </row>
    <row r="1519" spans="2:7">
      <c r="B1519"/>
      <c r="C1519"/>
      <c r="D1519"/>
      <c r="E1519"/>
      <c r="F1519"/>
      <c r="G1519"/>
    </row>
    <row r="1520" spans="2:7">
      <c r="B1520"/>
      <c r="C1520"/>
      <c r="D1520"/>
      <c r="E1520"/>
      <c r="F1520"/>
      <c r="G1520"/>
    </row>
    <row r="1521" spans="2:7">
      <c r="B1521"/>
      <c r="C1521"/>
      <c r="D1521"/>
      <c r="E1521"/>
      <c r="F1521"/>
      <c r="G1521"/>
    </row>
    <row r="1522" spans="2:7">
      <c r="B1522"/>
      <c r="C1522"/>
      <c r="D1522"/>
      <c r="E1522"/>
      <c r="F1522"/>
      <c r="G1522"/>
    </row>
    <row r="1523" spans="2:7">
      <c r="B1523"/>
      <c r="C1523"/>
      <c r="D1523"/>
      <c r="E1523"/>
      <c r="F1523"/>
      <c r="G1523"/>
    </row>
    <row r="1524" spans="2:7">
      <c r="B1524"/>
      <c r="C1524"/>
      <c r="D1524"/>
      <c r="E1524"/>
      <c r="F1524"/>
      <c r="G1524"/>
    </row>
    <row r="1525" spans="2:7">
      <c r="B1525"/>
      <c r="C1525"/>
      <c r="D1525"/>
      <c r="E1525"/>
      <c r="F1525"/>
      <c r="G1525"/>
    </row>
    <row r="1526" spans="2:7">
      <c r="B1526"/>
      <c r="C1526"/>
      <c r="D1526"/>
      <c r="E1526"/>
      <c r="F1526"/>
      <c r="G1526"/>
    </row>
    <row r="1527" spans="2:7">
      <c r="B1527"/>
      <c r="C1527"/>
      <c r="D1527"/>
      <c r="E1527"/>
      <c r="F1527"/>
      <c r="G1527"/>
    </row>
    <row r="1528" spans="2:7">
      <c r="B1528"/>
      <c r="C1528"/>
      <c r="D1528"/>
      <c r="E1528"/>
      <c r="F1528"/>
      <c r="G1528"/>
    </row>
    <row r="1529" spans="2:7">
      <c r="B1529"/>
      <c r="C1529"/>
      <c r="D1529"/>
      <c r="E1529"/>
      <c r="F1529"/>
      <c r="G1529"/>
    </row>
    <row r="1530" spans="2:7">
      <c r="B1530"/>
      <c r="C1530"/>
      <c r="D1530"/>
      <c r="E1530"/>
      <c r="F1530"/>
      <c r="G1530"/>
    </row>
    <row r="1531" spans="2:7">
      <c r="B1531"/>
      <c r="C1531"/>
      <c r="D1531"/>
      <c r="E1531"/>
      <c r="F1531"/>
      <c r="G1531"/>
    </row>
    <row r="1532" spans="2:7">
      <c r="B1532"/>
      <c r="C1532"/>
      <c r="D1532"/>
      <c r="E1532"/>
      <c r="F1532"/>
      <c r="G1532"/>
    </row>
    <row r="1533" spans="2:7">
      <c r="B1533"/>
      <c r="C1533"/>
      <c r="D1533"/>
      <c r="E1533"/>
      <c r="F1533"/>
      <c r="G1533"/>
    </row>
    <row r="1534" spans="2:7">
      <c r="B1534"/>
      <c r="C1534"/>
      <c r="D1534"/>
      <c r="E1534"/>
      <c r="F1534"/>
      <c r="G1534"/>
    </row>
    <row r="1535" spans="2:7">
      <c r="B1535"/>
      <c r="C1535"/>
      <c r="D1535"/>
      <c r="E1535"/>
      <c r="F1535"/>
      <c r="G1535"/>
    </row>
    <row r="1536" spans="2:7">
      <c r="B1536"/>
      <c r="C1536"/>
      <c r="D1536"/>
      <c r="E1536"/>
      <c r="F1536"/>
      <c r="G1536"/>
    </row>
    <row r="1537" spans="2:7">
      <c r="B1537"/>
      <c r="C1537"/>
      <c r="D1537"/>
      <c r="E1537"/>
      <c r="F1537"/>
      <c r="G1537"/>
    </row>
    <row r="1538" spans="2:7">
      <c r="B1538"/>
      <c r="C1538"/>
      <c r="D1538"/>
      <c r="E1538"/>
      <c r="F1538"/>
      <c r="G1538"/>
    </row>
    <row r="1539" spans="2:7">
      <c r="B1539"/>
      <c r="C1539"/>
      <c r="D1539"/>
      <c r="E1539"/>
      <c r="F1539"/>
      <c r="G1539"/>
    </row>
    <row r="1540" spans="2:7">
      <c r="B1540"/>
      <c r="C1540"/>
      <c r="D1540"/>
      <c r="E1540"/>
      <c r="F1540"/>
      <c r="G1540"/>
    </row>
    <row r="1541" spans="2:7">
      <c r="B1541"/>
      <c r="C1541"/>
      <c r="D1541"/>
      <c r="E1541"/>
      <c r="F1541"/>
      <c r="G1541"/>
    </row>
    <row r="1542" spans="2:7">
      <c r="B1542"/>
      <c r="C1542"/>
      <c r="D1542"/>
      <c r="E1542"/>
      <c r="F1542"/>
      <c r="G1542"/>
    </row>
    <row r="1543" spans="2:7">
      <c r="B1543"/>
      <c r="C1543"/>
      <c r="D1543"/>
      <c r="E1543"/>
      <c r="F1543"/>
      <c r="G1543"/>
    </row>
    <row r="1544" spans="2:7">
      <c r="B1544"/>
      <c r="C1544"/>
      <c r="D1544"/>
      <c r="E1544"/>
      <c r="F1544"/>
      <c r="G1544"/>
    </row>
    <row r="1545" spans="2:7">
      <c r="B1545"/>
      <c r="C1545"/>
      <c r="D1545"/>
      <c r="E1545"/>
      <c r="F1545"/>
      <c r="G1545"/>
    </row>
    <row r="1546" spans="2:7">
      <c r="B1546"/>
      <c r="C1546"/>
      <c r="D1546"/>
      <c r="E1546"/>
      <c r="F1546"/>
      <c r="G1546"/>
    </row>
    <row r="1547" spans="2:7">
      <c r="B1547"/>
      <c r="C1547"/>
      <c r="D1547"/>
      <c r="E1547"/>
      <c r="F1547"/>
      <c r="G1547"/>
    </row>
    <row r="1548" spans="2:7">
      <c r="B1548"/>
      <c r="C1548"/>
      <c r="D1548"/>
      <c r="E1548"/>
      <c r="F1548"/>
      <c r="G1548"/>
    </row>
    <row r="1549" spans="2:7">
      <c r="B1549"/>
      <c r="C1549"/>
      <c r="D1549"/>
      <c r="E1549"/>
      <c r="F1549"/>
      <c r="G1549"/>
    </row>
    <row r="1550" spans="2:7">
      <c r="B1550"/>
      <c r="C1550"/>
      <c r="D1550"/>
      <c r="E1550"/>
      <c r="F1550"/>
      <c r="G1550"/>
    </row>
    <row r="1551" spans="2:7">
      <c r="B1551"/>
      <c r="C1551"/>
      <c r="D1551"/>
      <c r="E1551"/>
      <c r="F1551"/>
      <c r="G1551"/>
    </row>
    <row r="1552" spans="2:7">
      <c r="B1552"/>
      <c r="C1552"/>
      <c r="D1552"/>
      <c r="E1552"/>
      <c r="F1552"/>
      <c r="G1552"/>
    </row>
    <row r="1553" spans="2:7">
      <c r="B1553"/>
      <c r="C1553"/>
      <c r="D1553"/>
      <c r="E1553"/>
      <c r="F1553"/>
      <c r="G1553"/>
    </row>
    <row r="1554" spans="2:7">
      <c r="B1554"/>
      <c r="C1554"/>
      <c r="D1554"/>
      <c r="E1554"/>
      <c r="F1554"/>
      <c r="G1554"/>
    </row>
    <row r="1555" spans="2:7">
      <c r="B1555"/>
      <c r="C1555"/>
      <c r="D1555"/>
      <c r="E1555"/>
      <c r="F1555"/>
      <c r="G1555"/>
    </row>
    <row r="1556" spans="2:7">
      <c r="B1556"/>
      <c r="C1556"/>
      <c r="D1556"/>
      <c r="E1556"/>
      <c r="F1556"/>
      <c r="G1556"/>
    </row>
    <row r="1557" spans="2:7">
      <c r="B1557"/>
      <c r="C1557"/>
      <c r="D1557"/>
      <c r="E1557"/>
      <c r="F1557"/>
      <c r="G1557"/>
    </row>
    <row r="1558" spans="2:7">
      <c r="B1558"/>
      <c r="C1558"/>
      <c r="D1558"/>
      <c r="E1558"/>
      <c r="F1558"/>
      <c r="G1558"/>
    </row>
    <row r="1559" spans="2:7">
      <c r="B1559"/>
      <c r="C1559"/>
      <c r="D1559"/>
      <c r="E1559"/>
      <c r="F1559"/>
      <c r="G1559"/>
    </row>
    <row r="1560" spans="2:7">
      <c r="B1560"/>
      <c r="C1560"/>
      <c r="D1560"/>
      <c r="E1560"/>
      <c r="F1560"/>
      <c r="G1560"/>
    </row>
    <row r="1561" spans="2:7">
      <c r="B1561"/>
      <c r="C1561"/>
      <c r="D1561"/>
      <c r="E1561"/>
      <c r="F1561"/>
      <c r="G1561"/>
    </row>
    <row r="1562" spans="2:7">
      <c r="B1562"/>
      <c r="C1562"/>
      <c r="D1562"/>
      <c r="E1562"/>
      <c r="F1562"/>
      <c r="G1562"/>
    </row>
    <row r="1563" spans="2:7">
      <c r="B1563"/>
      <c r="C1563"/>
      <c r="D1563"/>
      <c r="E1563"/>
      <c r="F1563"/>
      <c r="G1563"/>
    </row>
    <row r="1564" spans="2:7">
      <c r="B1564"/>
      <c r="C1564"/>
      <c r="D1564"/>
      <c r="E1564"/>
      <c r="F1564"/>
      <c r="G1564"/>
    </row>
    <row r="1565" spans="2:7">
      <c r="B1565"/>
      <c r="C1565"/>
      <c r="D1565"/>
      <c r="E1565"/>
      <c r="F1565"/>
      <c r="G1565"/>
    </row>
    <row r="1566" spans="2:7">
      <c r="B1566"/>
      <c r="C1566"/>
      <c r="D1566"/>
      <c r="E1566"/>
      <c r="F1566"/>
      <c r="G1566"/>
    </row>
    <row r="1567" spans="2:7">
      <c r="B1567"/>
      <c r="C1567"/>
      <c r="D1567"/>
      <c r="E1567"/>
      <c r="F1567"/>
      <c r="G1567"/>
    </row>
    <row r="1568" spans="2:7">
      <c r="B1568"/>
      <c r="C1568"/>
      <c r="D1568"/>
      <c r="E1568"/>
      <c r="F1568"/>
      <c r="G1568"/>
    </row>
    <row r="1569" spans="2:7">
      <c r="B1569"/>
      <c r="C1569"/>
      <c r="D1569"/>
      <c r="E1569"/>
      <c r="F1569"/>
      <c r="G1569"/>
    </row>
    <row r="1570" spans="2:7">
      <c r="B1570"/>
      <c r="C1570"/>
      <c r="D1570"/>
      <c r="E1570"/>
      <c r="F1570"/>
      <c r="G1570"/>
    </row>
    <row r="1571" spans="2:7">
      <c r="B1571"/>
      <c r="C1571"/>
      <c r="D1571"/>
      <c r="E1571"/>
      <c r="F1571"/>
      <c r="G1571"/>
    </row>
    <row r="1572" spans="2:7">
      <c r="B1572"/>
      <c r="C1572"/>
      <c r="D1572"/>
      <c r="E1572"/>
      <c r="F1572"/>
      <c r="G1572"/>
    </row>
    <row r="1573" spans="2:7">
      <c r="B1573"/>
      <c r="C1573"/>
      <c r="D1573"/>
      <c r="E1573"/>
      <c r="F1573"/>
      <c r="G1573"/>
    </row>
    <row r="1574" spans="2:7">
      <c r="B1574"/>
      <c r="C1574"/>
      <c r="D1574"/>
      <c r="E1574"/>
      <c r="F1574"/>
      <c r="G1574"/>
    </row>
    <row r="1575" spans="2:7">
      <c r="B1575"/>
      <c r="C1575"/>
      <c r="D1575"/>
      <c r="E1575"/>
      <c r="F1575"/>
      <c r="G1575"/>
    </row>
    <row r="1576" spans="2:7">
      <c r="B1576"/>
      <c r="C1576"/>
      <c r="D1576"/>
      <c r="E1576"/>
      <c r="F1576"/>
      <c r="G1576"/>
    </row>
    <row r="1577" spans="2:7">
      <c r="B1577"/>
      <c r="C1577"/>
      <c r="D1577"/>
      <c r="E1577"/>
      <c r="F1577"/>
      <c r="G1577"/>
    </row>
    <row r="1578" spans="2:7">
      <c r="B1578"/>
      <c r="C1578"/>
      <c r="D1578"/>
      <c r="E1578"/>
      <c r="F1578"/>
      <c r="G1578"/>
    </row>
    <row r="1579" spans="2:7">
      <c r="B1579"/>
      <c r="C1579"/>
      <c r="D1579"/>
      <c r="E1579"/>
      <c r="F1579"/>
      <c r="G1579"/>
    </row>
    <row r="1580" spans="2:7">
      <c r="B1580"/>
      <c r="C1580"/>
      <c r="D1580"/>
      <c r="E1580"/>
      <c r="F1580"/>
      <c r="G1580"/>
    </row>
    <row r="1581" spans="2:7">
      <c r="B1581"/>
      <c r="C1581"/>
      <c r="D1581"/>
      <c r="E1581"/>
      <c r="F1581"/>
      <c r="G1581"/>
    </row>
    <row r="1582" spans="2:7">
      <c r="B1582"/>
      <c r="C1582"/>
      <c r="D1582"/>
      <c r="E1582"/>
      <c r="F1582"/>
      <c r="G1582"/>
    </row>
    <row r="1583" spans="2:7">
      <c r="B1583"/>
      <c r="C1583"/>
      <c r="D1583"/>
      <c r="E1583"/>
      <c r="F1583"/>
      <c r="G1583"/>
    </row>
    <row r="1584" spans="2:7">
      <c r="B1584"/>
      <c r="C1584"/>
      <c r="D1584"/>
      <c r="E1584"/>
      <c r="F1584"/>
      <c r="G1584"/>
    </row>
    <row r="1585" spans="2:7">
      <c r="B1585"/>
      <c r="C1585"/>
      <c r="D1585"/>
      <c r="E1585"/>
      <c r="F1585"/>
      <c r="G1585"/>
    </row>
    <row r="1586" spans="2:7">
      <c r="B1586"/>
      <c r="C1586"/>
      <c r="D1586"/>
      <c r="E1586"/>
      <c r="F1586"/>
      <c r="G1586"/>
    </row>
    <row r="1587" spans="2:7">
      <c r="B1587"/>
      <c r="C1587"/>
      <c r="D1587"/>
      <c r="E1587"/>
      <c r="F1587"/>
      <c r="G1587"/>
    </row>
    <row r="1588" spans="2:7">
      <c r="B1588"/>
      <c r="C1588"/>
      <c r="D1588"/>
      <c r="E1588"/>
      <c r="F1588"/>
      <c r="G1588"/>
    </row>
    <row r="1589" spans="2:7">
      <c r="B1589"/>
      <c r="C1589"/>
      <c r="D1589"/>
      <c r="E1589"/>
      <c r="F1589"/>
      <c r="G1589"/>
    </row>
    <row r="1590" spans="2:7">
      <c r="B1590"/>
      <c r="C1590"/>
      <c r="D1590"/>
      <c r="E1590"/>
      <c r="F1590"/>
      <c r="G1590"/>
    </row>
    <row r="1591" spans="2:7">
      <c r="B1591"/>
      <c r="C1591"/>
      <c r="D1591"/>
      <c r="E1591"/>
      <c r="F1591"/>
      <c r="G1591"/>
    </row>
    <row r="1592" spans="2:7">
      <c r="B1592"/>
      <c r="C1592"/>
      <c r="D1592"/>
      <c r="E1592"/>
      <c r="F1592"/>
      <c r="G1592"/>
    </row>
    <row r="1593" spans="2:7">
      <c r="B1593"/>
      <c r="C1593"/>
      <c r="D1593"/>
      <c r="E1593"/>
      <c r="F1593"/>
      <c r="G1593"/>
    </row>
    <row r="1594" spans="2:7">
      <c r="B1594"/>
      <c r="C1594"/>
      <c r="D1594"/>
      <c r="E1594"/>
      <c r="F1594"/>
      <c r="G1594"/>
    </row>
    <row r="1595" spans="2:7">
      <c r="B1595"/>
      <c r="C1595"/>
      <c r="D1595"/>
      <c r="E1595"/>
      <c r="F1595"/>
      <c r="G1595"/>
    </row>
    <row r="1596" spans="2:7">
      <c r="B1596"/>
      <c r="C1596"/>
      <c r="D1596"/>
      <c r="E1596"/>
      <c r="F1596"/>
      <c r="G1596"/>
    </row>
    <row r="1597" spans="2:7">
      <c r="B1597"/>
      <c r="C1597"/>
      <c r="D1597"/>
      <c r="E1597"/>
      <c r="F1597"/>
      <c r="G1597"/>
    </row>
    <row r="1598" spans="2:7">
      <c r="B1598"/>
      <c r="C1598"/>
      <c r="D1598"/>
      <c r="E1598"/>
      <c r="F1598"/>
      <c r="G1598"/>
    </row>
    <row r="1599" spans="2:7">
      <c r="B1599"/>
      <c r="C1599"/>
      <c r="D1599"/>
      <c r="E1599"/>
      <c r="F1599"/>
      <c r="G1599"/>
    </row>
    <row r="1600" spans="2:7">
      <c r="B1600"/>
      <c r="C1600"/>
      <c r="D1600"/>
      <c r="E1600"/>
      <c r="F1600"/>
      <c r="G1600"/>
    </row>
    <row r="1601" spans="2:7">
      <c r="B1601"/>
      <c r="C1601"/>
      <c r="D1601"/>
      <c r="E1601"/>
      <c r="F1601"/>
      <c r="G1601"/>
    </row>
    <row r="1602" spans="2:7">
      <c r="B1602"/>
      <c r="C1602"/>
      <c r="D1602"/>
      <c r="E1602"/>
      <c r="F1602"/>
      <c r="G1602"/>
    </row>
    <row r="1603" spans="2:7">
      <c r="B1603"/>
      <c r="C1603"/>
      <c r="D1603"/>
      <c r="E1603"/>
      <c r="F1603"/>
      <c r="G1603"/>
    </row>
    <row r="1604" spans="2:7">
      <c r="B1604"/>
      <c r="C1604"/>
      <c r="D1604"/>
      <c r="E1604"/>
      <c r="F1604"/>
      <c r="G1604"/>
    </row>
    <row r="1605" spans="2:7">
      <c r="B1605"/>
      <c r="C1605"/>
      <c r="D1605"/>
      <c r="E1605"/>
      <c r="F1605"/>
      <c r="G1605"/>
    </row>
    <row r="1606" spans="2:7">
      <c r="B1606"/>
      <c r="C1606"/>
      <c r="D1606"/>
      <c r="E1606"/>
      <c r="F1606"/>
      <c r="G1606"/>
    </row>
    <row r="1607" spans="2:7">
      <c r="B1607"/>
      <c r="C1607"/>
      <c r="D1607"/>
      <c r="E1607"/>
      <c r="F1607"/>
      <c r="G1607"/>
    </row>
    <row r="1608" spans="2:7">
      <c r="B1608"/>
      <c r="C1608"/>
      <c r="D1608"/>
      <c r="E1608"/>
      <c r="F1608"/>
      <c r="G1608"/>
    </row>
    <row r="1609" spans="2:7">
      <c r="B1609"/>
      <c r="C1609"/>
      <c r="D1609"/>
      <c r="E1609"/>
      <c r="F1609"/>
      <c r="G1609"/>
    </row>
    <row r="1610" spans="2:7">
      <c r="B1610"/>
      <c r="C1610"/>
      <c r="D1610"/>
      <c r="E1610"/>
      <c r="F1610"/>
      <c r="G1610"/>
    </row>
    <row r="1611" spans="2:7">
      <c r="B1611"/>
      <c r="C1611"/>
      <c r="D1611"/>
      <c r="E1611"/>
      <c r="F1611"/>
      <c r="G1611"/>
    </row>
    <row r="1612" spans="2:7">
      <c r="B1612"/>
      <c r="C1612"/>
      <c r="D1612"/>
      <c r="E1612"/>
      <c r="F1612"/>
      <c r="G1612"/>
    </row>
    <row r="1613" spans="2:7">
      <c r="B1613"/>
      <c r="C1613"/>
      <c r="D1613"/>
      <c r="E1613"/>
      <c r="F1613"/>
      <c r="G1613"/>
    </row>
    <row r="1614" spans="2:7">
      <c r="B1614"/>
      <c r="C1614"/>
      <c r="D1614"/>
      <c r="E1614"/>
      <c r="F1614"/>
      <c r="G1614"/>
    </row>
    <row r="1615" spans="2:7">
      <c r="B1615"/>
      <c r="C1615"/>
      <c r="D1615"/>
      <c r="E1615"/>
      <c r="F1615"/>
      <c r="G1615"/>
    </row>
    <row r="1616" spans="2:7">
      <c r="B1616"/>
      <c r="C1616"/>
      <c r="D1616"/>
      <c r="E1616"/>
      <c r="F1616"/>
      <c r="G1616"/>
    </row>
    <row r="1617" spans="2:7">
      <c r="B1617"/>
      <c r="C1617"/>
      <c r="D1617"/>
      <c r="E1617"/>
      <c r="F1617"/>
      <c r="G1617"/>
    </row>
    <row r="1618" spans="2:7">
      <c r="B1618"/>
      <c r="C1618"/>
      <c r="D1618"/>
      <c r="E1618"/>
      <c r="F1618"/>
      <c r="G1618"/>
    </row>
    <row r="1619" spans="2:7">
      <c r="B1619"/>
      <c r="C1619"/>
      <c r="D1619"/>
      <c r="E1619"/>
      <c r="F1619"/>
      <c r="G1619"/>
    </row>
    <row r="1620" spans="2:7">
      <c r="B1620"/>
      <c r="C1620"/>
      <c r="D1620"/>
      <c r="E1620"/>
      <c r="F1620"/>
      <c r="G1620"/>
    </row>
    <row r="1621" spans="2:7">
      <c r="B1621"/>
      <c r="C1621"/>
      <c r="D1621"/>
      <c r="E1621"/>
      <c r="F1621"/>
      <c r="G1621"/>
    </row>
    <row r="1622" spans="2:7">
      <c r="B1622"/>
      <c r="C1622"/>
      <c r="D1622"/>
      <c r="E1622"/>
      <c r="F1622"/>
      <c r="G1622"/>
    </row>
    <row r="1623" spans="2:7">
      <c r="B1623"/>
      <c r="C1623"/>
      <c r="D1623"/>
      <c r="E1623"/>
      <c r="F1623"/>
      <c r="G1623"/>
    </row>
    <row r="1624" spans="2:7">
      <c r="B1624"/>
      <c r="C1624"/>
      <c r="D1624"/>
      <c r="E1624"/>
      <c r="F1624"/>
      <c r="G1624"/>
    </row>
    <row r="1625" spans="2:7">
      <c r="B1625"/>
      <c r="C1625"/>
      <c r="D1625"/>
      <c r="E1625"/>
      <c r="F1625"/>
      <c r="G1625"/>
    </row>
    <row r="1626" spans="2:7">
      <c r="B1626"/>
      <c r="C1626"/>
      <c r="D1626"/>
      <c r="E1626"/>
      <c r="F1626"/>
      <c r="G1626"/>
    </row>
    <row r="1627" spans="2:7">
      <c r="B1627"/>
      <c r="C1627"/>
      <c r="D1627"/>
      <c r="E1627"/>
      <c r="F1627"/>
      <c r="G1627"/>
    </row>
    <row r="1628" spans="2:7">
      <c r="B1628"/>
      <c r="C1628"/>
      <c r="D1628"/>
      <c r="E1628"/>
      <c r="F1628"/>
      <c r="G1628"/>
    </row>
    <row r="1629" spans="2:7">
      <c r="B1629"/>
      <c r="C1629"/>
      <c r="D1629"/>
      <c r="E1629"/>
      <c r="F1629"/>
      <c r="G1629"/>
    </row>
    <row r="1630" spans="2:7">
      <c r="B1630"/>
      <c r="C1630"/>
      <c r="D1630"/>
      <c r="E1630"/>
      <c r="F1630"/>
      <c r="G1630"/>
    </row>
    <row r="1631" spans="2:7">
      <c r="B1631"/>
      <c r="C1631"/>
      <c r="D1631"/>
      <c r="E1631"/>
      <c r="F1631"/>
      <c r="G1631"/>
    </row>
    <row r="1632" spans="2:7">
      <c r="B1632"/>
      <c r="C1632"/>
      <c r="D1632"/>
      <c r="E1632"/>
      <c r="F1632"/>
      <c r="G1632"/>
    </row>
    <row r="1633" spans="2:7">
      <c r="B1633"/>
      <c r="C1633"/>
      <c r="D1633"/>
      <c r="E1633"/>
      <c r="F1633"/>
      <c r="G1633"/>
    </row>
    <row r="1634" spans="2:7">
      <c r="B1634"/>
      <c r="C1634"/>
      <c r="D1634"/>
      <c r="E1634"/>
      <c r="F1634"/>
      <c r="G1634"/>
    </row>
    <row r="1635" spans="2:7">
      <c r="B1635"/>
      <c r="C1635"/>
      <c r="D1635"/>
      <c r="E1635"/>
      <c r="F1635"/>
      <c r="G1635"/>
    </row>
    <row r="1636" spans="2:7">
      <c r="B1636"/>
      <c r="C1636"/>
      <c r="D1636"/>
      <c r="E1636"/>
      <c r="F1636"/>
      <c r="G1636"/>
    </row>
    <row r="1637" spans="2:7">
      <c r="B1637"/>
      <c r="C1637"/>
      <c r="D1637"/>
      <c r="E1637"/>
      <c r="F1637"/>
      <c r="G1637"/>
    </row>
    <row r="1638" spans="2:7">
      <c r="B1638"/>
      <c r="C1638"/>
      <c r="D1638"/>
      <c r="E1638"/>
      <c r="F1638"/>
      <c r="G1638"/>
    </row>
    <row r="1639" spans="2:7">
      <c r="B1639"/>
      <c r="C1639"/>
      <c r="D1639"/>
      <c r="E1639"/>
      <c r="F1639"/>
      <c r="G1639"/>
    </row>
    <row r="1640" spans="2:7">
      <c r="B1640"/>
      <c r="C1640"/>
      <c r="D1640"/>
      <c r="E1640"/>
      <c r="F1640"/>
      <c r="G1640"/>
    </row>
    <row r="1641" spans="2:7">
      <c r="B1641"/>
      <c r="C1641"/>
      <c r="D1641"/>
      <c r="E1641"/>
      <c r="F1641"/>
      <c r="G1641"/>
    </row>
    <row r="1642" spans="2:7">
      <c r="B1642"/>
      <c r="C1642"/>
      <c r="D1642"/>
      <c r="E1642"/>
      <c r="F1642"/>
      <c r="G1642"/>
    </row>
    <row r="1643" spans="2:7">
      <c r="B1643"/>
      <c r="C1643"/>
      <c r="D1643"/>
      <c r="E1643"/>
      <c r="F1643"/>
      <c r="G1643"/>
    </row>
    <row r="1644" spans="2:7">
      <c r="B1644"/>
      <c r="C1644"/>
      <c r="D1644"/>
      <c r="E1644"/>
      <c r="F1644"/>
      <c r="G1644"/>
    </row>
    <row r="1645" spans="2:7">
      <c r="B1645"/>
      <c r="C1645"/>
      <c r="D1645"/>
      <c r="E1645"/>
      <c r="F1645"/>
      <c r="G1645"/>
    </row>
    <row r="1646" spans="2:7">
      <c r="B1646"/>
      <c r="C1646"/>
      <c r="D1646"/>
      <c r="E1646"/>
      <c r="F1646"/>
      <c r="G1646"/>
    </row>
    <row r="1647" spans="2:7">
      <c r="B1647"/>
      <c r="C1647"/>
      <c r="D1647"/>
      <c r="E1647"/>
      <c r="F1647"/>
      <c r="G1647"/>
    </row>
    <row r="1648" spans="2:7">
      <c r="B1648"/>
      <c r="C1648"/>
      <c r="D1648"/>
      <c r="E1648"/>
      <c r="F1648"/>
      <c r="G1648"/>
    </row>
    <row r="1649" spans="2:7">
      <c r="B1649"/>
      <c r="C1649"/>
      <c r="D1649"/>
      <c r="E1649"/>
      <c r="F1649"/>
      <c r="G1649"/>
    </row>
    <row r="1650" spans="2:7">
      <c r="B1650"/>
      <c r="C1650"/>
      <c r="D1650"/>
      <c r="E1650"/>
      <c r="F1650"/>
      <c r="G1650"/>
    </row>
    <row r="1651" spans="2:7">
      <c r="B1651"/>
      <c r="C1651"/>
      <c r="D1651"/>
      <c r="E1651"/>
      <c r="F1651"/>
      <c r="G1651"/>
    </row>
    <row r="1652" spans="2:7">
      <c r="B1652"/>
      <c r="C1652"/>
      <c r="D1652"/>
      <c r="E1652"/>
      <c r="F1652"/>
      <c r="G1652"/>
    </row>
    <row r="1653" spans="2:7">
      <c r="B1653"/>
      <c r="C1653"/>
      <c r="D1653"/>
      <c r="E1653"/>
      <c r="F1653"/>
      <c r="G1653"/>
    </row>
    <row r="1654" spans="2:7">
      <c r="B1654"/>
      <c r="C1654"/>
      <c r="D1654"/>
      <c r="E1654"/>
      <c r="F1654"/>
      <c r="G1654"/>
    </row>
    <row r="1655" spans="2:7">
      <c r="B1655"/>
      <c r="C1655"/>
      <c r="D1655"/>
      <c r="E1655"/>
      <c r="F1655"/>
      <c r="G1655"/>
    </row>
    <row r="1656" spans="2:7">
      <c r="B1656"/>
      <c r="C1656"/>
      <c r="D1656"/>
      <c r="E1656"/>
      <c r="F1656"/>
      <c r="G1656"/>
    </row>
    <row r="1657" spans="2:7">
      <c r="B1657"/>
      <c r="C1657"/>
      <c r="D1657"/>
      <c r="E1657"/>
      <c r="F1657"/>
      <c r="G1657"/>
    </row>
    <row r="1658" spans="2:7">
      <c r="B1658"/>
      <c r="C1658"/>
      <c r="D1658"/>
      <c r="E1658"/>
      <c r="F1658"/>
      <c r="G1658"/>
    </row>
    <row r="1659" spans="2:7">
      <c r="B1659"/>
      <c r="C1659"/>
      <c r="D1659"/>
      <c r="E1659"/>
      <c r="F1659"/>
      <c r="G1659"/>
    </row>
    <row r="1660" spans="2:7">
      <c r="B1660"/>
      <c r="C1660"/>
      <c r="D1660"/>
      <c r="E1660"/>
      <c r="F1660"/>
      <c r="G1660"/>
    </row>
    <row r="1661" spans="2:7">
      <c r="B1661"/>
      <c r="C1661"/>
      <c r="D1661"/>
      <c r="E1661"/>
      <c r="F1661"/>
      <c r="G1661"/>
    </row>
    <row r="1662" spans="2:7">
      <c r="B1662"/>
      <c r="C1662"/>
      <c r="D1662"/>
      <c r="E1662"/>
      <c r="F1662"/>
      <c r="G1662"/>
    </row>
    <row r="1663" spans="2:7">
      <c r="B1663"/>
      <c r="C1663"/>
      <c r="D1663"/>
      <c r="E1663"/>
      <c r="F1663"/>
      <c r="G1663"/>
    </row>
    <row r="1664" spans="2:7">
      <c r="B1664"/>
      <c r="C1664"/>
      <c r="D1664"/>
      <c r="E1664"/>
      <c r="F1664"/>
      <c r="G1664"/>
    </row>
    <row r="1665" spans="2:7">
      <c r="B1665"/>
      <c r="C1665"/>
      <c r="D1665"/>
      <c r="E1665"/>
      <c r="F1665"/>
      <c r="G1665"/>
    </row>
    <row r="1666" spans="2:7">
      <c r="B1666"/>
      <c r="C1666"/>
      <c r="D1666"/>
      <c r="E1666"/>
      <c r="F1666"/>
      <c r="G1666"/>
    </row>
    <row r="1667" spans="2:7">
      <c r="B1667"/>
      <c r="C1667"/>
      <c r="D1667"/>
      <c r="E1667"/>
      <c r="F1667"/>
      <c r="G1667"/>
    </row>
    <row r="1668" spans="2:7">
      <c r="B1668"/>
      <c r="C1668"/>
      <c r="D1668"/>
      <c r="E1668"/>
      <c r="F1668"/>
      <c r="G1668"/>
    </row>
    <row r="1669" spans="2:7">
      <c r="B1669"/>
      <c r="C1669"/>
      <c r="D1669"/>
      <c r="E1669"/>
      <c r="F1669"/>
      <c r="G1669"/>
    </row>
    <row r="1670" spans="2:7">
      <c r="B1670"/>
      <c r="C1670"/>
      <c r="D1670"/>
      <c r="E1670"/>
      <c r="F1670"/>
      <c r="G1670"/>
    </row>
    <row r="1671" spans="2:7">
      <c r="B1671"/>
      <c r="C1671"/>
      <c r="D1671"/>
      <c r="E1671"/>
      <c r="F1671"/>
      <c r="G1671"/>
    </row>
    <row r="1672" spans="2:7">
      <c r="B1672"/>
      <c r="C1672"/>
      <c r="D1672"/>
      <c r="E1672"/>
      <c r="F1672"/>
      <c r="G1672"/>
    </row>
    <row r="1673" spans="2:7">
      <c r="B1673"/>
      <c r="C1673"/>
      <c r="D1673"/>
      <c r="E1673"/>
      <c r="F1673"/>
      <c r="G1673"/>
    </row>
    <row r="1674" spans="2:7">
      <c r="B1674"/>
      <c r="C1674"/>
      <c r="D1674"/>
      <c r="E1674"/>
      <c r="F1674"/>
      <c r="G1674"/>
    </row>
    <row r="1675" spans="2:7">
      <c r="B1675"/>
      <c r="C1675"/>
      <c r="D1675"/>
      <c r="E1675"/>
      <c r="F1675"/>
      <c r="G1675"/>
    </row>
    <row r="1676" spans="2:7">
      <c r="B1676"/>
      <c r="C1676"/>
      <c r="D1676"/>
      <c r="E1676"/>
      <c r="F1676"/>
      <c r="G1676"/>
    </row>
    <row r="1677" spans="2:7">
      <c r="B1677"/>
      <c r="C1677"/>
      <c r="D1677"/>
      <c r="E1677"/>
      <c r="F1677"/>
      <c r="G1677"/>
    </row>
    <row r="1678" spans="2:7">
      <c r="B1678"/>
      <c r="C1678"/>
      <c r="D1678"/>
      <c r="E1678"/>
      <c r="F1678"/>
      <c r="G1678"/>
    </row>
    <row r="1679" spans="2:7">
      <c r="B1679"/>
      <c r="C1679"/>
      <c r="D1679"/>
      <c r="E1679"/>
      <c r="F1679"/>
      <c r="G1679"/>
    </row>
    <row r="1680" spans="2:7">
      <c r="B1680"/>
      <c r="C1680"/>
      <c r="D1680"/>
      <c r="E1680"/>
      <c r="F1680"/>
      <c r="G1680"/>
    </row>
    <row r="1681" spans="2:7">
      <c r="B1681"/>
      <c r="C1681"/>
      <c r="D1681"/>
      <c r="E1681"/>
      <c r="F1681"/>
      <c r="G1681"/>
    </row>
    <row r="1682" spans="2:7">
      <c r="B1682"/>
      <c r="C1682"/>
      <c r="D1682"/>
      <c r="E1682"/>
      <c r="F1682"/>
      <c r="G1682"/>
    </row>
    <row r="1683" spans="2:7">
      <c r="B1683"/>
      <c r="C1683"/>
      <c r="D1683"/>
      <c r="E1683"/>
      <c r="F1683"/>
      <c r="G1683"/>
    </row>
    <row r="1684" spans="2:7">
      <c r="B1684"/>
      <c r="C1684"/>
      <c r="D1684"/>
      <c r="E1684"/>
      <c r="F1684"/>
      <c r="G1684"/>
    </row>
    <row r="1685" spans="2:7">
      <c r="B1685"/>
      <c r="C1685"/>
      <c r="D1685"/>
      <c r="E1685"/>
      <c r="F1685"/>
      <c r="G1685"/>
    </row>
    <row r="1686" spans="2:7">
      <c r="B1686"/>
      <c r="C1686"/>
      <c r="D1686"/>
      <c r="E1686"/>
      <c r="F1686"/>
      <c r="G1686"/>
    </row>
    <row r="1687" spans="2:7">
      <c r="B1687"/>
      <c r="C1687"/>
      <c r="D1687"/>
      <c r="E1687"/>
      <c r="F1687"/>
      <c r="G1687"/>
    </row>
    <row r="1688" spans="2:7">
      <c r="B1688"/>
      <c r="C1688"/>
      <c r="D1688"/>
      <c r="E1688"/>
      <c r="F1688"/>
      <c r="G1688"/>
    </row>
    <row r="1689" spans="2:7">
      <c r="B1689"/>
      <c r="C1689"/>
      <c r="D1689"/>
      <c r="E1689"/>
      <c r="F1689"/>
      <c r="G1689"/>
    </row>
    <row r="1690" spans="2:7">
      <c r="B1690"/>
      <c r="C1690"/>
      <c r="D1690"/>
      <c r="E1690"/>
      <c r="F1690"/>
      <c r="G1690"/>
    </row>
    <row r="1691" spans="2:7">
      <c r="B1691"/>
      <c r="C1691"/>
      <c r="D1691"/>
      <c r="E1691"/>
      <c r="F1691"/>
      <c r="G1691"/>
    </row>
    <row r="1692" spans="2:7">
      <c r="B1692"/>
      <c r="C1692"/>
      <c r="D1692"/>
      <c r="E1692"/>
      <c r="F1692"/>
      <c r="G1692"/>
    </row>
    <row r="1693" spans="2:7">
      <c r="B1693"/>
      <c r="C1693"/>
      <c r="D1693"/>
      <c r="E1693"/>
      <c r="F1693"/>
      <c r="G1693"/>
    </row>
    <row r="1694" spans="2:7">
      <c r="B1694"/>
      <c r="C1694"/>
      <c r="D1694"/>
      <c r="E1694"/>
      <c r="F1694"/>
      <c r="G1694"/>
    </row>
    <row r="1695" spans="2:7">
      <c r="B1695"/>
      <c r="C1695"/>
      <c r="D1695"/>
      <c r="E1695"/>
      <c r="F1695"/>
      <c r="G1695"/>
    </row>
    <row r="1696" spans="2:7">
      <c r="B1696"/>
      <c r="C1696"/>
      <c r="D1696"/>
      <c r="E1696"/>
      <c r="F1696"/>
      <c r="G1696"/>
    </row>
    <row r="1697" spans="2:7">
      <c r="B1697"/>
      <c r="C1697"/>
      <c r="D1697"/>
      <c r="E1697"/>
      <c r="F1697"/>
      <c r="G1697"/>
    </row>
    <row r="1698" spans="2:7">
      <c r="B1698"/>
      <c r="C1698"/>
      <c r="D1698"/>
      <c r="E1698"/>
      <c r="F1698"/>
      <c r="G1698"/>
    </row>
    <row r="1699" spans="2:7">
      <c r="B1699"/>
      <c r="C1699"/>
      <c r="D1699"/>
      <c r="E1699"/>
      <c r="F1699"/>
      <c r="G1699"/>
    </row>
    <row r="1700" spans="2:7">
      <c r="B1700"/>
      <c r="C1700"/>
      <c r="D1700"/>
      <c r="E1700"/>
      <c r="F1700"/>
      <c r="G1700"/>
    </row>
    <row r="1701" spans="2:7">
      <c r="B1701"/>
      <c r="C1701"/>
      <c r="D1701"/>
      <c r="E1701"/>
      <c r="F1701"/>
      <c r="G1701"/>
    </row>
    <row r="1702" spans="2:7">
      <c r="B1702"/>
      <c r="C1702"/>
      <c r="D1702"/>
      <c r="E1702"/>
      <c r="F1702"/>
      <c r="G1702"/>
    </row>
    <row r="1703" spans="2:7">
      <c r="B1703"/>
      <c r="C1703"/>
      <c r="D1703"/>
      <c r="E1703"/>
      <c r="F1703"/>
      <c r="G1703"/>
    </row>
    <row r="1704" spans="2:7">
      <c r="B1704"/>
      <c r="C1704"/>
      <c r="D1704"/>
      <c r="E1704"/>
      <c r="F1704"/>
      <c r="G1704"/>
    </row>
    <row r="1705" spans="2:7">
      <c r="B1705"/>
      <c r="C1705"/>
      <c r="D1705"/>
      <c r="E1705"/>
      <c r="F1705"/>
      <c r="G1705"/>
    </row>
    <row r="1706" spans="2:7">
      <c r="B1706"/>
      <c r="C1706"/>
      <c r="D1706"/>
      <c r="E1706"/>
      <c r="F1706"/>
      <c r="G1706"/>
    </row>
    <row r="1707" spans="2:7">
      <c r="B1707"/>
      <c r="C1707"/>
      <c r="D1707"/>
      <c r="E1707"/>
      <c r="F1707"/>
      <c r="G1707"/>
    </row>
    <row r="1708" spans="2:7">
      <c r="B1708"/>
      <c r="C1708"/>
      <c r="D1708"/>
      <c r="E1708"/>
      <c r="F1708"/>
      <c r="G1708"/>
    </row>
    <row r="1709" spans="2:7">
      <c r="B1709"/>
      <c r="C1709"/>
      <c r="D1709"/>
      <c r="E1709"/>
      <c r="F1709"/>
      <c r="G1709"/>
    </row>
    <row r="1710" spans="2:7">
      <c r="B1710"/>
      <c r="C1710"/>
      <c r="D1710"/>
      <c r="E1710"/>
      <c r="F1710"/>
      <c r="G1710"/>
    </row>
    <row r="1711" spans="2:7">
      <c r="B1711"/>
      <c r="C1711"/>
      <c r="D1711"/>
      <c r="E1711"/>
      <c r="F1711"/>
      <c r="G1711"/>
    </row>
    <row r="1712" spans="2:7">
      <c r="B1712"/>
      <c r="C1712"/>
      <c r="D1712"/>
      <c r="E1712"/>
      <c r="F1712"/>
      <c r="G1712"/>
    </row>
    <row r="1713" spans="2:7">
      <c r="B1713"/>
      <c r="C1713"/>
      <c r="D1713"/>
      <c r="E1713"/>
      <c r="F1713"/>
      <c r="G1713"/>
    </row>
    <row r="1714" spans="2:7">
      <c r="B1714"/>
      <c r="C1714"/>
      <c r="D1714"/>
      <c r="E1714"/>
      <c r="F1714"/>
      <c r="G1714"/>
    </row>
    <row r="1715" spans="2:7">
      <c r="B1715"/>
      <c r="C1715"/>
      <c r="D1715"/>
      <c r="E1715"/>
      <c r="F1715"/>
      <c r="G1715"/>
    </row>
    <row r="1716" spans="2:7">
      <c r="B1716"/>
      <c r="C1716"/>
      <c r="D1716"/>
      <c r="E1716"/>
      <c r="F1716"/>
      <c r="G1716"/>
    </row>
    <row r="1717" spans="2:7">
      <c r="B1717"/>
      <c r="C1717"/>
      <c r="D1717"/>
      <c r="E1717"/>
      <c r="F1717"/>
      <c r="G1717"/>
    </row>
    <row r="1718" spans="2:7">
      <c r="B1718"/>
      <c r="C1718"/>
      <c r="D1718"/>
      <c r="E1718"/>
      <c r="F1718"/>
      <c r="G1718"/>
    </row>
    <row r="1719" spans="2:7">
      <c r="B1719"/>
      <c r="C1719"/>
      <c r="D1719"/>
      <c r="E1719"/>
      <c r="F1719"/>
      <c r="G1719"/>
    </row>
    <row r="1720" spans="2:7">
      <c r="B1720"/>
      <c r="C1720"/>
      <c r="D1720"/>
      <c r="E1720"/>
      <c r="F1720"/>
      <c r="G1720"/>
    </row>
    <row r="1721" spans="2:7">
      <c r="B1721"/>
      <c r="C1721"/>
      <c r="D1721"/>
      <c r="E1721"/>
      <c r="F1721"/>
      <c r="G1721"/>
    </row>
    <row r="1722" spans="2:7">
      <c r="B1722"/>
      <c r="C1722"/>
      <c r="D1722"/>
      <c r="E1722"/>
      <c r="F1722"/>
      <c r="G1722"/>
    </row>
    <row r="1723" spans="2:7">
      <c r="B1723"/>
      <c r="C1723"/>
      <c r="D1723"/>
      <c r="E1723"/>
      <c r="F1723"/>
      <c r="G1723"/>
    </row>
    <row r="1724" spans="2:7">
      <c r="B1724"/>
      <c r="C1724"/>
      <c r="D1724"/>
      <c r="E1724"/>
      <c r="F1724"/>
      <c r="G1724"/>
    </row>
    <row r="1725" spans="2:7">
      <c r="B1725"/>
      <c r="C1725"/>
      <c r="D1725"/>
      <c r="E1725"/>
      <c r="F1725"/>
      <c r="G1725"/>
    </row>
    <row r="1726" spans="2:7">
      <c r="B1726"/>
      <c r="C1726"/>
      <c r="D1726"/>
      <c r="E1726"/>
      <c r="F1726"/>
      <c r="G1726"/>
    </row>
    <row r="1727" spans="2:7">
      <c r="B1727"/>
      <c r="C1727"/>
      <c r="D1727"/>
      <c r="E1727"/>
      <c r="F1727"/>
      <c r="G1727"/>
    </row>
    <row r="1728" spans="2:7">
      <c r="B1728"/>
      <c r="C1728"/>
      <c r="D1728"/>
      <c r="E1728"/>
      <c r="F1728"/>
      <c r="G1728"/>
    </row>
    <row r="1729" spans="2:7">
      <c r="B1729"/>
      <c r="C1729"/>
      <c r="D1729"/>
      <c r="E1729"/>
      <c r="F1729"/>
      <c r="G1729"/>
    </row>
    <row r="1730" spans="2:7">
      <c r="B1730"/>
      <c r="C1730"/>
      <c r="D1730"/>
      <c r="E1730"/>
      <c r="F1730"/>
      <c r="G1730"/>
    </row>
    <row r="1731" spans="2:7">
      <c r="B1731"/>
      <c r="C1731"/>
      <c r="D1731"/>
      <c r="E1731"/>
      <c r="F1731"/>
      <c r="G1731"/>
    </row>
    <row r="1732" spans="2:7">
      <c r="B1732"/>
      <c r="C1732"/>
      <c r="D1732"/>
      <c r="E1732"/>
      <c r="F1732"/>
      <c r="G1732"/>
    </row>
    <row r="1733" spans="2:7">
      <c r="B1733"/>
      <c r="C1733"/>
      <c r="D1733"/>
      <c r="E1733"/>
      <c r="F1733"/>
      <c r="G1733"/>
    </row>
    <row r="1734" spans="2:7">
      <c r="B1734"/>
      <c r="C1734"/>
      <c r="D1734"/>
      <c r="E1734"/>
      <c r="F1734"/>
      <c r="G1734"/>
    </row>
    <row r="1735" spans="2:7">
      <c r="B1735"/>
      <c r="C1735"/>
      <c r="D1735"/>
      <c r="E1735"/>
      <c r="F1735"/>
      <c r="G1735"/>
    </row>
    <row r="1736" spans="2:7">
      <c r="B1736"/>
      <c r="C1736"/>
      <c r="D1736"/>
      <c r="E1736"/>
      <c r="F1736"/>
      <c r="G1736"/>
    </row>
    <row r="1737" spans="2:7">
      <c r="B1737"/>
      <c r="C1737"/>
      <c r="D1737"/>
      <c r="E1737"/>
      <c r="F1737"/>
      <c r="G1737"/>
    </row>
    <row r="1738" spans="2:7">
      <c r="B1738"/>
      <c r="C1738"/>
      <c r="D1738"/>
      <c r="E1738"/>
      <c r="F1738"/>
      <c r="G1738"/>
    </row>
    <row r="1739" spans="2:7">
      <c r="B1739"/>
      <c r="C1739"/>
      <c r="D1739"/>
      <c r="E1739"/>
      <c r="F1739"/>
      <c r="G1739"/>
    </row>
    <row r="1740" spans="2:7">
      <c r="B1740"/>
      <c r="C1740"/>
      <c r="D1740"/>
      <c r="E1740"/>
      <c r="F1740"/>
      <c r="G1740"/>
    </row>
    <row r="1741" spans="2:7">
      <c r="B1741"/>
      <c r="C1741"/>
      <c r="D1741"/>
      <c r="E1741"/>
      <c r="F1741"/>
      <c r="G1741"/>
    </row>
    <row r="1742" spans="2:7">
      <c r="B1742"/>
      <c r="C1742"/>
      <c r="D1742"/>
      <c r="E1742"/>
      <c r="F1742"/>
      <c r="G1742"/>
    </row>
    <row r="1743" spans="2:7">
      <c r="B1743"/>
      <c r="C1743"/>
      <c r="D1743"/>
      <c r="E1743"/>
      <c r="F1743"/>
      <c r="G1743"/>
    </row>
    <row r="1744" spans="2:7">
      <c r="B1744"/>
      <c r="C1744"/>
      <c r="D1744"/>
      <c r="E1744"/>
      <c r="F1744"/>
      <c r="G1744"/>
    </row>
    <row r="1745" spans="2:7">
      <c r="B1745"/>
      <c r="C1745"/>
      <c r="D1745"/>
      <c r="E1745"/>
      <c r="F1745"/>
      <c r="G1745"/>
    </row>
    <row r="1746" spans="2:7">
      <c r="B1746"/>
      <c r="C1746"/>
      <c r="D1746"/>
      <c r="E1746"/>
      <c r="F1746"/>
      <c r="G1746"/>
    </row>
    <row r="1747" spans="2:7">
      <c r="B1747"/>
      <c r="C1747"/>
      <c r="D1747"/>
      <c r="E1747"/>
      <c r="F1747"/>
      <c r="G1747"/>
    </row>
    <row r="1748" spans="2:7">
      <c r="B1748"/>
      <c r="C1748"/>
      <c r="D1748"/>
      <c r="E1748"/>
      <c r="F1748"/>
      <c r="G1748"/>
    </row>
    <row r="1749" spans="2:7">
      <c r="B1749"/>
      <c r="C1749"/>
      <c r="D1749"/>
      <c r="E1749"/>
      <c r="F1749"/>
      <c r="G1749"/>
    </row>
    <row r="1750" spans="2:7">
      <c r="B1750"/>
      <c r="C1750"/>
      <c r="D1750"/>
      <c r="E1750"/>
      <c r="F1750"/>
      <c r="G1750"/>
    </row>
    <row r="1751" spans="2:7">
      <c r="B1751"/>
      <c r="C1751"/>
      <c r="D1751"/>
      <c r="E1751"/>
      <c r="F1751"/>
      <c r="G1751"/>
    </row>
    <row r="1752" spans="2:7">
      <c r="B1752"/>
      <c r="C1752"/>
      <c r="D1752"/>
      <c r="E1752"/>
      <c r="F1752"/>
      <c r="G1752"/>
    </row>
    <row r="1753" spans="2:7">
      <c r="B1753"/>
      <c r="C1753"/>
      <c r="D1753"/>
      <c r="E1753"/>
      <c r="F1753"/>
      <c r="G1753"/>
    </row>
    <row r="1754" spans="2:7">
      <c r="B1754"/>
      <c r="C1754"/>
      <c r="D1754"/>
      <c r="E1754"/>
      <c r="F1754"/>
      <c r="G1754"/>
    </row>
    <row r="1755" spans="2:7">
      <c r="B1755"/>
      <c r="C1755"/>
      <c r="D1755"/>
      <c r="E1755"/>
      <c r="F1755"/>
      <c r="G1755"/>
    </row>
    <row r="1756" spans="2:7">
      <c r="B1756"/>
      <c r="C1756"/>
      <c r="D1756"/>
      <c r="E1756"/>
      <c r="F1756"/>
      <c r="G1756"/>
    </row>
    <row r="1757" spans="2:7">
      <c r="B1757"/>
      <c r="C1757"/>
      <c r="D1757"/>
      <c r="E1757"/>
      <c r="F1757"/>
      <c r="G1757"/>
    </row>
    <row r="1758" spans="2:7">
      <c r="B1758"/>
      <c r="C1758"/>
      <c r="D1758"/>
      <c r="E1758"/>
      <c r="F1758"/>
      <c r="G1758"/>
    </row>
    <row r="1759" spans="2:7">
      <c r="B1759"/>
      <c r="C1759"/>
      <c r="D1759"/>
      <c r="E1759"/>
      <c r="F1759"/>
      <c r="G1759"/>
    </row>
    <row r="1760" spans="2:7">
      <c r="B1760"/>
      <c r="C1760"/>
      <c r="D1760"/>
      <c r="E1760"/>
      <c r="F1760"/>
      <c r="G1760"/>
    </row>
    <row r="1761" spans="2:7">
      <c r="B1761"/>
      <c r="C1761"/>
      <c r="D1761"/>
      <c r="E1761"/>
      <c r="F1761"/>
      <c r="G1761"/>
    </row>
    <row r="1762" spans="2:7">
      <c r="B1762"/>
      <c r="C1762"/>
      <c r="D1762"/>
      <c r="E1762"/>
      <c r="F1762"/>
      <c r="G1762"/>
    </row>
    <row r="1763" spans="2:7">
      <c r="B1763"/>
      <c r="C1763"/>
      <c r="D1763"/>
      <c r="E1763"/>
      <c r="F1763"/>
      <c r="G1763"/>
    </row>
    <row r="1764" spans="2:7">
      <c r="B1764"/>
      <c r="C1764"/>
      <c r="D1764"/>
      <c r="E1764"/>
      <c r="F1764"/>
      <c r="G1764"/>
    </row>
    <row r="1765" spans="2:7">
      <c r="B1765"/>
      <c r="C1765"/>
      <c r="D1765"/>
      <c r="E1765"/>
      <c r="F1765"/>
      <c r="G1765"/>
    </row>
    <row r="1766" spans="2:7">
      <c r="B1766"/>
      <c r="C1766"/>
      <c r="D1766"/>
      <c r="E1766"/>
      <c r="F1766"/>
      <c r="G1766"/>
    </row>
    <row r="1767" spans="2:7">
      <c r="B1767"/>
      <c r="C1767"/>
      <c r="D1767"/>
      <c r="E1767"/>
      <c r="F1767"/>
      <c r="G1767"/>
    </row>
    <row r="1768" spans="2:7">
      <c r="B1768"/>
      <c r="C1768"/>
      <c r="D1768"/>
      <c r="E1768"/>
      <c r="F1768"/>
      <c r="G1768"/>
    </row>
    <row r="1769" spans="2:7">
      <c r="B1769"/>
      <c r="C1769"/>
      <c r="D1769"/>
      <c r="E1769"/>
      <c r="F1769"/>
      <c r="G1769"/>
    </row>
    <row r="1770" spans="2:7">
      <c r="B1770"/>
      <c r="C1770"/>
      <c r="D1770"/>
      <c r="E1770"/>
      <c r="F1770"/>
      <c r="G1770"/>
    </row>
    <row r="1771" spans="2:7">
      <c r="B1771"/>
      <c r="C1771"/>
      <c r="D1771"/>
      <c r="E1771"/>
      <c r="F1771"/>
      <c r="G1771"/>
    </row>
    <row r="1772" spans="2:7">
      <c r="B1772"/>
      <c r="C1772"/>
      <c r="D1772"/>
      <c r="E1772"/>
      <c r="F1772"/>
      <c r="G1772"/>
    </row>
    <row r="1773" spans="2:7">
      <c r="B1773"/>
      <c r="C1773"/>
      <c r="D1773"/>
      <c r="E1773"/>
      <c r="F1773"/>
      <c r="G1773"/>
    </row>
    <row r="1774" spans="2:7">
      <c r="B1774"/>
      <c r="C1774"/>
      <c r="D1774"/>
      <c r="E1774"/>
      <c r="F1774"/>
      <c r="G1774"/>
    </row>
    <row r="1775" spans="2:7">
      <c r="B1775"/>
      <c r="C1775"/>
      <c r="D1775"/>
      <c r="E1775"/>
      <c r="F1775"/>
      <c r="G1775"/>
    </row>
    <row r="1776" spans="2:7">
      <c r="B1776"/>
      <c r="C1776"/>
      <c r="D1776"/>
      <c r="E1776"/>
      <c r="F1776"/>
      <c r="G1776"/>
    </row>
    <row r="1777" spans="2:7">
      <c r="B1777"/>
      <c r="C1777"/>
      <c r="D1777"/>
      <c r="E1777"/>
      <c r="F1777"/>
      <c r="G1777"/>
    </row>
    <row r="1778" spans="2:7">
      <c r="B1778"/>
      <c r="C1778"/>
      <c r="D1778"/>
      <c r="E1778"/>
      <c r="F1778"/>
      <c r="G1778"/>
    </row>
    <row r="1779" spans="2:7">
      <c r="B1779"/>
      <c r="C1779"/>
      <c r="D1779"/>
      <c r="E1779"/>
      <c r="F1779"/>
      <c r="G1779"/>
    </row>
    <row r="1780" spans="2:7">
      <c r="B1780"/>
      <c r="C1780"/>
      <c r="D1780"/>
      <c r="E1780"/>
      <c r="F1780"/>
      <c r="G1780"/>
    </row>
    <row r="1781" spans="2:7">
      <c r="B1781"/>
      <c r="C1781"/>
      <c r="D1781"/>
      <c r="E1781"/>
      <c r="F1781"/>
      <c r="G1781"/>
    </row>
    <row r="1782" spans="2:7">
      <c r="B1782"/>
      <c r="C1782"/>
      <c r="D1782"/>
      <c r="E1782"/>
      <c r="F1782"/>
      <c r="G1782"/>
    </row>
    <row r="1783" spans="2:7">
      <c r="B1783"/>
      <c r="C1783"/>
      <c r="D1783"/>
      <c r="E1783"/>
      <c r="F1783"/>
      <c r="G1783"/>
    </row>
    <row r="1784" spans="2:7">
      <c r="B1784"/>
      <c r="C1784"/>
      <c r="D1784"/>
      <c r="E1784"/>
      <c r="F1784"/>
      <c r="G1784"/>
    </row>
    <row r="1785" spans="2:7">
      <c r="B1785"/>
      <c r="C1785"/>
      <c r="D1785"/>
      <c r="E1785"/>
      <c r="F1785"/>
      <c r="G1785"/>
    </row>
    <row r="1786" spans="2:7">
      <c r="B1786"/>
      <c r="C1786"/>
      <c r="D1786"/>
      <c r="E1786"/>
      <c r="F1786"/>
      <c r="G1786"/>
    </row>
    <row r="1787" spans="2:7">
      <c r="B1787"/>
      <c r="C1787"/>
      <c r="D1787"/>
      <c r="E1787"/>
      <c r="F1787"/>
      <c r="G1787"/>
    </row>
    <row r="1788" spans="2:7">
      <c r="B1788"/>
      <c r="C1788"/>
      <c r="D1788"/>
      <c r="E1788"/>
      <c r="F1788"/>
      <c r="G1788"/>
    </row>
    <row r="1789" spans="2:7">
      <c r="B1789"/>
      <c r="C1789"/>
      <c r="D1789"/>
      <c r="E1789"/>
      <c r="F1789"/>
      <c r="G1789"/>
    </row>
    <row r="1790" spans="2:7">
      <c r="B1790"/>
      <c r="C1790"/>
      <c r="D1790"/>
      <c r="E1790"/>
      <c r="F1790"/>
      <c r="G1790"/>
    </row>
    <row r="1791" spans="2:7">
      <c r="B1791"/>
      <c r="C1791"/>
      <c r="D1791"/>
      <c r="E1791"/>
      <c r="F1791"/>
      <c r="G1791"/>
    </row>
    <row r="1792" spans="2:7">
      <c r="B1792"/>
      <c r="C1792"/>
      <c r="D1792"/>
      <c r="E1792"/>
      <c r="F1792"/>
      <c r="G1792"/>
    </row>
    <row r="1793" spans="2:7">
      <c r="B1793"/>
      <c r="C1793"/>
      <c r="D1793"/>
      <c r="E1793"/>
      <c r="F1793"/>
      <c r="G1793"/>
    </row>
    <row r="1794" spans="2:7">
      <c r="B1794"/>
      <c r="C1794"/>
      <c r="D1794"/>
      <c r="E1794"/>
      <c r="F1794"/>
      <c r="G1794"/>
    </row>
    <row r="1795" spans="2:7">
      <c r="B1795"/>
      <c r="C1795"/>
      <c r="D1795"/>
      <c r="E1795"/>
      <c r="F1795"/>
      <c r="G1795"/>
    </row>
    <row r="1796" spans="2:7">
      <c r="B1796"/>
      <c r="C1796"/>
      <c r="D1796"/>
      <c r="E1796"/>
      <c r="F1796"/>
      <c r="G1796"/>
    </row>
    <row r="1797" spans="2:7">
      <c r="B1797"/>
      <c r="C1797"/>
      <c r="D1797"/>
      <c r="E1797"/>
      <c r="F1797"/>
      <c r="G1797"/>
    </row>
    <row r="1798" spans="2:7">
      <c r="B1798"/>
      <c r="C1798"/>
      <c r="D1798"/>
      <c r="E1798"/>
      <c r="F1798"/>
      <c r="G1798"/>
    </row>
    <row r="1799" spans="2:7">
      <c r="B1799"/>
      <c r="C1799"/>
      <c r="D1799"/>
      <c r="E1799"/>
      <c r="F1799"/>
      <c r="G1799"/>
    </row>
    <row r="1800" spans="2:7">
      <c r="B1800"/>
      <c r="C1800"/>
      <c r="D1800"/>
      <c r="E1800"/>
      <c r="F1800"/>
      <c r="G1800"/>
    </row>
    <row r="1801" spans="2:7">
      <c r="B1801"/>
      <c r="C1801"/>
      <c r="D1801"/>
      <c r="E1801"/>
      <c r="F1801"/>
      <c r="G1801"/>
    </row>
    <row r="1802" spans="2:7">
      <c r="B1802"/>
      <c r="C1802"/>
      <c r="D1802"/>
      <c r="E1802"/>
      <c r="F1802"/>
      <c r="G1802"/>
    </row>
    <row r="1803" spans="2:7">
      <c r="B1803"/>
      <c r="C1803"/>
      <c r="D1803"/>
      <c r="E1803"/>
      <c r="F1803"/>
      <c r="G1803"/>
    </row>
    <row r="1804" spans="2:7">
      <c r="B1804"/>
      <c r="C1804"/>
      <c r="D1804"/>
      <c r="E1804"/>
      <c r="F1804"/>
      <c r="G1804"/>
    </row>
    <row r="1805" spans="2:7">
      <c r="B1805"/>
      <c r="C1805"/>
      <c r="D1805"/>
      <c r="E1805"/>
      <c r="F1805"/>
      <c r="G1805"/>
    </row>
    <row r="1806" spans="2:7">
      <c r="B1806"/>
      <c r="C1806"/>
      <c r="D1806"/>
      <c r="E1806"/>
      <c r="F1806"/>
      <c r="G1806"/>
    </row>
    <row r="1807" spans="2:7">
      <c r="B1807"/>
      <c r="C1807"/>
      <c r="D1807"/>
      <c r="E1807"/>
      <c r="F1807"/>
      <c r="G1807"/>
    </row>
    <row r="1808" spans="2:7">
      <c r="B1808"/>
      <c r="C1808"/>
      <c r="D1808"/>
      <c r="E1808"/>
      <c r="F1808"/>
      <c r="G1808"/>
    </row>
    <row r="1809" spans="2:7">
      <c r="B1809"/>
      <c r="C1809"/>
      <c r="D1809"/>
      <c r="E1809"/>
      <c r="F1809"/>
      <c r="G1809"/>
    </row>
    <row r="1810" spans="2:7">
      <c r="B1810"/>
      <c r="C1810"/>
      <c r="D1810"/>
      <c r="E1810"/>
      <c r="F1810"/>
      <c r="G1810"/>
    </row>
    <row r="1811" spans="2:7">
      <c r="B1811"/>
      <c r="C1811"/>
      <c r="D1811"/>
      <c r="E1811"/>
      <c r="F1811"/>
      <c r="G1811"/>
    </row>
    <row r="1812" spans="2:7">
      <c r="B1812"/>
      <c r="C1812"/>
      <c r="D1812"/>
      <c r="E1812"/>
      <c r="F1812"/>
      <c r="G1812"/>
    </row>
    <row r="1813" spans="2:7">
      <c r="B1813"/>
      <c r="C1813"/>
      <c r="D1813"/>
      <c r="E1813"/>
      <c r="F1813"/>
      <c r="G1813"/>
    </row>
    <row r="1814" spans="2:7">
      <c r="B1814"/>
      <c r="C1814"/>
      <c r="D1814"/>
      <c r="E1814"/>
      <c r="F1814"/>
      <c r="G1814"/>
    </row>
    <row r="1815" spans="2:7">
      <c r="B1815"/>
      <c r="C1815"/>
      <c r="D1815"/>
      <c r="E1815"/>
      <c r="F1815"/>
      <c r="G1815"/>
    </row>
    <row r="1816" spans="2:7">
      <c r="B1816"/>
      <c r="C1816"/>
      <c r="D1816"/>
      <c r="E1816"/>
      <c r="F1816"/>
      <c r="G1816"/>
    </row>
    <row r="1817" spans="2:7">
      <c r="B1817"/>
      <c r="C1817"/>
      <c r="D1817"/>
      <c r="E1817"/>
      <c r="F1817"/>
      <c r="G1817"/>
    </row>
    <row r="1818" spans="2:7">
      <c r="B1818"/>
      <c r="C1818"/>
      <c r="D1818"/>
      <c r="E1818"/>
      <c r="F1818"/>
      <c r="G1818"/>
    </row>
    <row r="1819" spans="2:7">
      <c r="B1819"/>
      <c r="C1819"/>
      <c r="D1819"/>
      <c r="E1819"/>
      <c r="F1819"/>
      <c r="G1819"/>
    </row>
    <row r="1820" spans="2:7">
      <c r="B1820"/>
      <c r="C1820"/>
      <c r="D1820"/>
      <c r="E1820"/>
      <c r="F1820"/>
      <c r="G1820"/>
    </row>
    <row r="1821" spans="2:7">
      <c r="B1821"/>
      <c r="C1821"/>
      <c r="D1821"/>
      <c r="E1821"/>
      <c r="F1821"/>
      <c r="G1821"/>
    </row>
    <row r="1822" spans="2:7">
      <c r="B1822"/>
      <c r="C1822"/>
      <c r="D1822"/>
      <c r="E1822"/>
      <c r="F1822"/>
      <c r="G1822"/>
    </row>
    <row r="1823" spans="2:7">
      <c r="B1823"/>
      <c r="C1823"/>
      <c r="D1823"/>
      <c r="E1823"/>
      <c r="F1823"/>
      <c r="G1823"/>
    </row>
    <row r="1824" spans="2:7">
      <c r="B1824"/>
      <c r="C1824"/>
      <c r="D1824"/>
      <c r="E1824"/>
      <c r="F1824"/>
      <c r="G1824"/>
    </row>
    <row r="1825" spans="2:7">
      <c r="B1825"/>
      <c r="C1825"/>
      <c r="D1825"/>
      <c r="E1825"/>
      <c r="F1825"/>
      <c r="G1825"/>
    </row>
    <row r="1826" spans="2:7">
      <c r="B1826"/>
      <c r="C1826"/>
      <c r="D1826"/>
      <c r="E1826"/>
      <c r="F1826"/>
      <c r="G1826"/>
    </row>
    <row r="1827" spans="2:7">
      <c r="B1827"/>
      <c r="C1827"/>
      <c r="D1827"/>
      <c r="E1827"/>
      <c r="F1827"/>
      <c r="G1827"/>
    </row>
    <row r="1828" spans="2:7">
      <c r="B1828"/>
      <c r="C1828"/>
      <c r="D1828"/>
      <c r="E1828"/>
      <c r="F1828"/>
      <c r="G1828"/>
    </row>
    <row r="1829" spans="2:7">
      <c r="B1829"/>
      <c r="C1829"/>
      <c r="D1829"/>
      <c r="E1829"/>
      <c r="F1829"/>
      <c r="G1829"/>
    </row>
    <row r="1830" spans="2:7">
      <c r="B1830"/>
      <c r="C1830"/>
      <c r="D1830"/>
      <c r="E1830"/>
      <c r="F1830"/>
      <c r="G1830"/>
    </row>
    <row r="1831" spans="2:7">
      <c r="B1831"/>
      <c r="C1831"/>
      <c r="D1831"/>
      <c r="E1831"/>
      <c r="F1831"/>
      <c r="G1831"/>
    </row>
    <row r="1832" spans="2:7">
      <c r="B1832"/>
      <c r="C1832"/>
      <c r="D1832"/>
      <c r="E1832"/>
      <c r="F1832"/>
      <c r="G1832"/>
    </row>
    <row r="1833" spans="2:7">
      <c r="B1833"/>
      <c r="C1833"/>
      <c r="D1833"/>
      <c r="E1833"/>
      <c r="F1833"/>
      <c r="G1833"/>
    </row>
    <row r="1834" spans="2:7">
      <c r="B1834"/>
      <c r="C1834"/>
      <c r="D1834"/>
      <c r="E1834"/>
      <c r="F1834"/>
      <c r="G1834"/>
    </row>
    <row r="1835" spans="2:7">
      <c r="B1835"/>
      <c r="C1835"/>
      <c r="D1835"/>
      <c r="E1835"/>
      <c r="F1835"/>
      <c r="G1835"/>
    </row>
    <row r="1836" spans="2:7">
      <c r="B1836"/>
      <c r="C1836"/>
      <c r="D1836"/>
      <c r="E1836"/>
      <c r="F1836"/>
      <c r="G1836"/>
    </row>
    <row r="1837" spans="2:7">
      <c r="B1837"/>
      <c r="C1837"/>
      <c r="D1837"/>
      <c r="E1837"/>
      <c r="F1837"/>
      <c r="G1837"/>
    </row>
    <row r="1838" spans="2:7">
      <c r="B1838"/>
      <c r="C1838"/>
      <c r="D1838"/>
      <c r="E1838"/>
      <c r="F1838"/>
      <c r="G1838"/>
    </row>
    <row r="1839" spans="2:7">
      <c r="B1839"/>
      <c r="C1839"/>
      <c r="D1839"/>
      <c r="E1839"/>
      <c r="F1839"/>
      <c r="G1839"/>
    </row>
    <row r="1840" spans="2:7">
      <c r="B1840"/>
      <c r="C1840"/>
      <c r="D1840"/>
      <c r="E1840"/>
      <c r="F1840"/>
      <c r="G1840"/>
    </row>
    <row r="1841" spans="2:7">
      <c r="B1841"/>
      <c r="C1841"/>
      <c r="D1841"/>
      <c r="E1841"/>
      <c r="F1841"/>
      <c r="G1841"/>
    </row>
    <row r="1842" spans="2:7">
      <c r="B1842"/>
      <c r="C1842"/>
      <c r="D1842"/>
      <c r="E1842"/>
      <c r="F1842"/>
      <c r="G1842"/>
    </row>
    <row r="1843" spans="2:7">
      <c r="B1843"/>
      <c r="C1843"/>
      <c r="D1843"/>
      <c r="E1843"/>
      <c r="F1843"/>
      <c r="G1843"/>
    </row>
    <row r="1844" spans="2:7">
      <c r="B1844"/>
      <c r="C1844"/>
      <c r="D1844"/>
      <c r="E1844"/>
      <c r="F1844"/>
      <c r="G1844"/>
    </row>
    <row r="1845" spans="2:7">
      <c r="B1845"/>
      <c r="C1845"/>
      <c r="D1845"/>
      <c r="E1845"/>
      <c r="F1845"/>
      <c r="G1845"/>
    </row>
    <row r="1846" spans="2:7">
      <c r="B1846"/>
      <c r="C1846"/>
      <c r="D1846"/>
      <c r="E1846"/>
      <c r="F1846"/>
      <c r="G1846"/>
    </row>
    <row r="1847" spans="2:7">
      <c r="B1847"/>
      <c r="C1847"/>
      <c r="D1847"/>
      <c r="E1847"/>
      <c r="F1847"/>
      <c r="G1847"/>
    </row>
    <row r="1848" spans="2:7">
      <c r="B1848"/>
      <c r="C1848"/>
      <c r="D1848"/>
      <c r="E1848"/>
      <c r="F1848"/>
      <c r="G1848"/>
    </row>
    <row r="1849" spans="2:7">
      <c r="B1849"/>
      <c r="C1849"/>
      <c r="D1849"/>
      <c r="E1849"/>
      <c r="F1849"/>
      <c r="G1849"/>
    </row>
    <row r="1850" spans="2:7">
      <c r="B1850"/>
      <c r="C1850"/>
      <c r="D1850"/>
      <c r="E1850"/>
      <c r="F1850"/>
      <c r="G1850"/>
    </row>
    <row r="1851" spans="2:7">
      <c r="B1851"/>
      <c r="C1851"/>
      <c r="D1851"/>
      <c r="E1851"/>
      <c r="F1851"/>
      <c r="G1851"/>
    </row>
    <row r="1852" spans="2:7">
      <c r="B1852"/>
      <c r="C1852"/>
      <c r="D1852"/>
      <c r="E1852"/>
      <c r="F1852"/>
      <c r="G1852"/>
    </row>
    <row r="1853" spans="2:7">
      <c r="B1853"/>
      <c r="C1853"/>
      <c r="D1853"/>
      <c r="E1853"/>
      <c r="F1853"/>
      <c r="G1853"/>
    </row>
    <row r="1854" spans="2:7">
      <c r="B1854"/>
      <c r="C1854"/>
      <c r="D1854"/>
      <c r="E1854"/>
      <c r="F1854"/>
      <c r="G1854"/>
    </row>
    <row r="1855" spans="2:7">
      <c r="B1855"/>
      <c r="C1855"/>
      <c r="D1855"/>
      <c r="E1855"/>
      <c r="F1855"/>
      <c r="G1855"/>
    </row>
    <row r="1856" spans="2:7">
      <c r="B1856"/>
      <c r="C1856"/>
      <c r="D1856"/>
      <c r="E1856"/>
      <c r="F1856"/>
      <c r="G1856"/>
    </row>
    <row r="1857" spans="2:7">
      <c r="B1857"/>
      <c r="C1857"/>
      <c r="D1857"/>
      <c r="E1857"/>
      <c r="F1857"/>
      <c r="G1857"/>
    </row>
    <row r="1858" spans="2:7">
      <c r="B1858"/>
      <c r="C1858"/>
      <c r="D1858"/>
      <c r="E1858"/>
      <c r="F1858"/>
      <c r="G1858"/>
    </row>
    <row r="1859" spans="2:7">
      <c r="B1859"/>
      <c r="C1859"/>
      <c r="D1859"/>
      <c r="E1859"/>
      <c r="F1859"/>
      <c r="G1859"/>
    </row>
    <row r="1860" spans="2:7">
      <c r="B1860"/>
      <c r="C1860"/>
      <c r="D1860"/>
      <c r="E1860"/>
      <c r="F1860"/>
      <c r="G1860"/>
    </row>
    <row r="1861" spans="2:7">
      <c r="B1861"/>
      <c r="C1861"/>
      <c r="D1861"/>
      <c r="E1861"/>
      <c r="F1861"/>
      <c r="G1861"/>
    </row>
    <row r="1862" spans="2:7">
      <c r="B1862"/>
      <c r="C1862"/>
      <c r="D1862"/>
      <c r="E1862"/>
      <c r="F1862"/>
      <c r="G1862"/>
    </row>
    <row r="1863" spans="2:7">
      <c r="B1863"/>
      <c r="C1863"/>
      <c r="D1863"/>
      <c r="E1863"/>
      <c r="F1863"/>
      <c r="G1863"/>
    </row>
    <row r="1864" spans="2:7">
      <c r="B1864"/>
      <c r="C1864"/>
      <c r="D1864"/>
      <c r="E1864"/>
      <c r="F1864"/>
      <c r="G1864"/>
    </row>
    <row r="1865" spans="2:7">
      <c r="B1865"/>
      <c r="C1865"/>
      <c r="D1865"/>
      <c r="E1865"/>
      <c r="F1865"/>
      <c r="G1865"/>
    </row>
    <row r="1866" spans="2:7">
      <c r="B1866"/>
      <c r="C1866"/>
      <c r="D1866"/>
      <c r="E1866"/>
      <c r="F1866"/>
      <c r="G1866"/>
    </row>
    <row r="1867" spans="2:7">
      <c r="B1867"/>
      <c r="C1867"/>
      <c r="D1867"/>
      <c r="E1867"/>
      <c r="F1867"/>
      <c r="G1867"/>
    </row>
    <row r="1868" spans="2:7">
      <c r="B1868"/>
      <c r="C1868"/>
      <c r="D1868"/>
      <c r="E1868"/>
      <c r="F1868"/>
      <c r="G1868"/>
    </row>
    <row r="1869" spans="2:7">
      <c r="B1869"/>
      <c r="C1869"/>
      <c r="D1869"/>
      <c r="E1869"/>
      <c r="F1869"/>
      <c r="G1869"/>
    </row>
    <row r="1870" spans="2:7">
      <c r="B1870"/>
      <c r="C1870"/>
      <c r="D1870"/>
      <c r="E1870"/>
      <c r="F1870"/>
      <c r="G1870"/>
    </row>
    <row r="1871" spans="2:7">
      <c r="B1871"/>
      <c r="C1871"/>
      <c r="D1871"/>
      <c r="E1871"/>
      <c r="F1871"/>
      <c r="G1871"/>
    </row>
    <row r="1872" spans="2:7">
      <c r="B1872"/>
      <c r="C1872"/>
      <c r="D1872"/>
      <c r="E1872"/>
      <c r="F1872"/>
      <c r="G1872"/>
    </row>
    <row r="1873" spans="2:7">
      <c r="B1873"/>
      <c r="C1873"/>
      <c r="D1873"/>
      <c r="E1873"/>
      <c r="F1873"/>
      <c r="G1873"/>
    </row>
    <row r="1874" spans="2:7">
      <c r="B1874"/>
      <c r="C1874"/>
      <c r="D1874"/>
      <c r="E1874"/>
      <c r="F1874"/>
      <c r="G1874"/>
    </row>
    <row r="1875" spans="2:7">
      <c r="B1875"/>
      <c r="C1875"/>
      <c r="D1875"/>
      <c r="E1875"/>
      <c r="F1875"/>
      <c r="G1875"/>
    </row>
    <row r="1876" spans="2:7">
      <c r="B1876"/>
      <c r="C1876"/>
      <c r="D1876"/>
      <c r="E1876"/>
      <c r="F1876"/>
      <c r="G1876"/>
    </row>
    <row r="1877" spans="2:7">
      <c r="B1877"/>
      <c r="C1877"/>
      <c r="D1877"/>
      <c r="E1877"/>
      <c r="F1877"/>
      <c r="G1877"/>
    </row>
    <row r="1878" spans="2:7">
      <c r="B1878"/>
      <c r="C1878"/>
      <c r="D1878"/>
      <c r="E1878"/>
      <c r="F1878"/>
      <c r="G1878"/>
    </row>
    <row r="1879" spans="2:7">
      <c r="B1879"/>
      <c r="C1879"/>
      <c r="D1879"/>
      <c r="E1879"/>
      <c r="F1879"/>
      <c r="G1879"/>
    </row>
    <row r="1880" spans="2:7">
      <c r="B1880"/>
      <c r="C1880"/>
      <c r="D1880"/>
      <c r="E1880"/>
      <c r="F1880"/>
      <c r="G1880"/>
    </row>
    <row r="1881" spans="2:7">
      <c r="B1881"/>
      <c r="C1881"/>
      <c r="D1881"/>
      <c r="E1881"/>
      <c r="F1881"/>
      <c r="G1881"/>
    </row>
    <row r="1882" spans="2:7">
      <c r="B1882"/>
      <c r="C1882"/>
      <c r="D1882"/>
      <c r="E1882"/>
      <c r="F1882"/>
      <c r="G1882"/>
    </row>
    <row r="1883" spans="2:7">
      <c r="B1883"/>
      <c r="C1883"/>
      <c r="D1883"/>
      <c r="E1883"/>
      <c r="F1883"/>
      <c r="G1883"/>
    </row>
    <row r="1884" spans="2:7">
      <c r="B1884"/>
      <c r="C1884"/>
      <c r="D1884"/>
      <c r="E1884"/>
      <c r="F1884"/>
      <c r="G1884"/>
    </row>
    <row r="1885" spans="2:7">
      <c r="B1885"/>
      <c r="C1885"/>
      <c r="D1885"/>
      <c r="E1885"/>
      <c r="F1885"/>
      <c r="G1885"/>
    </row>
    <row r="1886" spans="2:7">
      <c r="B1886"/>
      <c r="C1886"/>
      <c r="D1886"/>
      <c r="E1886"/>
      <c r="F1886"/>
      <c r="G1886"/>
    </row>
    <row r="1887" spans="2:7">
      <c r="B1887"/>
      <c r="C1887"/>
      <c r="D1887"/>
      <c r="E1887"/>
      <c r="F1887"/>
      <c r="G1887"/>
    </row>
    <row r="1888" spans="2:7">
      <c r="B1888"/>
      <c r="C1888"/>
      <c r="D1888"/>
      <c r="E1888"/>
      <c r="F1888"/>
      <c r="G1888"/>
    </row>
    <row r="1889" spans="2:7">
      <c r="B1889"/>
      <c r="C1889"/>
      <c r="D1889"/>
      <c r="E1889"/>
      <c r="F1889"/>
      <c r="G1889"/>
    </row>
    <row r="1890" spans="2:7">
      <c r="B1890"/>
      <c r="C1890"/>
      <c r="D1890"/>
      <c r="E1890"/>
      <c r="F1890"/>
      <c r="G1890"/>
    </row>
    <row r="1891" spans="2:7">
      <c r="B1891"/>
      <c r="C1891"/>
      <c r="D1891"/>
      <c r="E1891"/>
      <c r="F1891"/>
      <c r="G1891"/>
    </row>
    <row r="1892" spans="2:7">
      <c r="B1892"/>
      <c r="C1892"/>
      <c r="D1892"/>
      <c r="E1892"/>
      <c r="F1892"/>
      <c r="G1892"/>
    </row>
    <row r="1893" spans="2:7">
      <c r="B1893"/>
      <c r="C1893"/>
      <c r="D1893"/>
      <c r="E1893"/>
      <c r="F1893"/>
      <c r="G1893"/>
    </row>
    <row r="1894" spans="2:7">
      <c r="B1894"/>
      <c r="C1894"/>
      <c r="D1894"/>
      <c r="E1894"/>
      <c r="F1894"/>
      <c r="G1894"/>
    </row>
    <row r="1895" spans="2:7">
      <c r="B1895"/>
      <c r="C1895"/>
      <c r="D1895"/>
      <c r="E1895"/>
      <c r="F1895"/>
      <c r="G1895"/>
    </row>
    <row r="1896" spans="2:7">
      <c r="B1896"/>
      <c r="C1896"/>
      <c r="D1896"/>
      <c r="E1896"/>
      <c r="F1896"/>
      <c r="G1896"/>
    </row>
    <row r="1897" spans="2:7">
      <c r="B1897"/>
      <c r="C1897"/>
      <c r="D1897"/>
      <c r="E1897"/>
      <c r="F1897"/>
      <c r="G1897"/>
    </row>
    <row r="1898" spans="2:7">
      <c r="B1898"/>
      <c r="C1898"/>
      <c r="D1898"/>
      <c r="E1898"/>
      <c r="F1898"/>
      <c r="G1898"/>
    </row>
    <row r="1899" spans="2:7">
      <c r="B1899"/>
      <c r="C1899"/>
      <c r="D1899"/>
      <c r="E1899"/>
      <c r="F1899"/>
      <c r="G1899"/>
    </row>
    <row r="1900" spans="2:7">
      <c r="B1900"/>
      <c r="C1900"/>
      <c r="D1900"/>
      <c r="E1900"/>
      <c r="F1900"/>
      <c r="G1900"/>
    </row>
    <row r="1901" spans="2:7">
      <c r="B1901"/>
      <c r="C1901"/>
      <c r="D1901"/>
      <c r="E1901"/>
      <c r="F1901"/>
      <c r="G1901"/>
    </row>
    <row r="1902" spans="2:7">
      <c r="B1902"/>
      <c r="C1902"/>
      <c r="D1902"/>
      <c r="E1902"/>
      <c r="F1902"/>
      <c r="G1902"/>
    </row>
    <row r="1903" spans="2:7">
      <c r="B1903"/>
      <c r="C1903"/>
      <c r="D1903"/>
      <c r="E1903"/>
      <c r="F1903"/>
      <c r="G1903"/>
    </row>
    <row r="1904" spans="2:7">
      <c r="B1904"/>
      <c r="C1904"/>
      <c r="D1904"/>
      <c r="E1904"/>
      <c r="F1904"/>
      <c r="G1904"/>
    </row>
    <row r="1905" spans="2:7">
      <c r="B1905"/>
      <c r="C1905"/>
      <c r="D1905"/>
      <c r="E1905"/>
      <c r="F1905"/>
      <c r="G1905"/>
    </row>
    <row r="1906" spans="2:7">
      <c r="B1906"/>
      <c r="C1906"/>
      <c r="D1906"/>
      <c r="E1906"/>
      <c r="F1906"/>
      <c r="G1906"/>
    </row>
    <row r="1907" spans="2:7">
      <c r="B1907"/>
      <c r="C1907"/>
      <c r="D1907"/>
      <c r="E1907"/>
      <c r="F1907"/>
      <c r="G1907"/>
    </row>
    <row r="1908" spans="2:7">
      <c r="B1908"/>
      <c r="C1908"/>
      <c r="D1908"/>
      <c r="E1908"/>
      <c r="F1908"/>
      <c r="G1908"/>
    </row>
    <row r="1909" spans="2:7">
      <c r="B1909"/>
      <c r="C1909"/>
      <c r="D1909"/>
      <c r="E1909"/>
      <c r="F1909"/>
      <c r="G1909"/>
    </row>
    <row r="1910" spans="2:7">
      <c r="B1910"/>
      <c r="C1910"/>
      <c r="D1910"/>
      <c r="E1910"/>
      <c r="F1910"/>
      <c r="G1910"/>
    </row>
    <row r="1911" spans="2:7">
      <c r="B1911"/>
      <c r="C1911"/>
      <c r="D1911"/>
      <c r="E1911"/>
      <c r="F1911"/>
      <c r="G1911"/>
    </row>
    <row r="1912" spans="2:7">
      <c r="B1912"/>
      <c r="C1912"/>
      <c r="D1912"/>
      <c r="E1912"/>
      <c r="F1912"/>
      <c r="G1912"/>
    </row>
    <row r="1913" spans="2:7">
      <c r="B1913"/>
      <c r="C1913"/>
      <c r="D1913"/>
      <c r="E1913"/>
      <c r="F1913"/>
      <c r="G1913"/>
    </row>
    <row r="1914" spans="2:7">
      <c r="B1914"/>
      <c r="C1914"/>
      <c r="D1914"/>
      <c r="E1914"/>
      <c r="F1914"/>
      <c r="G1914"/>
    </row>
    <row r="1915" spans="2:7">
      <c r="B1915"/>
      <c r="C1915"/>
      <c r="D1915"/>
      <c r="E1915"/>
      <c r="F1915"/>
      <c r="G1915"/>
    </row>
    <row r="1916" spans="2:7">
      <c r="B1916"/>
      <c r="C1916"/>
      <c r="D1916"/>
      <c r="E1916"/>
      <c r="F1916"/>
      <c r="G1916"/>
    </row>
    <row r="1917" spans="2:7">
      <c r="B1917"/>
      <c r="C1917"/>
      <c r="D1917"/>
      <c r="E1917"/>
      <c r="F1917"/>
      <c r="G1917"/>
    </row>
    <row r="1918" spans="2:7">
      <c r="B1918"/>
      <c r="C1918"/>
      <c r="D1918"/>
      <c r="E1918"/>
      <c r="F1918"/>
      <c r="G1918"/>
    </row>
    <row r="1919" spans="2:7">
      <c r="B1919"/>
      <c r="C1919"/>
      <c r="D1919"/>
      <c r="E1919"/>
      <c r="F1919"/>
      <c r="G1919"/>
    </row>
    <row r="1920" spans="2:7">
      <c r="B1920"/>
      <c r="C1920"/>
      <c r="D1920"/>
      <c r="E1920"/>
      <c r="F1920"/>
      <c r="G1920"/>
    </row>
    <row r="1921" spans="2:7">
      <c r="B1921"/>
      <c r="C1921"/>
      <c r="D1921"/>
      <c r="E1921"/>
      <c r="F1921"/>
      <c r="G1921"/>
    </row>
    <row r="1922" spans="2:7">
      <c r="B1922"/>
      <c r="C1922"/>
      <c r="D1922"/>
      <c r="E1922"/>
      <c r="F1922"/>
      <c r="G1922"/>
    </row>
    <row r="1923" spans="2:7">
      <c r="B1923"/>
      <c r="C1923"/>
      <c r="D1923"/>
      <c r="E1923"/>
      <c r="F1923"/>
      <c r="G1923"/>
    </row>
    <row r="1924" spans="2:7">
      <c r="B1924"/>
      <c r="C1924"/>
      <c r="D1924"/>
      <c r="E1924"/>
      <c r="F1924"/>
      <c r="G1924"/>
    </row>
    <row r="1925" spans="2:7">
      <c r="B1925"/>
      <c r="C1925"/>
      <c r="D1925"/>
      <c r="E1925"/>
      <c r="F1925"/>
      <c r="G1925"/>
    </row>
    <row r="1926" spans="2:7">
      <c r="B1926"/>
      <c r="C1926"/>
      <c r="D1926"/>
      <c r="E1926"/>
      <c r="F1926"/>
      <c r="G1926"/>
    </row>
    <row r="1927" spans="2:7">
      <c r="B1927"/>
      <c r="C1927"/>
      <c r="D1927"/>
      <c r="E1927"/>
      <c r="F1927"/>
      <c r="G1927"/>
    </row>
    <row r="1928" spans="2:7">
      <c r="B1928"/>
      <c r="C1928"/>
      <c r="D1928"/>
      <c r="E1928"/>
      <c r="F1928"/>
      <c r="G1928"/>
    </row>
    <row r="1929" spans="2:7">
      <c r="B1929"/>
      <c r="C1929"/>
      <c r="D1929"/>
      <c r="E1929"/>
      <c r="F1929"/>
      <c r="G1929"/>
    </row>
    <row r="1930" spans="2:7">
      <c r="B1930"/>
      <c r="C1930"/>
      <c r="D1930"/>
      <c r="E1930"/>
      <c r="F1930"/>
      <c r="G1930"/>
    </row>
    <row r="1931" spans="2:7">
      <c r="B1931"/>
      <c r="C1931"/>
      <c r="D1931"/>
      <c r="E1931"/>
      <c r="F1931"/>
      <c r="G1931"/>
    </row>
    <row r="1932" spans="2:7">
      <c r="B1932"/>
      <c r="C1932"/>
      <c r="D1932"/>
      <c r="E1932"/>
      <c r="F1932"/>
      <c r="G1932"/>
    </row>
    <row r="1933" spans="2:7">
      <c r="B1933"/>
      <c r="C1933"/>
      <c r="D1933"/>
      <c r="E1933"/>
      <c r="F1933"/>
      <c r="G1933"/>
    </row>
    <row r="1934" spans="2:7">
      <c r="B1934"/>
      <c r="C1934"/>
      <c r="D1934"/>
      <c r="E1934"/>
      <c r="F1934"/>
      <c r="G1934"/>
    </row>
    <row r="1935" spans="2:7">
      <c r="B1935"/>
      <c r="C1935"/>
      <c r="D1935"/>
      <c r="E1935"/>
      <c r="F1935"/>
      <c r="G1935"/>
    </row>
    <row r="1936" spans="2:7">
      <c r="B1936"/>
      <c r="C1936"/>
      <c r="D1936"/>
      <c r="E1936"/>
      <c r="F1936"/>
      <c r="G1936"/>
    </row>
    <row r="1937" spans="2:7">
      <c r="B1937"/>
      <c r="C1937"/>
      <c r="D1937"/>
      <c r="E1937"/>
      <c r="F1937"/>
      <c r="G1937"/>
    </row>
    <row r="1938" spans="2:7">
      <c r="B1938"/>
      <c r="C1938"/>
      <c r="D1938"/>
      <c r="E1938"/>
      <c r="F1938"/>
      <c r="G1938"/>
    </row>
    <row r="1939" spans="2:7">
      <c r="B1939"/>
      <c r="C1939"/>
      <c r="D1939"/>
      <c r="E1939"/>
      <c r="F1939"/>
      <c r="G1939"/>
    </row>
    <row r="1940" spans="2:7">
      <c r="B1940"/>
      <c r="C1940"/>
      <c r="D1940"/>
      <c r="E1940"/>
      <c r="F1940"/>
      <c r="G1940"/>
    </row>
    <row r="1941" spans="2:7">
      <c r="B1941"/>
      <c r="C1941"/>
      <c r="D1941"/>
      <c r="E1941"/>
      <c r="F1941"/>
      <c r="G1941"/>
    </row>
    <row r="1942" spans="2:7">
      <c r="B1942"/>
      <c r="C1942"/>
      <c r="D1942"/>
      <c r="E1942"/>
      <c r="F1942"/>
      <c r="G1942"/>
    </row>
    <row r="1943" spans="2:7">
      <c r="B1943"/>
      <c r="C1943"/>
      <c r="D1943"/>
      <c r="E1943"/>
      <c r="F1943"/>
      <c r="G1943"/>
    </row>
    <row r="1944" spans="2:7">
      <c r="B1944"/>
      <c r="C1944"/>
      <c r="D1944"/>
      <c r="E1944"/>
      <c r="F1944"/>
      <c r="G1944"/>
    </row>
    <row r="1945" spans="2:7">
      <c r="B1945"/>
      <c r="C1945"/>
      <c r="D1945"/>
      <c r="E1945"/>
      <c r="F1945"/>
      <c r="G1945"/>
    </row>
    <row r="1946" spans="2:7">
      <c r="B1946"/>
      <c r="C1946"/>
      <c r="D1946"/>
      <c r="E1946"/>
      <c r="F1946"/>
      <c r="G1946"/>
    </row>
    <row r="1947" spans="2:7">
      <c r="B1947"/>
      <c r="C1947"/>
      <c r="D1947"/>
      <c r="E1947"/>
      <c r="F1947"/>
      <c r="G1947"/>
    </row>
    <row r="1948" spans="2:7">
      <c r="B1948"/>
      <c r="C1948"/>
      <c r="D1948"/>
      <c r="E1948"/>
      <c r="F1948"/>
      <c r="G1948"/>
    </row>
    <row r="1949" spans="2:7">
      <c r="B1949"/>
      <c r="C1949"/>
      <c r="D1949"/>
      <c r="E1949"/>
      <c r="F1949"/>
      <c r="G1949"/>
    </row>
    <row r="1950" spans="2:7">
      <c r="B1950"/>
      <c r="C1950"/>
      <c r="D1950"/>
      <c r="E1950"/>
      <c r="F1950"/>
      <c r="G1950"/>
    </row>
    <row r="1951" spans="2:7">
      <c r="B1951"/>
      <c r="C1951"/>
      <c r="D1951"/>
      <c r="E1951"/>
      <c r="F1951"/>
      <c r="G1951"/>
    </row>
    <row r="1952" spans="2:7">
      <c r="B1952"/>
      <c r="C1952"/>
      <c r="D1952"/>
      <c r="E1952"/>
      <c r="F1952"/>
      <c r="G1952"/>
    </row>
    <row r="1953" spans="2:7">
      <c r="B1953"/>
      <c r="C1953"/>
      <c r="D1953"/>
      <c r="E1953"/>
      <c r="F1953"/>
      <c r="G1953"/>
    </row>
    <row r="1954" spans="2:7">
      <c r="B1954"/>
      <c r="C1954"/>
      <c r="D1954"/>
      <c r="E1954"/>
      <c r="F1954"/>
      <c r="G1954"/>
    </row>
    <row r="1955" spans="2:7">
      <c r="B1955"/>
      <c r="C1955"/>
      <c r="D1955"/>
      <c r="E1955"/>
      <c r="F1955"/>
      <c r="G1955"/>
    </row>
    <row r="1956" spans="2:7">
      <c r="B1956"/>
      <c r="C1956"/>
      <c r="D1956"/>
      <c r="E1956"/>
      <c r="F1956"/>
      <c r="G1956"/>
    </row>
    <row r="1957" spans="2:7">
      <c r="B1957"/>
      <c r="C1957"/>
      <c r="D1957"/>
      <c r="E1957"/>
      <c r="F1957"/>
      <c r="G1957"/>
    </row>
    <row r="1958" spans="2:7">
      <c r="B1958"/>
      <c r="C1958"/>
      <c r="D1958"/>
      <c r="E1958"/>
      <c r="F1958"/>
      <c r="G1958"/>
    </row>
    <row r="1959" spans="2:7">
      <c r="B1959"/>
      <c r="C1959"/>
      <c r="D1959"/>
      <c r="E1959"/>
      <c r="F1959"/>
      <c r="G1959"/>
    </row>
    <row r="1960" spans="2:7">
      <c r="B1960"/>
      <c r="C1960"/>
      <c r="D1960"/>
      <c r="E1960"/>
      <c r="F1960"/>
      <c r="G1960"/>
    </row>
    <row r="1961" spans="2:7">
      <c r="B1961"/>
      <c r="C1961"/>
      <c r="D1961"/>
      <c r="E1961"/>
      <c r="F1961"/>
      <c r="G1961"/>
    </row>
    <row r="1962" spans="2:7">
      <c r="B1962"/>
      <c r="C1962"/>
      <c r="D1962"/>
      <c r="E1962"/>
      <c r="F1962"/>
      <c r="G1962"/>
    </row>
    <row r="1963" spans="2:7">
      <c r="B1963"/>
      <c r="C1963"/>
      <c r="D1963"/>
      <c r="E1963"/>
      <c r="F1963"/>
      <c r="G1963"/>
    </row>
    <row r="1964" spans="2:7">
      <c r="B1964"/>
      <c r="C1964"/>
      <c r="D1964"/>
      <c r="E1964"/>
      <c r="F1964"/>
      <c r="G1964"/>
    </row>
    <row r="1965" spans="2:7">
      <c r="B1965"/>
      <c r="C1965"/>
      <c r="D1965"/>
      <c r="E1965"/>
      <c r="F1965"/>
      <c r="G1965"/>
    </row>
    <row r="1966" spans="2:7">
      <c r="B1966"/>
      <c r="C1966"/>
      <c r="D1966"/>
      <c r="E1966"/>
      <c r="F1966"/>
      <c r="G1966"/>
    </row>
    <row r="1967" spans="2:7">
      <c r="B1967"/>
      <c r="C1967"/>
      <c r="D1967"/>
      <c r="E1967"/>
      <c r="F1967"/>
      <c r="G1967"/>
    </row>
    <row r="1968" spans="2:7">
      <c r="B1968"/>
      <c r="C1968"/>
      <c r="D1968"/>
      <c r="E1968"/>
      <c r="F1968"/>
      <c r="G1968"/>
    </row>
    <row r="1969" spans="2:7">
      <c r="B1969"/>
      <c r="C1969"/>
      <c r="D1969"/>
      <c r="E1969"/>
      <c r="F1969"/>
      <c r="G1969"/>
    </row>
    <row r="1970" spans="2:7">
      <c r="B1970"/>
      <c r="C1970"/>
      <c r="D1970"/>
      <c r="E1970"/>
      <c r="F1970"/>
      <c r="G1970"/>
    </row>
    <row r="1971" spans="2:7">
      <c r="B1971"/>
      <c r="C1971"/>
      <c r="D1971"/>
      <c r="E1971"/>
      <c r="F1971"/>
      <c r="G1971"/>
    </row>
    <row r="1972" spans="2:7">
      <c r="B1972"/>
      <c r="C1972"/>
      <c r="D1972"/>
      <c r="E1972"/>
      <c r="F1972"/>
      <c r="G1972"/>
    </row>
    <row r="1973" spans="2:7">
      <c r="B1973"/>
      <c r="C1973"/>
      <c r="D1973"/>
      <c r="E1973"/>
      <c r="F1973"/>
      <c r="G1973"/>
    </row>
    <row r="1974" spans="2:7">
      <c r="B1974"/>
      <c r="C1974"/>
      <c r="D1974"/>
      <c r="E1974"/>
      <c r="F1974"/>
      <c r="G1974"/>
    </row>
    <row r="1975" spans="2:7">
      <c r="B1975"/>
      <c r="C1975"/>
      <c r="D1975"/>
      <c r="E1975"/>
      <c r="F1975"/>
      <c r="G1975"/>
    </row>
    <row r="1976" spans="2:7">
      <c r="B1976"/>
      <c r="C1976"/>
      <c r="D1976"/>
      <c r="E1976"/>
      <c r="F1976"/>
      <c r="G1976"/>
    </row>
    <row r="1977" spans="2:7">
      <c r="B1977"/>
      <c r="C1977"/>
      <c r="D1977"/>
      <c r="E1977"/>
      <c r="F1977"/>
      <c r="G1977"/>
    </row>
    <row r="1978" spans="2:7">
      <c r="B1978"/>
      <c r="C1978"/>
      <c r="D1978"/>
      <c r="E1978"/>
      <c r="F1978"/>
      <c r="G1978"/>
    </row>
    <row r="1979" spans="2:7">
      <c r="B1979"/>
      <c r="C1979"/>
      <c r="D1979"/>
      <c r="E1979"/>
      <c r="F1979"/>
      <c r="G1979"/>
    </row>
    <row r="1980" spans="2:7">
      <c r="B1980"/>
      <c r="C1980"/>
      <c r="D1980"/>
      <c r="E1980"/>
      <c r="F1980"/>
      <c r="G1980"/>
    </row>
    <row r="1981" spans="2:7">
      <c r="B1981"/>
      <c r="C1981"/>
      <c r="D1981"/>
      <c r="E1981"/>
      <c r="F1981"/>
      <c r="G1981"/>
    </row>
    <row r="1982" spans="2:7">
      <c r="B1982"/>
      <c r="C1982"/>
      <c r="D1982"/>
      <c r="E1982"/>
      <c r="F1982"/>
      <c r="G1982"/>
    </row>
    <row r="1983" spans="2:7">
      <c r="B1983"/>
      <c r="C1983"/>
      <c r="D1983"/>
      <c r="E1983"/>
      <c r="F1983"/>
      <c r="G1983"/>
    </row>
    <row r="1984" spans="2:7">
      <c r="B1984"/>
      <c r="C1984"/>
      <c r="D1984"/>
      <c r="E1984"/>
      <c r="F1984"/>
      <c r="G1984"/>
    </row>
    <row r="1985" spans="2:7">
      <c r="B1985"/>
      <c r="C1985"/>
      <c r="D1985"/>
      <c r="E1985"/>
      <c r="F1985"/>
      <c r="G1985"/>
    </row>
    <row r="1986" spans="2:7">
      <c r="B1986"/>
      <c r="C1986"/>
      <c r="D1986"/>
      <c r="E1986"/>
      <c r="F1986"/>
      <c r="G1986"/>
    </row>
    <row r="1987" spans="2:7">
      <c r="B1987"/>
      <c r="C1987"/>
      <c r="D1987"/>
      <c r="E1987"/>
      <c r="F1987"/>
      <c r="G1987"/>
    </row>
    <row r="1988" spans="2:7">
      <c r="B1988"/>
      <c r="C1988"/>
      <c r="D1988"/>
      <c r="E1988"/>
      <c r="F1988"/>
      <c r="G1988"/>
    </row>
    <row r="1989" spans="2:7">
      <c r="B1989"/>
      <c r="C1989"/>
      <c r="D1989"/>
      <c r="E1989"/>
      <c r="F1989"/>
      <c r="G1989"/>
    </row>
    <row r="1990" spans="2:7">
      <c r="B1990"/>
      <c r="C1990"/>
      <c r="D1990"/>
      <c r="E1990"/>
      <c r="F1990"/>
      <c r="G1990"/>
    </row>
    <row r="1991" spans="2:7">
      <c r="B1991"/>
      <c r="C1991"/>
      <c r="D1991"/>
      <c r="E1991"/>
      <c r="F1991"/>
      <c r="G1991"/>
    </row>
    <row r="1992" spans="2:7">
      <c r="B1992"/>
      <c r="C1992"/>
      <c r="D1992"/>
      <c r="E1992"/>
      <c r="F1992"/>
      <c r="G1992"/>
    </row>
    <row r="1993" spans="2:7">
      <c r="B1993"/>
      <c r="C1993"/>
      <c r="D1993"/>
      <c r="E1993"/>
      <c r="F1993"/>
      <c r="G1993"/>
    </row>
    <row r="1994" spans="2:7">
      <c r="B1994"/>
      <c r="C1994"/>
      <c r="D1994"/>
      <c r="E1994"/>
      <c r="F1994"/>
      <c r="G1994"/>
    </row>
    <row r="1995" spans="2:7">
      <c r="B1995"/>
      <c r="C1995"/>
      <c r="D1995"/>
      <c r="E1995"/>
      <c r="F1995"/>
      <c r="G1995"/>
    </row>
    <row r="1996" spans="2:7">
      <c r="B1996"/>
      <c r="C1996"/>
      <c r="D1996"/>
      <c r="E1996"/>
      <c r="F1996"/>
      <c r="G1996"/>
    </row>
    <row r="1997" spans="2:7">
      <c r="B1997"/>
      <c r="C1997"/>
      <c r="D1997"/>
      <c r="E1997"/>
      <c r="F1997"/>
      <c r="G1997"/>
    </row>
    <row r="1998" spans="2:7">
      <c r="B1998"/>
      <c r="C1998"/>
      <c r="D1998"/>
      <c r="E1998"/>
      <c r="F1998"/>
      <c r="G1998"/>
    </row>
    <row r="1999" spans="2:7">
      <c r="B1999"/>
      <c r="C1999"/>
      <c r="D1999"/>
      <c r="E1999"/>
      <c r="F1999"/>
      <c r="G1999"/>
    </row>
    <row r="2000" spans="2:7">
      <c r="B2000"/>
      <c r="C2000"/>
      <c r="D2000"/>
      <c r="E2000"/>
      <c r="F2000"/>
      <c r="G2000"/>
    </row>
    <row r="2001" spans="2:7">
      <c r="B2001"/>
      <c r="C2001"/>
      <c r="D2001"/>
      <c r="E2001"/>
      <c r="F2001"/>
      <c r="G2001"/>
    </row>
    <row r="2002" spans="2:7">
      <c r="B2002"/>
      <c r="C2002"/>
      <c r="D2002"/>
      <c r="E2002"/>
      <c r="F2002"/>
      <c r="G2002"/>
    </row>
    <row r="2003" spans="2:7">
      <c r="B2003"/>
      <c r="C2003"/>
      <c r="D2003"/>
      <c r="E2003"/>
      <c r="F2003"/>
      <c r="G2003"/>
    </row>
    <row r="2004" spans="2:7">
      <c r="B2004"/>
      <c r="C2004"/>
      <c r="D2004"/>
      <c r="E2004"/>
      <c r="F2004"/>
      <c r="G2004"/>
    </row>
    <row r="2005" spans="2:7">
      <c r="B2005"/>
      <c r="C2005"/>
      <c r="D2005"/>
      <c r="E2005"/>
      <c r="F2005"/>
      <c r="G2005"/>
    </row>
    <row r="2006" spans="2:7">
      <c r="B2006"/>
      <c r="C2006"/>
      <c r="D2006"/>
      <c r="E2006"/>
      <c r="F2006"/>
      <c r="G2006"/>
    </row>
    <row r="2007" spans="2:7">
      <c r="B2007"/>
      <c r="C2007"/>
      <c r="D2007"/>
      <c r="E2007"/>
      <c r="F2007"/>
      <c r="G2007"/>
    </row>
    <row r="2008" spans="2:7">
      <c r="B2008"/>
      <c r="C2008"/>
      <c r="D2008"/>
      <c r="E2008"/>
      <c r="F2008"/>
      <c r="G2008"/>
    </row>
    <row r="2009" spans="2:7">
      <c r="B2009"/>
      <c r="C2009"/>
      <c r="D2009"/>
      <c r="E2009"/>
      <c r="F2009"/>
      <c r="G2009"/>
    </row>
    <row r="2010" spans="2:7">
      <c r="B2010"/>
      <c r="C2010"/>
      <c r="D2010"/>
      <c r="E2010"/>
      <c r="F2010"/>
      <c r="G2010"/>
    </row>
    <row r="2011" spans="2:7">
      <c r="B2011"/>
      <c r="C2011"/>
      <c r="D2011"/>
      <c r="E2011"/>
      <c r="F2011"/>
      <c r="G2011"/>
    </row>
    <row r="2012" spans="2:7">
      <c r="B2012"/>
      <c r="C2012"/>
      <c r="D2012"/>
      <c r="E2012"/>
      <c r="F2012"/>
      <c r="G2012"/>
    </row>
    <row r="2013" spans="2:7">
      <c r="B2013"/>
      <c r="C2013"/>
      <c r="D2013"/>
      <c r="E2013"/>
      <c r="F2013"/>
      <c r="G2013"/>
    </row>
    <row r="2014" spans="2:7">
      <c r="B2014"/>
      <c r="C2014"/>
      <c r="D2014"/>
      <c r="E2014"/>
      <c r="F2014"/>
      <c r="G2014"/>
    </row>
    <row r="2015" spans="2:7">
      <c r="B2015"/>
      <c r="C2015"/>
      <c r="D2015"/>
      <c r="E2015"/>
      <c r="F2015"/>
      <c r="G2015"/>
    </row>
    <row r="2016" spans="2:7">
      <c r="B2016"/>
      <c r="C2016"/>
      <c r="D2016"/>
      <c r="E2016"/>
      <c r="F2016"/>
      <c r="G2016"/>
    </row>
    <row r="2017" spans="2:7">
      <c r="B2017"/>
      <c r="C2017"/>
      <c r="D2017"/>
      <c r="E2017"/>
      <c r="F2017"/>
      <c r="G2017"/>
    </row>
    <row r="2018" spans="2:7">
      <c r="B2018"/>
      <c r="C2018"/>
      <c r="D2018"/>
      <c r="E2018"/>
      <c r="F2018"/>
      <c r="G2018"/>
    </row>
    <row r="2019" spans="2:7">
      <c r="B2019"/>
      <c r="C2019"/>
      <c r="D2019"/>
      <c r="E2019"/>
      <c r="F2019"/>
      <c r="G2019"/>
    </row>
    <row r="2020" spans="2:7">
      <c r="B2020"/>
      <c r="C2020"/>
      <c r="D2020"/>
      <c r="E2020"/>
      <c r="F2020"/>
      <c r="G2020"/>
    </row>
    <row r="2021" spans="2:7">
      <c r="B2021"/>
      <c r="C2021"/>
      <c r="D2021"/>
      <c r="E2021"/>
      <c r="F2021"/>
      <c r="G2021"/>
    </row>
    <row r="2022" spans="2:7">
      <c r="B2022"/>
      <c r="C2022"/>
      <c r="D2022"/>
      <c r="E2022"/>
      <c r="F2022"/>
      <c r="G2022"/>
    </row>
    <row r="2023" spans="2:7">
      <c r="B2023"/>
      <c r="C2023"/>
      <c r="D2023"/>
      <c r="E2023"/>
      <c r="F2023"/>
      <c r="G2023"/>
    </row>
    <row r="2024" spans="2:7">
      <c r="B2024"/>
      <c r="C2024"/>
      <c r="D2024"/>
      <c r="E2024"/>
      <c r="F2024"/>
      <c r="G2024"/>
    </row>
    <row r="2025" spans="2:7">
      <c r="B2025"/>
      <c r="C2025"/>
      <c r="D2025"/>
      <c r="E2025"/>
      <c r="F2025"/>
      <c r="G2025"/>
    </row>
    <row r="2026" spans="2:7">
      <c r="B2026"/>
      <c r="C2026"/>
      <c r="D2026"/>
      <c r="E2026"/>
      <c r="F2026"/>
      <c r="G2026"/>
    </row>
    <row r="2027" spans="2:7">
      <c r="B2027"/>
      <c r="C2027"/>
      <c r="D2027"/>
      <c r="E2027"/>
      <c r="F2027"/>
      <c r="G2027"/>
    </row>
    <row r="2028" spans="2:7">
      <c r="B2028"/>
      <c r="C2028"/>
      <c r="D2028"/>
      <c r="E2028"/>
      <c r="F2028"/>
      <c r="G2028"/>
    </row>
    <row r="2029" spans="2:7">
      <c r="B2029"/>
      <c r="C2029"/>
      <c r="D2029"/>
      <c r="E2029"/>
      <c r="F2029"/>
      <c r="G2029"/>
    </row>
    <row r="2030" spans="2:7">
      <c r="B2030"/>
      <c r="C2030"/>
      <c r="D2030"/>
      <c r="E2030"/>
      <c r="F2030"/>
      <c r="G2030"/>
    </row>
    <row r="2031" spans="2:7">
      <c r="B2031"/>
      <c r="C2031"/>
      <c r="D2031"/>
      <c r="E2031"/>
      <c r="F2031"/>
      <c r="G2031"/>
    </row>
    <row r="2032" spans="2:7">
      <c r="B2032"/>
      <c r="C2032"/>
      <c r="D2032"/>
      <c r="E2032"/>
      <c r="F2032"/>
      <c r="G2032"/>
    </row>
    <row r="2033" spans="2:7">
      <c r="B2033"/>
      <c r="C2033"/>
      <c r="D2033"/>
      <c r="E2033"/>
      <c r="F2033"/>
      <c r="G2033"/>
    </row>
    <row r="2034" spans="2:7">
      <c r="B2034"/>
      <c r="C2034"/>
      <c r="D2034"/>
      <c r="E2034"/>
      <c r="F2034"/>
      <c r="G2034"/>
    </row>
    <row r="2035" spans="2:7">
      <c r="B2035"/>
      <c r="C2035"/>
      <c r="D2035"/>
      <c r="E2035"/>
      <c r="F2035"/>
      <c r="G2035"/>
    </row>
    <row r="2036" spans="2:7">
      <c r="B2036"/>
      <c r="C2036"/>
      <c r="D2036"/>
      <c r="E2036"/>
      <c r="F2036"/>
      <c r="G2036"/>
    </row>
    <row r="2037" spans="2:7">
      <c r="B2037"/>
      <c r="C2037"/>
      <c r="D2037"/>
      <c r="E2037"/>
      <c r="F2037"/>
      <c r="G2037"/>
    </row>
    <row r="2038" spans="2:7">
      <c r="B2038"/>
      <c r="C2038"/>
      <c r="D2038"/>
      <c r="E2038"/>
      <c r="F2038"/>
      <c r="G2038"/>
    </row>
    <row r="2039" spans="2:7">
      <c r="B2039"/>
      <c r="C2039"/>
      <c r="D2039"/>
      <c r="E2039"/>
      <c r="F2039"/>
      <c r="G2039"/>
    </row>
    <row r="2040" spans="2:7">
      <c r="B2040"/>
      <c r="C2040"/>
      <c r="D2040"/>
      <c r="E2040"/>
      <c r="F2040"/>
      <c r="G2040"/>
    </row>
    <row r="2041" spans="2:7">
      <c r="B2041"/>
      <c r="C2041"/>
      <c r="D2041"/>
      <c r="E2041"/>
      <c r="F2041"/>
      <c r="G2041"/>
    </row>
    <row r="2042" spans="2:7">
      <c r="B2042"/>
      <c r="C2042"/>
      <c r="D2042"/>
      <c r="E2042"/>
      <c r="F2042"/>
      <c r="G2042"/>
    </row>
    <row r="2043" spans="2:7">
      <c r="B2043"/>
      <c r="C2043"/>
      <c r="D2043"/>
      <c r="E2043"/>
      <c r="F2043"/>
      <c r="G2043"/>
    </row>
    <row r="2044" spans="2:7">
      <c r="B2044"/>
      <c r="C2044"/>
      <c r="D2044"/>
      <c r="E2044"/>
      <c r="F2044"/>
      <c r="G2044"/>
    </row>
    <row r="2045" spans="2:7">
      <c r="B2045"/>
      <c r="C2045"/>
      <c r="D2045"/>
      <c r="E2045"/>
      <c r="F2045"/>
      <c r="G2045"/>
    </row>
    <row r="2046" spans="2:7">
      <c r="B2046"/>
      <c r="C2046"/>
      <c r="D2046"/>
      <c r="E2046"/>
      <c r="F2046"/>
      <c r="G2046"/>
    </row>
    <row r="2047" spans="2:7">
      <c r="B2047"/>
      <c r="C2047"/>
      <c r="D2047"/>
      <c r="E2047"/>
      <c r="F2047"/>
      <c r="G2047"/>
    </row>
    <row r="2048" spans="2:7">
      <c r="B2048"/>
      <c r="C2048"/>
      <c r="D2048"/>
      <c r="E2048"/>
      <c r="F2048"/>
      <c r="G2048"/>
    </row>
    <row r="2049" spans="2:7">
      <c r="B2049"/>
      <c r="C2049"/>
      <c r="D2049"/>
      <c r="E2049"/>
      <c r="F2049"/>
      <c r="G2049"/>
    </row>
    <row r="2050" spans="2:7">
      <c r="B2050"/>
      <c r="C2050"/>
      <c r="D2050"/>
      <c r="E2050"/>
      <c r="F2050"/>
      <c r="G2050"/>
    </row>
    <row r="2051" spans="2:7">
      <c r="B2051"/>
      <c r="C2051"/>
      <c r="D2051"/>
      <c r="E2051"/>
      <c r="F2051"/>
      <c r="G2051"/>
    </row>
    <row r="2052" spans="2:7">
      <c r="B2052"/>
      <c r="C2052"/>
      <c r="D2052"/>
      <c r="E2052"/>
      <c r="F2052"/>
      <c r="G2052"/>
    </row>
    <row r="2053" spans="2:7">
      <c r="B2053"/>
      <c r="C2053"/>
      <c r="D2053"/>
      <c r="E2053"/>
      <c r="F2053"/>
      <c r="G2053"/>
    </row>
    <row r="2054" spans="2:7">
      <c r="B2054"/>
      <c r="C2054"/>
      <c r="D2054"/>
      <c r="E2054"/>
      <c r="F2054"/>
      <c r="G2054"/>
    </row>
    <row r="2055" spans="2:7">
      <c r="B2055"/>
      <c r="C2055"/>
      <c r="D2055"/>
      <c r="E2055"/>
      <c r="F2055"/>
      <c r="G2055"/>
    </row>
    <row r="2056" spans="2:7">
      <c r="B2056"/>
      <c r="C2056"/>
      <c r="D2056"/>
      <c r="E2056"/>
      <c r="F2056"/>
      <c r="G2056"/>
    </row>
    <row r="2057" spans="2:7">
      <c r="B2057"/>
      <c r="C2057"/>
      <c r="D2057"/>
      <c r="E2057"/>
      <c r="F2057"/>
      <c r="G2057"/>
    </row>
    <row r="2058" spans="2:7">
      <c r="B2058"/>
      <c r="C2058"/>
      <c r="D2058"/>
      <c r="E2058"/>
      <c r="F2058"/>
      <c r="G2058"/>
    </row>
    <row r="2059" spans="2:7">
      <c r="B2059"/>
      <c r="C2059"/>
      <c r="D2059"/>
      <c r="E2059"/>
      <c r="F2059"/>
      <c r="G2059"/>
    </row>
    <row r="2060" spans="2:7">
      <c r="B2060"/>
      <c r="C2060"/>
      <c r="D2060"/>
      <c r="E2060"/>
      <c r="F2060"/>
      <c r="G2060"/>
    </row>
    <row r="2061" spans="2:7">
      <c r="B2061"/>
      <c r="C2061"/>
      <c r="D2061"/>
      <c r="E2061"/>
      <c r="F2061"/>
      <c r="G2061"/>
    </row>
    <row r="2062" spans="2:7">
      <c r="B2062"/>
      <c r="C2062"/>
      <c r="D2062"/>
      <c r="E2062"/>
      <c r="F2062"/>
      <c r="G2062"/>
    </row>
    <row r="2063" spans="2:7">
      <c r="B2063"/>
      <c r="C2063"/>
      <c r="D2063"/>
      <c r="E2063"/>
      <c r="F2063"/>
      <c r="G2063"/>
    </row>
    <row r="2064" spans="2:7">
      <c r="B2064"/>
      <c r="C2064"/>
      <c r="D2064"/>
      <c r="E2064"/>
      <c r="F2064"/>
      <c r="G2064"/>
    </row>
    <row r="2065" spans="2:7">
      <c r="B2065"/>
      <c r="C2065"/>
      <c r="D2065"/>
      <c r="E2065"/>
      <c r="F2065"/>
      <c r="G2065"/>
    </row>
    <row r="2066" spans="2:7">
      <c r="B2066"/>
      <c r="C2066"/>
      <c r="D2066"/>
      <c r="E2066"/>
      <c r="F2066"/>
      <c r="G2066"/>
    </row>
    <row r="2067" spans="2:7">
      <c r="B2067"/>
      <c r="C2067"/>
      <c r="D2067"/>
      <c r="E2067"/>
      <c r="F2067"/>
      <c r="G2067"/>
    </row>
    <row r="2068" spans="2:7">
      <c r="B2068"/>
      <c r="C2068"/>
      <c r="D2068"/>
      <c r="E2068"/>
      <c r="F2068"/>
      <c r="G2068"/>
    </row>
    <row r="2069" spans="2:7">
      <c r="B2069"/>
      <c r="C2069"/>
      <c r="D2069"/>
      <c r="E2069"/>
      <c r="F2069"/>
      <c r="G2069"/>
    </row>
    <row r="2070" spans="2:7">
      <c r="B2070"/>
      <c r="C2070"/>
      <c r="D2070"/>
      <c r="E2070"/>
      <c r="F2070"/>
      <c r="G2070"/>
    </row>
    <row r="2071" spans="2:7">
      <c r="B2071"/>
      <c r="C2071"/>
      <c r="D2071"/>
      <c r="E2071"/>
      <c r="F2071"/>
      <c r="G2071"/>
    </row>
    <row r="2072" spans="2:7">
      <c r="B2072"/>
      <c r="C2072"/>
      <c r="D2072"/>
      <c r="E2072"/>
      <c r="F2072"/>
      <c r="G2072"/>
    </row>
    <row r="2073" spans="2:7">
      <c r="B2073"/>
      <c r="C2073"/>
      <c r="D2073"/>
      <c r="E2073"/>
      <c r="F2073"/>
      <c r="G2073"/>
    </row>
    <row r="2074" spans="2:7">
      <c r="B2074"/>
      <c r="C2074"/>
      <c r="D2074"/>
      <c r="E2074"/>
      <c r="F2074"/>
      <c r="G2074"/>
    </row>
    <row r="2075" spans="2:7">
      <c r="B2075"/>
      <c r="C2075"/>
      <c r="D2075"/>
      <c r="E2075"/>
      <c r="F2075"/>
      <c r="G2075"/>
    </row>
    <row r="2076" spans="2:7">
      <c r="B2076"/>
      <c r="C2076"/>
      <c r="D2076"/>
      <c r="E2076"/>
      <c r="F2076"/>
      <c r="G2076"/>
    </row>
    <row r="2077" spans="2:7">
      <c r="B2077"/>
      <c r="C2077"/>
      <c r="D2077"/>
      <c r="E2077"/>
      <c r="F2077"/>
      <c r="G2077"/>
    </row>
    <row r="2078" spans="2:7">
      <c r="B2078"/>
      <c r="C2078"/>
      <c r="D2078"/>
      <c r="E2078"/>
      <c r="F2078"/>
      <c r="G2078"/>
    </row>
    <row r="2079" spans="2:7">
      <c r="B2079"/>
      <c r="C2079"/>
      <c r="D2079"/>
      <c r="E2079"/>
      <c r="F2079"/>
      <c r="G2079"/>
    </row>
    <row r="2080" spans="2:7">
      <c r="B2080"/>
      <c r="C2080"/>
      <c r="D2080"/>
      <c r="E2080"/>
      <c r="F2080"/>
      <c r="G2080"/>
    </row>
    <row r="2081" spans="2:7">
      <c r="B2081"/>
      <c r="C2081"/>
      <c r="D2081"/>
      <c r="E2081"/>
      <c r="F2081"/>
      <c r="G2081"/>
    </row>
    <row r="2082" spans="2:7">
      <c r="B2082"/>
      <c r="C2082"/>
      <c r="D2082"/>
      <c r="E2082"/>
      <c r="F2082"/>
      <c r="G2082"/>
    </row>
    <row r="2083" spans="2:7">
      <c r="B2083"/>
      <c r="C2083"/>
      <c r="D2083"/>
      <c r="E2083"/>
      <c r="F2083"/>
      <c r="G2083"/>
    </row>
    <row r="2084" spans="2:7">
      <c r="B2084"/>
      <c r="C2084"/>
      <c r="D2084"/>
      <c r="E2084"/>
      <c r="F2084"/>
      <c r="G2084"/>
    </row>
    <row r="2085" spans="2:7">
      <c r="B2085"/>
      <c r="C2085"/>
      <c r="D2085"/>
      <c r="E2085"/>
      <c r="F2085"/>
      <c r="G2085"/>
    </row>
    <row r="2086" spans="2:7">
      <c r="B2086"/>
      <c r="C2086"/>
      <c r="D2086"/>
      <c r="E2086"/>
      <c r="F2086"/>
      <c r="G2086"/>
    </row>
    <row r="2087" spans="2:7">
      <c r="B2087"/>
      <c r="C2087"/>
      <c r="D2087"/>
      <c r="E2087"/>
      <c r="F2087"/>
      <c r="G2087"/>
    </row>
    <row r="2088" spans="2:7">
      <c r="B2088"/>
      <c r="C2088"/>
      <c r="D2088"/>
      <c r="E2088"/>
      <c r="F2088"/>
      <c r="G2088"/>
    </row>
    <row r="2089" spans="2:7">
      <c r="B2089"/>
      <c r="C2089"/>
      <c r="D2089"/>
      <c r="E2089"/>
      <c r="F2089"/>
      <c r="G2089"/>
    </row>
    <row r="2090" spans="2:7">
      <c r="B2090"/>
      <c r="C2090"/>
      <c r="D2090"/>
      <c r="E2090"/>
      <c r="F2090"/>
      <c r="G2090"/>
    </row>
    <row r="2091" spans="2:7">
      <c r="B2091"/>
      <c r="C2091"/>
      <c r="D2091"/>
      <c r="E2091"/>
      <c r="F2091"/>
      <c r="G2091"/>
    </row>
    <row r="2092" spans="2:7">
      <c r="B2092"/>
      <c r="C2092"/>
      <c r="D2092"/>
      <c r="E2092"/>
      <c r="F2092"/>
      <c r="G2092"/>
    </row>
    <row r="2093" spans="2:7">
      <c r="B2093"/>
      <c r="C2093"/>
      <c r="D2093"/>
      <c r="E2093"/>
      <c r="F2093"/>
      <c r="G2093"/>
    </row>
    <row r="2094" spans="2:7">
      <c r="B2094"/>
      <c r="C2094"/>
      <c r="D2094"/>
      <c r="E2094"/>
      <c r="F2094"/>
      <c r="G2094"/>
    </row>
    <row r="2095" spans="2:7">
      <c r="B2095"/>
      <c r="C2095"/>
      <c r="D2095"/>
      <c r="E2095"/>
      <c r="F2095"/>
      <c r="G2095"/>
    </row>
    <row r="2096" spans="2:7">
      <c r="B2096"/>
      <c r="C2096"/>
      <c r="D2096"/>
      <c r="E2096"/>
      <c r="F2096"/>
      <c r="G2096"/>
    </row>
    <row r="2097" spans="2:7">
      <c r="B2097"/>
      <c r="C2097"/>
      <c r="D2097"/>
      <c r="E2097"/>
      <c r="F2097"/>
      <c r="G2097"/>
    </row>
    <row r="2098" spans="2:7">
      <c r="B2098"/>
      <c r="C2098"/>
      <c r="D2098"/>
      <c r="E2098"/>
      <c r="F2098"/>
      <c r="G2098"/>
    </row>
    <row r="2099" spans="2:7">
      <c r="B2099"/>
      <c r="C2099"/>
      <c r="D2099"/>
      <c r="E2099"/>
      <c r="F2099"/>
      <c r="G2099"/>
    </row>
    <row r="2100" spans="2:7">
      <c r="B2100"/>
      <c r="C2100"/>
      <c r="D2100"/>
      <c r="E2100"/>
      <c r="F2100"/>
      <c r="G2100"/>
    </row>
    <row r="2101" spans="2:7">
      <c r="B2101"/>
      <c r="C2101"/>
      <c r="D2101"/>
      <c r="E2101"/>
      <c r="F2101"/>
      <c r="G2101"/>
    </row>
    <row r="2102" spans="2:7">
      <c r="B2102"/>
      <c r="C2102"/>
      <c r="D2102"/>
      <c r="E2102"/>
      <c r="F2102"/>
      <c r="G2102"/>
    </row>
    <row r="2103" spans="2:7">
      <c r="B2103"/>
      <c r="C2103"/>
      <c r="D2103"/>
      <c r="E2103"/>
      <c r="F2103"/>
      <c r="G2103"/>
    </row>
    <row r="2104" spans="2:7">
      <c r="B2104"/>
      <c r="C2104"/>
      <c r="D2104"/>
      <c r="E2104"/>
      <c r="F2104"/>
      <c r="G2104"/>
    </row>
    <row r="2105" spans="2:7">
      <c r="B2105"/>
      <c r="C2105"/>
      <c r="D2105"/>
      <c r="E2105"/>
      <c r="F2105"/>
      <c r="G2105"/>
    </row>
    <row r="2106" spans="2:7">
      <c r="B2106"/>
      <c r="C2106"/>
      <c r="D2106"/>
      <c r="E2106"/>
      <c r="F2106"/>
      <c r="G2106"/>
    </row>
    <row r="2107" spans="2:7">
      <c r="B2107"/>
      <c r="C2107"/>
      <c r="D2107"/>
      <c r="E2107"/>
      <c r="F2107"/>
      <c r="G2107"/>
    </row>
    <row r="2108" spans="2:7">
      <c r="B2108"/>
      <c r="C2108"/>
      <c r="D2108"/>
      <c r="E2108"/>
      <c r="F2108"/>
      <c r="G2108"/>
    </row>
    <row r="2109" spans="2:7">
      <c r="B2109"/>
      <c r="C2109"/>
      <c r="D2109"/>
      <c r="E2109"/>
      <c r="F2109"/>
      <c r="G2109"/>
    </row>
    <row r="2110" spans="2:7">
      <c r="B2110"/>
      <c r="C2110"/>
      <c r="D2110"/>
      <c r="E2110"/>
      <c r="F2110"/>
      <c r="G2110"/>
    </row>
    <row r="2111" spans="2:7">
      <c r="B2111"/>
      <c r="C2111"/>
      <c r="D2111"/>
      <c r="E2111"/>
      <c r="F2111"/>
      <c r="G2111"/>
    </row>
    <row r="2112" spans="2:7">
      <c r="B2112"/>
      <c r="C2112"/>
      <c r="D2112"/>
      <c r="E2112"/>
      <c r="F2112"/>
      <c r="G2112"/>
    </row>
    <row r="2113" spans="2:7">
      <c r="B2113"/>
      <c r="C2113"/>
      <c r="D2113"/>
      <c r="E2113"/>
      <c r="F2113"/>
      <c r="G2113"/>
    </row>
    <row r="2114" spans="2:7">
      <c r="B2114"/>
      <c r="C2114"/>
      <c r="D2114"/>
      <c r="E2114"/>
      <c r="F2114"/>
      <c r="G2114"/>
    </row>
    <row r="2115" spans="2:7">
      <c r="B2115"/>
      <c r="C2115"/>
      <c r="D2115"/>
      <c r="E2115"/>
      <c r="F2115"/>
      <c r="G2115"/>
    </row>
    <row r="2116" spans="2:7">
      <c r="B2116"/>
      <c r="C2116"/>
      <c r="D2116"/>
      <c r="E2116"/>
      <c r="F2116"/>
      <c r="G2116"/>
    </row>
    <row r="2117" spans="2:7">
      <c r="B2117"/>
      <c r="C2117"/>
      <c r="D2117"/>
      <c r="E2117"/>
      <c r="F2117"/>
      <c r="G2117"/>
    </row>
    <row r="2118" spans="2:7">
      <c r="B2118"/>
      <c r="C2118"/>
      <c r="D2118"/>
      <c r="E2118"/>
      <c r="F2118"/>
      <c r="G2118"/>
    </row>
    <row r="2119" spans="2:7">
      <c r="B2119"/>
      <c r="C2119"/>
      <c r="D2119"/>
      <c r="E2119"/>
      <c r="F2119"/>
      <c r="G2119"/>
    </row>
    <row r="2120" spans="2:7">
      <c r="B2120"/>
      <c r="C2120"/>
      <c r="D2120"/>
      <c r="E2120"/>
      <c r="F2120"/>
      <c r="G2120"/>
    </row>
    <row r="2121" spans="2:7">
      <c r="B2121"/>
      <c r="C2121"/>
      <c r="D2121"/>
      <c r="E2121"/>
      <c r="F2121"/>
      <c r="G2121"/>
    </row>
    <row r="2122" spans="2:7">
      <c r="B2122"/>
      <c r="C2122"/>
      <c r="D2122"/>
      <c r="E2122"/>
      <c r="F2122"/>
      <c r="G2122"/>
    </row>
    <row r="2123" spans="2:7">
      <c r="B2123"/>
      <c r="C2123"/>
      <c r="D2123"/>
      <c r="E2123"/>
      <c r="F2123"/>
      <c r="G2123"/>
    </row>
    <row r="2124" spans="2:7">
      <c r="B2124"/>
      <c r="C2124"/>
      <c r="D2124"/>
      <c r="E2124"/>
      <c r="F2124"/>
      <c r="G2124"/>
    </row>
    <row r="2125" spans="2:7">
      <c r="B2125"/>
      <c r="C2125"/>
      <c r="D2125"/>
      <c r="E2125"/>
      <c r="F2125"/>
      <c r="G2125"/>
    </row>
    <row r="2126" spans="2:7">
      <c r="B2126"/>
      <c r="C2126"/>
      <c r="D2126"/>
      <c r="E2126"/>
      <c r="F2126"/>
      <c r="G2126"/>
    </row>
    <row r="2127" spans="2:7">
      <c r="B2127"/>
      <c r="C2127"/>
      <c r="D2127"/>
      <c r="E2127"/>
      <c r="F2127"/>
      <c r="G2127"/>
    </row>
    <row r="2128" spans="2:7">
      <c r="B2128"/>
      <c r="C2128"/>
      <c r="D2128"/>
      <c r="E2128"/>
      <c r="F2128"/>
      <c r="G2128"/>
    </row>
    <row r="2129" spans="2:7">
      <c r="B2129"/>
      <c r="C2129"/>
      <c r="D2129"/>
      <c r="E2129"/>
      <c r="F2129"/>
      <c r="G2129"/>
    </row>
    <row r="2130" spans="2:7">
      <c r="B2130"/>
      <c r="C2130"/>
      <c r="D2130"/>
      <c r="E2130"/>
      <c r="F2130"/>
      <c r="G2130"/>
    </row>
    <row r="2131" spans="2:7">
      <c r="B2131"/>
      <c r="C2131"/>
      <c r="D2131"/>
      <c r="E2131"/>
      <c r="F2131"/>
      <c r="G2131"/>
    </row>
    <row r="2132" spans="2:7">
      <c r="B2132"/>
      <c r="C2132"/>
      <c r="D2132"/>
      <c r="E2132"/>
      <c r="F2132"/>
      <c r="G2132"/>
    </row>
    <row r="2133" spans="2:7">
      <c r="B2133"/>
      <c r="C2133"/>
      <c r="D2133"/>
      <c r="E2133"/>
      <c r="F2133"/>
      <c r="G2133"/>
    </row>
    <row r="2134" spans="2:7">
      <c r="B2134"/>
      <c r="C2134"/>
      <c r="D2134"/>
      <c r="E2134"/>
      <c r="F2134"/>
      <c r="G2134"/>
    </row>
    <row r="2135" spans="2:7">
      <c r="B2135"/>
      <c r="C2135"/>
      <c r="D2135"/>
      <c r="E2135"/>
      <c r="F2135"/>
      <c r="G2135"/>
    </row>
    <row r="2136" spans="2:7">
      <c r="B2136"/>
      <c r="C2136"/>
      <c r="D2136"/>
      <c r="E2136"/>
      <c r="F2136"/>
      <c r="G2136"/>
    </row>
    <row r="2137" spans="2:7">
      <c r="B2137"/>
      <c r="C2137"/>
      <c r="D2137"/>
      <c r="E2137"/>
      <c r="F2137"/>
      <c r="G2137"/>
    </row>
    <row r="2138" spans="2:7">
      <c r="B2138"/>
      <c r="C2138"/>
      <c r="D2138"/>
      <c r="E2138"/>
      <c r="F2138"/>
      <c r="G2138"/>
    </row>
    <row r="2139" spans="2:7">
      <c r="B2139"/>
      <c r="C2139"/>
      <c r="D2139"/>
      <c r="E2139"/>
      <c r="F2139"/>
      <c r="G2139"/>
    </row>
    <row r="2140" spans="2:7">
      <c r="B2140"/>
      <c r="C2140"/>
      <c r="D2140"/>
      <c r="E2140"/>
      <c r="F2140"/>
      <c r="G2140"/>
    </row>
    <row r="2141" spans="2:7">
      <c r="B2141"/>
      <c r="C2141"/>
      <c r="D2141"/>
      <c r="E2141"/>
      <c r="F2141"/>
      <c r="G2141"/>
    </row>
    <row r="2142" spans="2:7">
      <c r="B2142"/>
      <c r="C2142"/>
      <c r="D2142"/>
      <c r="E2142"/>
      <c r="F2142"/>
      <c r="G2142"/>
    </row>
    <row r="2143" spans="2:7">
      <c r="B2143"/>
      <c r="C2143"/>
      <c r="D2143"/>
      <c r="E2143"/>
      <c r="F2143"/>
      <c r="G2143"/>
    </row>
    <row r="2144" spans="2:7">
      <c r="B2144"/>
      <c r="C2144"/>
      <c r="D2144"/>
      <c r="E2144"/>
      <c r="F2144"/>
      <c r="G2144"/>
    </row>
    <row r="2145" spans="2:7">
      <c r="B2145"/>
      <c r="C2145"/>
      <c r="D2145"/>
      <c r="E2145"/>
      <c r="F2145"/>
      <c r="G2145"/>
    </row>
    <row r="2146" spans="2:7">
      <c r="B2146"/>
      <c r="C2146"/>
      <c r="D2146"/>
      <c r="E2146"/>
      <c r="F2146"/>
      <c r="G2146"/>
    </row>
    <row r="2147" spans="2:7">
      <c r="B2147"/>
      <c r="C2147"/>
      <c r="D2147"/>
      <c r="E2147"/>
      <c r="F2147"/>
      <c r="G2147"/>
    </row>
    <row r="2148" spans="2:7">
      <c r="B2148"/>
      <c r="C2148"/>
      <c r="D2148"/>
      <c r="E2148"/>
      <c r="F2148"/>
      <c r="G2148"/>
    </row>
    <row r="2149" spans="2:7">
      <c r="B2149"/>
      <c r="C2149"/>
      <c r="D2149"/>
      <c r="E2149"/>
      <c r="F2149"/>
      <c r="G2149"/>
    </row>
    <row r="2150" spans="2:7">
      <c r="B2150"/>
      <c r="C2150"/>
      <c r="D2150"/>
      <c r="E2150"/>
      <c r="F2150"/>
      <c r="G2150"/>
    </row>
    <row r="2151" spans="2:7">
      <c r="B2151"/>
      <c r="C2151"/>
      <c r="D2151"/>
      <c r="E2151"/>
      <c r="F2151"/>
      <c r="G2151"/>
    </row>
    <row r="2152" spans="2:7">
      <c r="B2152"/>
      <c r="C2152"/>
      <c r="D2152"/>
      <c r="E2152"/>
      <c r="F2152"/>
      <c r="G2152"/>
    </row>
    <row r="2153" spans="2:7">
      <c r="B2153"/>
      <c r="C2153"/>
      <c r="D2153"/>
      <c r="E2153"/>
      <c r="F2153"/>
      <c r="G2153"/>
    </row>
    <row r="2154" spans="2:7">
      <c r="B2154"/>
      <c r="C2154"/>
      <c r="D2154"/>
      <c r="E2154"/>
      <c r="F2154"/>
      <c r="G2154"/>
    </row>
    <row r="2155" spans="2:7">
      <c r="B2155"/>
      <c r="C2155"/>
      <c r="D2155"/>
      <c r="E2155"/>
      <c r="F2155"/>
      <c r="G2155"/>
    </row>
    <row r="2156" spans="2:7">
      <c r="B2156"/>
      <c r="C2156"/>
      <c r="D2156"/>
      <c r="E2156"/>
      <c r="F2156"/>
      <c r="G2156"/>
    </row>
    <row r="2157" spans="2:7">
      <c r="B2157"/>
      <c r="C2157"/>
      <c r="D2157"/>
      <c r="E2157"/>
      <c r="F2157"/>
      <c r="G2157"/>
    </row>
    <row r="2158" spans="2:7">
      <c r="B2158"/>
      <c r="C2158"/>
      <c r="D2158"/>
      <c r="E2158"/>
      <c r="F2158"/>
      <c r="G2158"/>
    </row>
    <row r="2159" spans="2:7">
      <c r="B2159"/>
      <c r="C2159"/>
      <c r="D2159"/>
      <c r="E2159"/>
      <c r="F2159"/>
      <c r="G2159"/>
    </row>
    <row r="2160" spans="2:7">
      <c r="B2160"/>
      <c r="C2160"/>
      <c r="D2160"/>
      <c r="E2160"/>
      <c r="F2160"/>
      <c r="G2160"/>
    </row>
    <row r="2161" spans="2:7">
      <c r="B2161"/>
      <c r="C2161"/>
      <c r="D2161"/>
      <c r="E2161"/>
      <c r="F2161"/>
      <c r="G2161"/>
    </row>
    <row r="2162" spans="2:7">
      <c r="B2162"/>
      <c r="C2162"/>
      <c r="D2162"/>
      <c r="E2162"/>
      <c r="F2162"/>
      <c r="G2162"/>
    </row>
    <row r="2163" spans="2:7">
      <c r="B2163"/>
      <c r="C2163"/>
      <c r="D2163"/>
      <c r="E2163"/>
      <c r="F2163"/>
      <c r="G2163"/>
    </row>
    <row r="2164" spans="2:7">
      <c r="B2164"/>
      <c r="C2164"/>
      <c r="D2164"/>
      <c r="E2164"/>
      <c r="F2164"/>
      <c r="G2164"/>
    </row>
    <row r="2165" spans="2:7">
      <c r="B2165"/>
      <c r="C2165"/>
      <c r="D2165"/>
      <c r="E2165"/>
      <c r="F2165"/>
      <c r="G2165"/>
    </row>
    <row r="2166" spans="2:7">
      <c r="B2166"/>
      <c r="C2166"/>
      <c r="D2166"/>
      <c r="E2166"/>
      <c r="F2166"/>
      <c r="G2166"/>
    </row>
    <row r="2167" spans="2:7">
      <c r="B2167"/>
      <c r="C2167"/>
      <c r="D2167"/>
      <c r="E2167"/>
      <c r="F2167"/>
      <c r="G2167"/>
    </row>
    <row r="2168" spans="2:7">
      <c r="B2168"/>
      <c r="C2168"/>
      <c r="D2168"/>
      <c r="E2168"/>
      <c r="F2168"/>
      <c r="G2168"/>
    </row>
    <row r="2169" spans="2:7">
      <c r="B2169"/>
      <c r="C2169"/>
      <c r="D2169"/>
      <c r="E2169"/>
      <c r="F2169"/>
      <c r="G2169"/>
    </row>
    <row r="2170" spans="2:7">
      <c r="B2170"/>
      <c r="C2170"/>
      <c r="D2170"/>
      <c r="E2170"/>
      <c r="F2170"/>
      <c r="G2170"/>
    </row>
    <row r="2171" spans="2:7">
      <c r="B2171"/>
      <c r="C2171"/>
      <c r="D2171"/>
      <c r="E2171"/>
      <c r="F2171"/>
      <c r="G2171"/>
    </row>
    <row r="2172" spans="2:7">
      <c r="B2172"/>
      <c r="C2172"/>
      <c r="D2172"/>
      <c r="E2172"/>
      <c r="F2172"/>
      <c r="G2172"/>
    </row>
    <row r="2173" spans="2:7">
      <c r="B2173"/>
      <c r="C2173"/>
      <c r="D2173"/>
      <c r="E2173"/>
      <c r="F2173"/>
      <c r="G2173"/>
    </row>
    <row r="2174" spans="2:7">
      <c r="B2174"/>
      <c r="C2174"/>
      <c r="D2174"/>
      <c r="E2174"/>
      <c r="F2174"/>
      <c r="G2174"/>
    </row>
    <row r="2175" spans="2:7">
      <c r="B2175"/>
      <c r="C2175"/>
      <c r="D2175"/>
      <c r="E2175"/>
      <c r="F2175"/>
      <c r="G2175"/>
    </row>
    <row r="2176" spans="2:7">
      <c r="B2176"/>
      <c r="C2176"/>
      <c r="D2176"/>
      <c r="E2176"/>
      <c r="F2176"/>
      <c r="G2176"/>
    </row>
    <row r="2177" spans="2:7">
      <c r="B2177"/>
      <c r="C2177"/>
      <c r="D2177"/>
      <c r="E2177"/>
      <c r="F2177"/>
      <c r="G2177"/>
    </row>
    <row r="2178" spans="2:7">
      <c r="B2178"/>
      <c r="C2178"/>
      <c r="D2178"/>
      <c r="E2178"/>
      <c r="F2178"/>
      <c r="G2178"/>
    </row>
    <row r="2179" spans="2:7">
      <c r="B2179"/>
      <c r="C2179"/>
      <c r="D2179"/>
      <c r="E2179"/>
      <c r="F2179"/>
      <c r="G2179"/>
    </row>
    <row r="2180" spans="2:7">
      <c r="B2180"/>
      <c r="C2180"/>
      <c r="D2180"/>
      <c r="E2180"/>
      <c r="F2180"/>
      <c r="G2180"/>
    </row>
    <row r="2181" spans="2:7">
      <c r="B2181"/>
      <c r="C2181"/>
      <c r="D2181"/>
      <c r="E2181"/>
      <c r="F2181"/>
      <c r="G2181"/>
    </row>
    <row r="2182" spans="2:7">
      <c r="B2182"/>
      <c r="C2182"/>
      <c r="D2182"/>
      <c r="E2182"/>
      <c r="F2182"/>
      <c r="G2182"/>
    </row>
    <row r="2183" spans="2:7">
      <c r="B2183"/>
      <c r="C2183"/>
      <c r="D2183"/>
      <c r="E2183"/>
      <c r="F2183"/>
      <c r="G2183"/>
    </row>
    <row r="2184" spans="2:7">
      <c r="B2184"/>
      <c r="C2184"/>
      <c r="D2184"/>
      <c r="E2184"/>
      <c r="F2184"/>
      <c r="G2184"/>
    </row>
    <row r="2185" spans="2:7">
      <c r="B2185"/>
      <c r="C2185"/>
      <c r="D2185"/>
      <c r="E2185"/>
      <c r="F2185"/>
      <c r="G2185"/>
    </row>
    <row r="2186" spans="2:7">
      <c r="B2186"/>
      <c r="C2186"/>
      <c r="D2186"/>
      <c r="E2186"/>
      <c r="F2186"/>
      <c r="G2186"/>
    </row>
    <row r="2187" spans="2:7">
      <c r="B2187"/>
      <c r="C2187"/>
      <c r="D2187"/>
      <c r="E2187"/>
      <c r="F2187"/>
      <c r="G2187"/>
    </row>
    <row r="2188" spans="2:7">
      <c r="B2188"/>
      <c r="C2188"/>
      <c r="D2188"/>
      <c r="E2188"/>
      <c r="F2188"/>
      <c r="G2188"/>
    </row>
    <row r="2189" spans="2:7">
      <c r="B2189"/>
      <c r="C2189"/>
      <c r="D2189"/>
      <c r="E2189"/>
      <c r="F2189"/>
      <c r="G2189"/>
    </row>
    <row r="2190" spans="2:7">
      <c r="B2190"/>
      <c r="C2190"/>
      <c r="D2190"/>
      <c r="E2190"/>
      <c r="F2190"/>
      <c r="G2190"/>
    </row>
    <row r="2191" spans="2:7">
      <c r="B2191"/>
      <c r="C2191"/>
      <c r="D2191"/>
      <c r="E2191"/>
      <c r="F2191"/>
      <c r="G2191"/>
    </row>
    <row r="2192" spans="2:7">
      <c r="B2192"/>
      <c r="C2192"/>
      <c r="D2192"/>
      <c r="E2192"/>
      <c r="F2192"/>
      <c r="G2192"/>
    </row>
    <row r="2193" spans="2:7">
      <c r="B2193"/>
      <c r="C2193"/>
      <c r="D2193"/>
      <c r="E2193"/>
      <c r="F2193"/>
      <c r="G2193"/>
    </row>
    <row r="2194" spans="2:7">
      <c r="B2194"/>
      <c r="C2194"/>
      <c r="D2194"/>
      <c r="E2194"/>
      <c r="F2194"/>
      <c r="G2194"/>
    </row>
    <row r="2195" spans="2:7">
      <c r="B2195"/>
      <c r="C2195"/>
      <c r="D2195"/>
      <c r="E2195"/>
      <c r="F2195"/>
      <c r="G2195"/>
    </row>
    <row r="2196" spans="2:7">
      <c r="B2196"/>
      <c r="C2196"/>
      <c r="D2196"/>
      <c r="E2196"/>
      <c r="F2196"/>
      <c r="G2196"/>
    </row>
    <row r="2197" spans="2:7">
      <c r="B2197"/>
      <c r="C2197"/>
      <c r="D2197"/>
      <c r="E2197"/>
      <c r="F2197"/>
      <c r="G2197"/>
    </row>
    <row r="2198" spans="2:7">
      <c r="B2198"/>
      <c r="C2198"/>
      <c r="D2198"/>
      <c r="E2198"/>
      <c r="F2198"/>
      <c r="G2198"/>
    </row>
    <row r="2199" spans="2:7">
      <c r="B2199"/>
      <c r="C2199"/>
      <c r="D2199"/>
      <c r="E2199"/>
      <c r="F2199"/>
      <c r="G2199"/>
    </row>
    <row r="2200" spans="2:7">
      <c r="B2200"/>
      <c r="C2200"/>
      <c r="D2200"/>
      <c r="E2200"/>
      <c r="F2200"/>
      <c r="G2200"/>
    </row>
    <row r="2201" spans="2:7">
      <c r="B2201"/>
      <c r="C2201"/>
      <c r="D2201"/>
      <c r="E2201"/>
      <c r="F2201"/>
      <c r="G2201"/>
    </row>
    <row r="2202" spans="2:7">
      <c r="B2202"/>
      <c r="C2202"/>
      <c r="D2202"/>
      <c r="E2202"/>
      <c r="F2202"/>
      <c r="G2202"/>
    </row>
    <row r="2203" spans="2:7">
      <c r="B2203"/>
      <c r="C2203"/>
      <c r="D2203"/>
      <c r="E2203"/>
      <c r="F2203"/>
      <c r="G2203"/>
    </row>
    <row r="2204" spans="2:7">
      <c r="B2204"/>
      <c r="C2204"/>
      <c r="D2204"/>
      <c r="E2204"/>
      <c r="F2204"/>
      <c r="G2204"/>
    </row>
    <row r="2205" spans="2:7">
      <c r="B2205"/>
      <c r="C2205"/>
      <c r="D2205"/>
      <c r="E2205"/>
      <c r="F2205"/>
      <c r="G2205"/>
    </row>
    <row r="2206" spans="2:7">
      <c r="B2206"/>
      <c r="C2206"/>
      <c r="D2206"/>
      <c r="E2206"/>
      <c r="F2206"/>
      <c r="G2206"/>
    </row>
    <row r="2207" spans="2:7">
      <c r="B2207"/>
      <c r="C2207"/>
      <c r="D2207"/>
      <c r="E2207"/>
      <c r="F2207"/>
      <c r="G2207"/>
    </row>
    <row r="2208" spans="2:7">
      <c r="B2208"/>
      <c r="C2208"/>
      <c r="D2208"/>
      <c r="E2208"/>
      <c r="F2208"/>
      <c r="G2208"/>
    </row>
    <row r="2209" spans="2:7">
      <c r="B2209"/>
      <c r="C2209"/>
      <c r="D2209"/>
      <c r="E2209"/>
      <c r="F2209"/>
      <c r="G2209"/>
    </row>
    <row r="2210" spans="2:7">
      <c r="B2210"/>
      <c r="C2210"/>
      <c r="D2210"/>
      <c r="E2210"/>
      <c r="F2210"/>
      <c r="G2210"/>
    </row>
    <row r="2211" spans="2:7">
      <c r="B2211"/>
      <c r="C2211"/>
      <c r="D2211"/>
      <c r="E2211"/>
      <c r="F2211"/>
      <c r="G2211"/>
    </row>
    <row r="2212" spans="2:7">
      <c r="B2212"/>
      <c r="C2212"/>
      <c r="D2212"/>
      <c r="E2212"/>
      <c r="F2212"/>
      <c r="G2212"/>
    </row>
    <row r="2213" spans="2:7">
      <c r="B2213"/>
      <c r="C2213"/>
      <c r="D2213"/>
      <c r="E2213"/>
      <c r="F2213"/>
      <c r="G2213"/>
    </row>
    <row r="2214" spans="2:7">
      <c r="B2214"/>
      <c r="C2214"/>
      <c r="D2214"/>
      <c r="E2214"/>
      <c r="F2214"/>
      <c r="G2214"/>
    </row>
    <row r="2215" spans="2:7">
      <c r="B2215"/>
      <c r="C2215"/>
      <c r="D2215"/>
      <c r="E2215"/>
      <c r="F2215"/>
      <c r="G2215"/>
    </row>
    <row r="2216" spans="2:7">
      <c r="B2216"/>
      <c r="C2216"/>
      <c r="D2216"/>
      <c r="E2216"/>
      <c r="F2216"/>
      <c r="G2216"/>
    </row>
    <row r="2217" spans="2:7">
      <c r="B2217"/>
      <c r="C2217"/>
      <c r="D2217"/>
      <c r="E2217"/>
      <c r="F2217"/>
      <c r="G2217"/>
    </row>
    <row r="2218" spans="2:7">
      <c r="B2218"/>
      <c r="C2218"/>
      <c r="D2218"/>
      <c r="E2218"/>
      <c r="F2218"/>
      <c r="G2218"/>
    </row>
    <row r="2219" spans="2:7">
      <c r="B2219"/>
      <c r="C2219"/>
      <c r="D2219"/>
      <c r="E2219"/>
      <c r="F2219"/>
      <c r="G2219"/>
    </row>
    <row r="2220" spans="2:7">
      <c r="B2220"/>
      <c r="C2220"/>
      <c r="D2220"/>
      <c r="E2220"/>
      <c r="F2220"/>
      <c r="G2220"/>
    </row>
    <row r="2221" spans="2:7">
      <c r="B2221"/>
      <c r="C2221"/>
      <c r="D2221"/>
      <c r="E2221"/>
      <c r="F2221"/>
      <c r="G2221"/>
    </row>
    <row r="2222" spans="2:7">
      <c r="B2222"/>
      <c r="C2222"/>
      <c r="D2222"/>
      <c r="E2222"/>
      <c r="F2222"/>
      <c r="G2222"/>
    </row>
    <row r="2223" spans="2:7">
      <c r="B2223"/>
      <c r="C2223"/>
      <c r="D2223"/>
      <c r="E2223"/>
      <c r="F2223"/>
      <c r="G2223"/>
    </row>
    <row r="2224" spans="2:7">
      <c r="B2224"/>
      <c r="C2224"/>
      <c r="D2224"/>
      <c r="E2224"/>
      <c r="F2224"/>
      <c r="G2224"/>
    </row>
    <row r="2225" spans="2:7">
      <c r="B2225"/>
      <c r="C2225"/>
      <c r="D2225"/>
      <c r="E2225"/>
      <c r="F2225"/>
      <c r="G2225"/>
    </row>
    <row r="2226" spans="2:7">
      <c r="B2226"/>
      <c r="C2226"/>
      <c r="D2226"/>
      <c r="E2226"/>
      <c r="F2226"/>
      <c r="G2226"/>
    </row>
    <row r="2227" spans="2:7">
      <c r="B2227"/>
      <c r="C2227"/>
      <c r="D2227"/>
      <c r="E2227"/>
      <c r="F2227"/>
      <c r="G2227"/>
    </row>
    <row r="2228" spans="2:7">
      <c r="B2228"/>
      <c r="C2228"/>
      <c r="D2228"/>
      <c r="E2228"/>
      <c r="F2228"/>
      <c r="G2228"/>
    </row>
    <row r="2229" spans="2:7">
      <c r="B2229"/>
      <c r="C2229"/>
      <c r="D2229"/>
      <c r="E2229"/>
      <c r="F2229"/>
      <c r="G2229"/>
    </row>
    <row r="2230" spans="2:7">
      <c r="B2230"/>
      <c r="C2230"/>
      <c r="D2230"/>
      <c r="E2230"/>
      <c r="F2230"/>
      <c r="G2230"/>
    </row>
    <row r="2231" spans="2:7">
      <c r="B2231"/>
      <c r="C2231"/>
      <c r="D2231"/>
      <c r="E2231"/>
      <c r="F2231"/>
      <c r="G2231"/>
    </row>
    <row r="2232" spans="2:7">
      <c r="B2232"/>
      <c r="C2232"/>
      <c r="D2232"/>
      <c r="E2232"/>
      <c r="F2232"/>
      <c r="G2232"/>
    </row>
    <row r="2233" spans="2:7">
      <c r="B2233"/>
      <c r="C2233"/>
      <c r="D2233"/>
      <c r="E2233"/>
      <c r="F2233"/>
      <c r="G2233"/>
    </row>
    <row r="2234" spans="2:7">
      <c r="B2234"/>
      <c r="C2234"/>
      <c r="D2234"/>
      <c r="E2234"/>
      <c r="F2234"/>
      <c r="G2234"/>
    </row>
    <row r="2235" spans="2:7">
      <c r="B2235"/>
      <c r="C2235"/>
      <c r="D2235"/>
      <c r="E2235"/>
      <c r="F2235"/>
      <c r="G2235"/>
    </row>
    <row r="2236" spans="2:7">
      <c r="B2236"/>
      <c r="C2236"/>
      <c r="D2236"/>
      <c r="E2236"/>
      <c r="F2236"/>
      <c r="G2236"/>
    </row>
    <row r="2237" spans="2:7">
      <c r="B2237"/>
      <c r="C2237"/>
      <c r="D2237"/>
      <c r="E2237"/>
      <c r="F2237"/>
      <c r="G2237"/>
    </row>
    <row r="2238" spans="2:7">
      <c r="B2238"/>
      <c r="C2238"/>
      <c r="D2238"/>
      <c r="E2238"/>
      <c r="F2238"/>
      <c r="G2238"/>
    </row>
    <row r="2239" spans="2:7">
      <c r="B2239"/>
      <c r="C2239"/>
      <c r="D2239"/>
      <c r="E2239"/>
      <c r="F2239"/>
      <c r="G2239"/>
    </row>
    <row r="2240" spans="2:7">
      <c r="B2240"/>
      <c r="C2240"/>
      <c r="D2240"/>
      <c r="E2240"/>
      <c r="F2240"/>
      <c r="G2240"/>
    </row>
    <row r="2241" spans="2:7">
      <c r="B2241"/>
      <c r="C2241"/>
      <c r="D2241"/>
      <c r="E2241"/>
      <c r="F2241"/>
      <c r="G2241"/>
    </row>
    <row r="2242" spans="2:7">
      <c r="B2242"/>
      <c r="C2242"/>
      <c r="D2242"/>
      <c r="E2242"/>
      <c r="F2242"/>
      <c r="G2242"/>
    </row>
    <row r="2243" spans="2:7">
      <c r="B2243"/>
      <c r="C2243"/>
      <c r="D2243"/>
      <c r="E2243"/>
      <c r="F2243"/>
      <c r="G2243"/>
    </row>
    <row r="2244" spans="2:7">
      <c r="B2244"/>
      <c r="C2244"/>
      <c r="D2244"/>
      <c r="E2244"/>
      <c r="F2244"/>
      <c r="G2244"/>
    </row>
    <row r="2245" spans="2:7">
      <c r="B2245"/>
      <c r="C2245"/>
      <c r="D2245"/>
      <c r="E2245"/>
      <c r="F2245"/>
      <c r="G2245"/>
    </row>
    <row r="2246" spans="2:7">
      <c r="B2246"/>
      <c r="C2246"/>
      <c r="D2246"/>
      <c r="E2246"/>
      <c r="F2246"/>
      <c r="G2246"/>
    </row>
    <row r="2247" spans="2:7">
      <c r="B2247"/>
      <c r="C2247"/>
      <c r="D2247"/>
      <c r="E2247"/>
      <c r="F2247"/>
      <c r="G2247"/>
    </row>
    <row r="2248" spans="2:7">
      <c r="B2248"/>
      <c r="C2248"/>
      <c r="D2248"/>
      <c r="E2248"/>
      <c r="F2248"/>
      <c r="G2248"/>
    </row>
    <row r="2249" spans="2:7">
      <c r="B2249"/>
      <c r="C2249"/>
      <c r="D2249"/>
      <c r="E2249"/>
      <c r="F2249"/>
      <c r="G2249"/>
    </row>
    <row r="2250" spans="2:7">
      <c r="B2250"/>
      <c r="C2250"/>
      <c r="D2250"/>
      <c r="E2250"/>
      <c r="F2250"/>
      <c r="G2250"/>
    </row>
    <row r="2251" spans="2:7">
      <c r="B2251"/>
      <c r="C2251"/>
      <c r="D2251"/>
      <c r="E2251"/>
      <c r="F2251"/>
      <c r="G2251"/>
    </row>
    <row r="2252" spans="2:7">
      <c r="B2252"/>
      <c r="C2252"/>
      <c r="D2252"/>
      <c r="E2252"/>
      <c r="F2252"/>
      <c r="G2252"/>
    </row>
    <row r="2253" spans="2:7">
      <c r="B2253"/>
      <c r="C2253"/>
      <c r="D2253"/>
      <c r="E2253"/>
      <c r="F2253"/>
      <c r="G2253"/>
    </row>
    <row r="2254" spans="2:7">
      <c r="B2254"/>
      <c r="C2254"/>
      <c r="D2254"/>
      <c r="E2254"/>
      <c r="F2254"/>
      <c r="G2254"/>
    </row>
    <row r="2255" spans="2:7">
      <c r="B2255"/>
      <c r="C2255"/>
      <c r="D2255"/>
      <c r="E2255"/>
      <c r="F2255"/>
      <c r="G2255"/>
    </row>
    <row r="2256" spans="2:7">
      <c r="B2256"/>
      <c r="C2256"/>
      <c r="D2256"/>
      <c r="E2256"/>
      <c r="F2256"/>
      <c r="G2256"/>
    </row>
    <row r="2257" spans="2:7">
      <c r="B2257"/>
      <c r="C2257"/>
      <c r="D2257"/>
      <c r="E2257"/>
      <c r="F2257"/>
      <c r="G2257"/>
    </row>
    <row r="2258" spans="2:7">
      <c r="B2258"/>
      <c r="C2258"/>
      <c r="D2258"/>
      <c r="E2258"/>
      <c r="F2258"/>
      <c r="G2258"/>
    </row>
    <row r="2259" spans="2:7">
      <c r="B2259"/>
      <c r="C2259"/>
      <c r="D2259"/>
      <c r="E2259"/>
      <c r="F2259"/>
      <c r="G2259"/>
    </row>
    <row r="2260" spans="2:7">
      <c r="B2260"/>
      <c r="C2260"/>
      <c r="D2260"/>
      <c r="E2260"/>
      <c r="F2260"/>
      <c r="G2260"/>
    </row>
    <row r="2261" spans="2:7">
      <c r="B2261"/>
      <c r="C2261"/>
      <c r="D2261"/>
      <c r="E2261"/>
      <c r="F2261"/>
      <c r="G2261"/>
    </row>
    <row r="2262" spans="2:7">
      <c r="B2262"/>
      <c r="C2262"/>
      <c r="D2262"/>
      <c r="E2262"/>
      <c r="F2262"/>
      <c r="G2262"/>
    </row>
    <row r="2263" spans="2:7">
      <c r="B2263"/>
      <c r="C2263"/>
      <c r="D2263"/>
      <c r="E2263"/>
      <c r="F2263"/>
      <c r="G2263"/>
    </row>
    <row r="2264" spans="2:7">
      <c r="B2264"/>
      <c r="C2264"/>
      <c r="D2264"/>
      <c r="E2264"/>
      <c r="F2264"/>
      <c r="G2264"/>
    </row>
    <row r="2265" spans="2:7">
      <c r="B2265"/>
      <c r="C2265"/>
      <c r="D2265"/>
      <c r="E2265"/>
      <c r="F2265"/>
      <c r="G2265"/>
    </row>
    <row r="2266" spans="2:7">
      <c r="B2266"/>
      <c r="C2266"/>
      <c r="D2266"/>
      <c r="E2266"/>
      <c r="F2266"/>
      <c r="G2266"/>
    </row>
    <row r="2267" spans="2:7">
      <c r="B2267"/>
      <c r="C2267"/>
      <c r="D2267"/>
      <c r="E2267"/>
      <c r="F2267"/>
      <c r="G2267"/>
    </row>
    <row r="2268" spans="2:7">
      <c r="B2268"/>
      <c r="C2268"/>
      <c r="D2268"/>
      <c r="E2268"/>
      <c r="F2268"/>
      <c r="G2268"/>
    </row>
    <row r="2269" spans="2:7">
      <c r="B2269"/>
      <c r="C2269"/>
      <c r="D2269"/>
      <c r="E2269"/>
      <c r="F2269"/>
      <c r="G2269"/>
    </row>
    <row r="2270" spans="2:7">
      <c r="B2270"/>
      <c r="C2270"/>
      <c r="D2270"/>
      <c r="E2270"/>
      <c r="F2270"/>
      <c r="G2270"/>
    </row>
    <row r="2271" spans="2:7">
      <c r="B2271"/>
      <c r="C2271"/>
      <c r="D2271"/>
      <c r="E2271"/>
      <c r="F2271"/>
      <c r="G2271"/>
    </row>
    <row r="2272" spans="2:7">
      <c r="B2272"/>
      <c r="C2272"/>
      <c r="D2272"/>
      <c r="E2272"/>
      <c r="F2272"/>
      <c r="G2272"/>
    </row>
    <row r="2273" spans="2:7">
      <c r="B2273"/>
      <c r="C2273"/>
      <c r="D2273"/>
      <c r="E2273"/>
      <c r="F2273"/>
      <c r="G2273"/>
    </row>
    <row r="2274" spans="2:7">
      <c r="B2274"/>
      <c r="C2274"/>
      <c r="D2274"/>
      <c r="E2274"/>
      <c r="F2274"/>
      <c r="G2274"/>
    </row>
    <row r="2275" spans="2:7">
      <c r="B2275"/>
      <c r="C2275"/>
      <c r="D2275"/>
      <c r="E2275"/>
      <c r="F2275"/>
      <c r="G2275"/>
    </row>
    <row r="2276" spans="2:7">
      <c r="B2276"/>
      <c r="C2276"/>
      <c r="D2276"/>
      <c r="E2276"/>
      <c r="F2276"/>
      <c r="G2276"/>
    </row>
    <row r="2277" spans="2:7">
      <c r="B2277"/>
      <c r="C2277"/>
      <c r="D2277"/>
      <c r="E2277"/>
      <c r="F2277"/>
      <c r="G2277"/>
    </row>
    <row r="2278" spans="2:7">
      <c r="B2278"/>
      <c r="C2278"/>
      <c r="D2278"/>
      <c r="E2278"/>
      <c r="F2278"/>
      <c r="G2278"/>
    </row>
    <row r="2279" spans="2:7">
      <c r="B2279"/>
      <c r="C2279"/>
      <c r="D2279"/>
      <c r="E2279"/>
      <c r="F2279"/>
      <c r="G2279"/>
    </row>
    <row r="2280" spans="2:7">
      <c r="B2280"/>
      <c r="C2280"/>
      <c r="D2280"/>
      <c r="E2280"/>
      <c r="F2280"/>
      <c r="G2280"/>
    </row>
    <row r="2281" spans="2:7">
      <c r="B2281"/>
      <c r="C2281"/>
      <c r="D2281"/>
      <c r="E2281"/>
      <c r="F2281"/>
      <c r="G2281"/>
    </row>
    <row r="2282" spans="2:7">
      <c r="B2282"/>
      <c r="C2282"/>
      <c r="D2282"/>
      <c r="E2282"/>
      <c r="F2282"/>
      <c r="G2282"/>
    </row>
    <row r="2283" spans="2:7">
      <c r="B2283"/>
      <c r="C2283"/>
      <c r="D2283"/>
      <c r="E2283"/>
      <c r="F2283"/>
      <c r="G2283"/>
    </row>
    <row r="2284" spans="2:7">
      <c r="B2284"/>
      <c r="C2284"/>
      <c r="D2284"/>
      <c r="E2284"/>
      <c r="F2284"/>
      <c r="G2284"/>
    </row>
    <row r="2285" spans="2:7">
      <c r="B2285"/>
      <c r="C2285"/>
      <c r="D2285"/>
      <c r="E2285"/>
      <c r="F2285"/>
      <c r="G2285"/>
    </row>
    <row r="2286" spans="2:7">
      <c r="B2286"/>
      <c r="C2286"/>
      <c r="D2286"/>
      <c r="E2286"/>
      <c r="F2286"/>
      <c r="G2286"/>
    </row>
    <row r="2287" spans="2:7">
      <c r="B2287"/>
      <c r="C2287"/>
      <c r="D2287"/>
      <c r="E2287"/>
      <c r="F2287"/>
      <c r="G2287"/>
    </row>
    <row r="2288" spans="2:7">
      <c r="B2288"/>
      <c r="C2288"/>
      <c r="D2288"/>
      <c r="E2288"/>
      <c r="F2288"/>
      <c r="G2288"/>
    </row>
    <row r="2289" spans="2:7">
      <c r="B2289"/>
      <c r="C2289"/>
      <c r="D2289"/>
      <c r="E2289"/>
      <c r="F2289"/>
      <c r="G2289"/>
    </row>
    <row r="2290" spans="2:7">
      <c r="B2290"/>
      <c r="C2290"/>
      <c r="D2290"/>
      <c r="E2290"/>
      <c r="F2290"/>
      <c r="G2290"/>
    </row>
    <row r="2291" spans="2:7">
      <c r="B2291"/>
      <c r="C2291"/>
      <c r="D2291"/>
      <c r="E2291"/>
      <c r="F2291"/>
      <c r="G2291"/>
    </row>
    <row r="2292" spans="2:7">
      <c r="B2292"/>
      <c r="C2292"/>
      <c r="D2292"/>
      <c r="E2292"/>
      <c r="F2292"/>
      <c r="G2292"/>
    </row>
    <row r="2293" spans="2:7">
      <c r="B2293"/>
      <c r="C2293"/>
      <c r="D2293"/>
      <c r="E2293"/>
      <c r="F2293"/>
      <c r="G2293"/>
    </row>
    <row r="2294" spans="2:7">
      <c r="B2294"/>
      <c r="C2294"/>
      <c r="D2294"/>
      <c r="E2294"/>
      <c r="F2294"/>
      <c r="G2294"/>
    </row>
    <row r="2295" spans="2:7">
      <c r="B2295"/>
      <c r="C2295"/>
      <c r="D2295"/>
      <c r="E2295"/>
      <c r="F2295"/>
      <c r="G2295"/>
    </row>
    <row r="2296" spans="2:7">
      <c r="B2296"/>
      <c r="C2296"/>
      <c r="D2296"/>
      <c r="E2296"/>
      <c r="F2296"/>
      <c r="G2296"/>
    </row>
    <row r="2297" spans="2:7">
      <c r="B2297"/>
      <c r="C2297"/>
      <c r="D2297"/>
      <c r="E2297"/>
      <c r="F2297"/>
      <c r="G2297"/>
    </row>
    <row r="2298" spans="2:7">
      <c r="B2298"/>
      <c r="C2298"/>
      <c r="D2298"/>
      <c r="E2298"/>
      <c r="F2298"/>
      <c r="G2298"/>
    </row>
    <row r="2299" spans="2:7">
      <c r="B2299"/>
      <c r="C2299"/>
      <c r="D2299"/>
      <c r="E2299"/>
      <c r="F2299"/>
      <c r="G2299"/>
    </row>
    <row r="2300" spans="2:7">
      <c r="B2300"/>
      <c r="C2300"/>
      <c r="D2300"/>
      <c r="E2300"/>
      <c r="F2300"/>
      <c r="G2300"/>
    </row>
    <row r="2301" spans="2:7">
      <c r="B2301"/>
      <c r="C2301"/>
      <c r="D2301"/>
      <c r="E2301"/>
      <c r="F2301"/>
      <c r="G2301"/>
    </row>
    <row r="2302" spans="2:7">
      <c r="B2302"/>
      <c r="C2302"/>
      <c r="D2302"/>
      <c r="E2302"/>
      <c r="F2302"/>
      <c r="G2302"/>
    </row>
    <row r="2303" spans="2:7">
      <c r="B2303"/>
      <c r="C2303"/>
      <c r="D2303"/>
      <c r="E2303"/>
      <c r="F2303"/>
      <c r="G2303"/>
    </row>
    <row r="2304" spans="2:7">
      <c r="B2304"/>
      <c r="C2304"/>
      <c r="D2304"/>
      <c r="E2304"/>
      <c r="F2304"/>
      <c r="G2304"/>
    </row>
    <row r="2305" spans="2:7">
      <c r="B2305"/>
      <c r="C2305"/>
      <c r="D2305"/>
      <c r="E2305"/>
      <c r="F2305"/>
      <c r="G2305"/>
    </row>
    <row r="2306" spans="2:7">
      <c r="B2306"/>
      <c r="C2306"/>
      <c r="D2306"/>
      <c r="E2306"/>
      <c r="F2306"/>
      <c r="G2306"/>
    </row>
    <row r="2307" spans="2:7">
      <c r="B2307"/>
      <c r="C2307"/>
      <c r="D2307"/>
      <c r="E2307"/>
      <c r="F2307"/>
      <c r="G2307"/>
    </row>
    <row r="2308" spans="2:7">
      <c r="B2308"/>
      <c r="C2308"/>
      <c r="D2308"/>
      <c r="E2308"/>
      <c r="F2308"/>
      <c r="G2308"/>
    </row>
    <row r="2309" spans="2:7">
      <c r="B2309"/>
      <c r="C2309"/>
      <c r="D2309"/>
      <c r="E2309"/>
      <c r="F2309"/>
      <c r="G2309"/>
    </row>
    <row r="2310" spans="2:7">
      <c r="B2310"/>
      <c r="C2310"/>
      <c r="D2310"/>
      <c r="E2310"/>
      <c r="F2310"/>
      <c r="G2310"/>
    </row>
    <row r="2311" spans="2:7">
      <c r="B2311"/>
      <c r="C2311"/>
      <c r="D2311"/>
      <c r="E2311"/>
      <c r="F2311"/>
      <c r="G2311"/>
    </row>
    <row r="2312" spans="2:7">
      <c r="B2312"/>
      <c r="C2312"/>
      <c r="D2312"/>
      <c r="E2312"/>
      <c r="F2312"/>
      <c r="G2312"/>
    </row>
    <row r="2313" spans="2:7">
      <c r="B2313"/>
      <c r="C2313"/>
      <c r="D2313"/>
      <c r="E2313"/>
      <c r="F2313"/>
      <c r="G2313"/>
    </row>
    <row r="2314" spans="2:7">
      <c r="B2314"/>
      <c r="C2314"/>
      <c r="D2314"/>
      <c r="E2314"/>
      <c r="F2314"/>
      <c r="G2314"/>
    </row>
    <row r="2315" spans="2:7">
      <c r="B2315"/>
      <c r="C2315"/>
      <c r="D2315"/>
      <c r="E2315"/>
      <c r="F2315"/>
      <c r="G2315"/>
    </row>
    <row r="2316" spans="2:7">
      <c r="B2316"/>
      <c r="C2316"/>
      <c r="D2316"/>
      <c r="E2316"/>
      <c r="F2316"/>
      <c r="G2316"/>
    </row>
    <row r="2317" spans="2:7">
      <c r="B2317"/>
      <c r="C2317"/>
      <c r="D2317"/>
      <c r="E2317"/>
      <c r="F2317"/>
      <c r="G2317"/>
    </row>
    <row r="2318" spans="2:7">
      <c r="B2318"/>
      <c r="C2318"/>
      <c r="D2318"/>
      <c r="E2318"/>
      <c r="F2318"/>
      <c r="G2318"/>
    </row>
    <row r="2319" spans="2:7">
      <c r="B2319"/>
      <c r="C2319"/>
      <c r="D2319"/>
      <c r="E2319"/>
      <c r="F2319"/>
      <c r="G2319"/>
    </row>
    <row r="2320" spans="2:7">
      <c r="B2320"/>
      <c r="C2320"/>
      <c r="D2320"/>
      <c r="E2320"/>
      <c r="F2320"/>
      <c r="G2320"/>
    </row>
    <row r="2321" spans="2:7">
      <c r="B2321"/>
      <c r="C2321"/>
      <c r="D2321"/>
      <c r="E2321"/>
      <c r="F2321"/>
      <c r="G2321"/>
    </row>
    <row r="2322" spans="2:7">
      <c r="B2322"/>
      <c r="C2322"/>
      <c r="D2322"/>
      <c r="E2322"/>
      <c r="F2322"/>
      <c r="G2322"/>
    </row>
    <row r="2323" spans="2:7">
      <c r="B2323"/>
      <c r="C2323"/>
      <c r="D2323"/>
      <c r="E2323"/>
      <c r="F2323"/>
      <c r="G2323"/>
    </row>
    <row r="2324" spans="2:7">
      <c r="B2324"/>
      <c r="C2324"/>
      <c r="D2324"/>
      <c r="E2324"/>
      <c r="F2324"/>
      <c r="G2324"/>
    </row>
    <row r="2325" spans="2:7">
      <c r="B2325"/>
      <c r="C2325"/>
      <c r="D2325"/>
      <c r="E2325"/>
      <c r="F2325"/>
      <c r="G2325"/>
    </row>
    <row r="2326" spans="2:7">
      <c r="B2326"/>
      <c r="C2326"/>
      <c r="D2326"/>
      <c r="E2326"/>
      <c r="F2326"/>
      <c r="G2326"/>
    </row>
    <row r="2327" spans="2:7">
      <c r="B2327"/>
      <c r="C2327"/>
      <c r="D2327"/>
      <c r="E2327"/>
      <c r="F2327"/>
      <c r="G2327"/>
    </row>
    <row r="2328" spans="2:7">
      <c r="B2328"/>
      <c r="C2328"/>
      <c r="D2328"/>
      <c r="E2328"/>
      <c r="F2328"/>
      <c r="G2328"/>
    </row>
    <row r="2329" spans="2:7">
      <c r="B2329"/>
      <c r="C2329"/>
      <c r="D2329"/>
      <c r="E2329"/>
      <c r="F2329"/>
      <c r="G2329"/>
    </row>
    <row r="2330" spans="2:7">
      <c r="B2330"/>
      <c r="C2330"/>
      <c r="D2330"/>
      <c r="E2330"/>
      <c r="F2330"/>
      <c r="G2330"/>
    </row>
    <row r="2331" spans="2:7">
      <c r="B2331"/>
      <c r="C2331"/>
      <c r="D2331"/>
      <c r="E2331"/>
      <c r="F2331"/>
      <c r="G2331"/>
    </row>
    <row r="2332" spans="2:7">
      <c r="B2332"/>
      <c r="C2332"/>
      <c r="D2332"/>
      <c r="E2332"/>
      <c r="F2332"/>
      <c r="G2332"/>
    </row>
    <row r="2333" spans="2:7">
      <c r="B2333"/>
      <c r="C2333"/>
      <c r="D2333"/>
      <c r="E2333"/>
      <c r="F2333"/>
      <c r="G2333"/>
    </row>
    <row r="2334" spans="2:7">
      <c r="B2334"/>
      <c r="C2334"/>
      <c r="D2334"/>
      <c r="E2334"/>
      <c r="F2334"/>
      <c r="G2334"/>
    </row>
    <row r="2335" spans="2:7">
      <c r="B2335"/>
      <c r="C2335"/>
      <c r="D2335"/>
      <c r="E2335"/>
      <c r="F2335"/>
      <c r="G2335"/>
    </row>
    <row r="2336" spans="2:7">
      <c r="B2336"/>
      <c r="C2336"/>
      <c r="D2336"/>
      <c r="E2336"/>
      <c r="F2336"/>
      <c r="G2336"/>
    </row>
    <row r="2337" spans="2:7">
      <c r="B2337"/>
      <c r="C2337"/>
      <c r="D2337"/>
      <c r="E2337"/>
      <c r="F2337"/>
      <c r="G2337"/>
    </row>
    <row r="2338" spans="2:7">
      <c r="B2338"/>
      <c r="C2338"/>
      <c r="D2338"/>
      <c r="E2338"/>
      <c r="F2338"/>
      <c r="G2338"/>
    </row>
    <row r="2339" spans="2:7">
      <c r="B2339"/>
      <c r="C2339"/>
      <c r="D2339"/>
      <c r="E2339"/>
      <c r="F2339"/>
      <c r="G2339"/>
    </row>
    <row r="2340" spans="2:7">
      <c r="B2340"/>
      <c r="C2340"/>
      <c r="D2340"/>
      <c r="E2340"/>
      <c r="F2340"/>
      <c r="G2340"/>
    </row>
    <row r="2341" spans="2:7">
      <c r="B2341"/>
      <c r="C2341"/>
      <c r="D2341"/>
      <c r="E2341"/>
      <c r="F2341"/>
      <c r="G2341"/>
    </row>
    <row r="2342" spans="2:7">
      <c r="B2342"/>
      <c r="C2342"/>
      <c r="D2342"/>
      <c r="E2342"/>
      <c r="F2342"/>
      <c r="G2342"/>
    </row>
    <row r="2343" spans="2:7">
      <c r="B2343"/>
      <c r="C2343"/>
      <c r="D2343"/>
      <c r="E2343"/>
      <c r="F2343"/>
      <c r="G2343"/>
    </row>
    <row r="2344" spans="2:7">
      <c r="B2344"/>
      <c r="C2344"/>
      <c r="D2344"/>
      <c r="E2344"/>
      <c r="F2344"/>
      <c r="G2344"/>
    </row>
    <row r="2345" spans="2:7">
      <c r="B2345"/>
      <c r="C2345"/>
      <c r="D2345"/>
      <c r="E2345"/>
      <c r="F2345"/>
      <c r="G2345"/>
    </row>
    <row r="2346" spans="2:7">
      <c r="B2346"/>
      <c r="C2346"/>
      <c r="D2346"/>
      <c r="E2346"/>
      <c r="F2346"/>
      <c r="G2346"/>
    </row>
    <row r="2347" spans="2:7">
      <c r="B2347"/>
      <c r="C2347"/>
      <c r="D2347"/>
      <c r="E2347"/>
      <c r="F2347"/>
      <c r="G2347"/>
    </row>
    <row r="2348" spans="2:7">
      <c r="B2348"/>
      <c r="C2348"/>
      <c r="D2348"/>
      <c r="E2348"/>
      <c r="F2348"/>
      <c r="G2348"/>
    </row>
    <row r="2349" spans="2:7">
      <c r="B2349"/>
      <c r="C2349"/>
      <c r="D2349"/>
      <c r="E2349"/>
      <c r="F2349"/>
      <c r="G2349"/>
    </row>
    <row r="2350" spans="2:7">
      <c r="B2350"/>
      <c r="C2350"/>
      <c r="D2350"/>
      <c r="E2350"/>
      <c r="F2350"/>
      <c r="G2350"/>
    </row>
    <row r="2351" spans="2:7">
      <c r="B2351"/>
      <c r="C2351"/>
      <c r="D2351"/>
      <c r="E2351"/>
      <c r="F2351"/>
      <c r="G2351"/>
    </row>
    <row r="2352" spans="2:7">
      <c r="B2352"/>
      <c r="C2352"/>
      <c r="D2352"/>
      <c r="E2352"/>
      <c r="F2352"/>
      <c r="G2352"/>
    </row>
    <row r="2353" spans="2:7">
      <c r="B2353"/>
      <c r="C2353"/>
      <c r="D2353"/>
      <c r="E2353"/>
      <c r="F2353"/>
      <c r="G2353"/>
    </row>
    <row r="2354" spans="2:7">
      <c r="B2354"/>
      <c r="C2354"/>
      <c r="D2354"/>
      <c r="E2354"/>
      <c r="F2354"/>
      <c r="G2354"/>
    </row>
    <row r="2355" spans="2:7">
      <c r="B2355"/>
      <c r="C2355"/>
      <c r="D2355"/>
      <c r="E2355"/>
      <c r="F2355"/>
      <c r="G2355"/>
    </row>
    <row r="2356" spans="2:7">
      <c r="B2356"/>
      <c r="C2356"/>
      <c r="D2356"/>
      <c r="E2356"/>
      <c r="F2356"/>
      <c r="G2356"/>
    </row>
    <row r="2357" spans="2:7">
      <c r="B2357"/>
      <c r="C2357"/>
      <c r="D2357"/>
      <c r="E2357"/>
      <c r="F2357"/>
      <c r="G2357"/>
    </row>
    <row r="2358" spans="2:7">
      <c r="B2358"/>
      <c r="C2358"/>
      <c r="D2358"/>
      <c r="E2358"/>
      <c r="F2358"/>
      <c r="G2358"/>
    </row>
    <row r="2359" spans="2:7">
      <c r="B2359"/>
      <c r="C2359"/>
      <c r="D2359"/>
      <c r="E2359"/>
      <c r="F2359"/>
      <c r="G2359"/>
    </row>
    <row r="2360" spans="2:7">
      <c r="B2360"/>
      <c r="C2360"/>
      <c r="D2360"/>
      <c r="E2360"/>
      <c r="F2360"/>
      <c r="G2360"/>
    </row>
    <row r="2361" spans="2:7">
      <c r="B2361"/>
      <c r="C2361"/>
      <c r="D2361"/>
      <c r="E2361"/>
      <c r="F2361"/>
      <c r="G2361"/>
    </row>
    <row r="2362" spans="2:7">
      <c r="B2362"/>
      <c r="C2362"/>
      <c r="D2362"/>
      <c r="E2362"/>
      <c r="F2362"/>
      <c r="G2362"/>
    </row>
    <row r="2363" spans="2:7">
      <c r="B2363"/>
      <c r="C2363"/>
      <c r="D2363"/>
      <c r="E2363"/>
      <c r="F2363"/>
      <c r="G2363"/>
    </row>
    <row r="2364" spans="2:7">
      <c r="B2364"/>
      <c r="C2364"/>
      <c r="D2364"/>
      <c r="E2364"/>
      <c r="F2364"/>
      <c r="G2364"/>
    </row>
    <row r="2365" spans="2:7">
      <c r="B2365"/>
      <c r="C2365"/>
      <c r="D2365"/>
      <c r="E2365"/>
      <c r="F2365"/>
      <c r="G2365"/>
    </row>
    <row r="2366" spans="2:7">
      <c r="B2366"/>
      <c r="C2366"/>
      <c r="D2366"/>
      <c r="E2366"/>
      <c r="F2366"/>
      <c r="G2366"/>
    </row>
    <row r="2367" spans="2:7">
      <c r="B2367"/>
      <c r="C2367"/>
      <c r="D2367"/>
      <c r="E2367"/>
      <c r="F2367"/>
      <c r="G2367"/>
    </row>
    <row r="2368" spans="2:7">
      <c r="B2368"/>
      <c r="C2368"/>
      <c r="D2368"/>
      <c r="E2368"/>
      <c r="F2368"/>
      <c r="G2368"/>
    </row>
    <row r="2369" spans="2:7">
      <c r="B2369"/>
      <c r="C2369"/>
      <c r="D2369"/>
      <c r="E2369"/>
      <c r="F2369"/>
      <c r="G2369"/>
    </row>
    <row r="2370" spans="2:7">
      <c r="B2370"/>
      <c r="C2370"/>
      <c r="D2370"/>
      <c r="E2370"/>
      <c r="F2370"/>
      <c r="G2370"/>
    </row>
    <row r="2371" spans="2:7">
      <c r="B2371"/>
      <c r="C2371"/>
      <c r="D2371"/>
      <c r="E2371"/>
      <c r="F2371"/>
      <c r="G2371"/>
    </row>
    <row r="2372" spans="2:7">
      <c r="B2372"/>
      <c r="C2372"/>
      <c r="D2372"/>
      <c r="E2372"/>
      <c r="F2372"/>
      <c r="G2372"/>
    </row>
    <row r="2373" spans="2:7">
      <c r="B2373"/>
      <c r="C2373"/>
      <c r="D2373"/>
      <c r="E2373"/>
      <c r="F2373"/>
      <c r="G2373"/>
    </row>
    <row r="2374" spans="2:7">
      <c r="B2374"/>
      <c r="C2374"/>
      <c r="D2374"/>
      <c r="E2374"/>
      <c r="F2374"/>
      <c r="G2374"/>
    </row>
    <row r="2375" spans="2:7">
      <c r="B2375"/>
      <c r="C2375"/>
      <c r="D2375"/>
      <c r="E2375"/>
      <c r="F2375"/>
      <c r="G2375"/>
    </row>
    <row r="2376" spans="2:7">
      <c r="B2376"/>
      <c r="C2376"/>
      <c r="D2376"/>
      <c r="E2376"/>
      <c r="F2376"/>
      <c r="G2376"/>
    </row>
    <row r="2377" spans="2:7">
      <c r="B2377"/>
      <c r="C2377"/>
      <c r="D2377"/>
      <c r="E2377"/>
      <c r="F2377"/>
      <c r="G2377"/>
    </row>
    <row r="2378" spans="2:7">
      <c r="B2378"/>
      <c r="C2378"/>
      <c r="D2378"/>
      <c r="E2378"/>
      <c r="F2378"/>
      <c r="G2378"/>
    </row>
    <row r="2379" spans="2:7">
      <c r="B2379"/>
      <c r="C2379"/>
      <c r="D2379"/>
      <c r="E2379"/>
      <c r="F2379"/>
      <c r="G2379"/>
    </row>
    <row r="2380" spans="2:7">
      <c r="B2380"/>
      <c r="C2380"/>
      <c r="D2380"/>
      <c r="E2380"/>
      <c r="F2380"/>
      <c r="G2380"/>
    </row>
    <row r="2381" spans="2:7">
      <c r="B2381"/>
      <c r="C2381"/>
      <c r="D2381"/>
      <c r="E2381"/>
      <c r="F2381"/>
      <c r="G2381"/>
    </row>
    <row r="2382" spans="2:7">
      <c r="B2382"/>
      <c r="C2382"/>
      <c r="D2382"/>
      <c r="E2382"/>
      <c r="F2382"/>
      <c r="G2382"/>
    </row>
    <row r="2383" spans="2:7">
      <c r="B2383"/>
      <c r="C2383"/>
      <c r="D2383"/>
      <c r="E2383"/>
      <c r="F2383"/>
      <c r="G2383"/>
    </row>
    <row r="2384" spans="2:7">
      <c r="B2384"/>
      <c r="C2384"/>
      <c r="D2384"/>
      <c r="E2384"/>
      <c r="F2384"/>
      <c r="G2384"/>
    </row>
    <row r="2385" spans="2:7">
      <c r="B2385"/>
      <c r="C2385"/>
      <c r="D2385"/>
      <c r="E2385"/>
      <c r="F2385"/>
      <c r="G2385"/>
    </row>
    <row r="2386" spans="2:7">
      <c r="B2386"/>
      <c r="C2386"/>
      <c r="D2386"/>
      <c r="E2386"/>
      <c r="F2386"/>
      <c r="G2386"/>
    </row>
    <row r="2387" spans="2:7">
      <c r="B2387"/>
      <c r="C2387"/>
      <c r="D2387"/>
      <c r="E2387"/>
      <c r="F2387"/>
      <c r="G2387"/>
    </row>
    <row r="2388" spans="2:7">
      <c r="B2388"/>
      <c r="C2388"/>
      <c r="D2388"/>
      <c r="E2388"/>
      <c r="F2388"/>
      <c r="G2388"/>
    </row>
    <row r="2389" spans="2:7">
      <c r="B2389"/>
      <c r="C2389"/>
      <c r="D2389"/>
      <c r="E2389"/>
      <c r="F2389"/>
      <c r="G2389"/>
    </row>
    <row r="2390" spans="2:7">
      <c r="B2390"/>
      <c r="C2390"/>
      <c r="D2390"/>
      <c r="E2390"/>
      <c r="F2390"/>
      <c r="G2390"/>
    </row>
    <row r="2391" spans="2:7">
      <c r="B2391"/>
      <c r="C2391"/>
      <c r="D2391"/>
      <c r="E2391"/>
      <c r="F2391"/>
      <c r="G2391"/>
    </row>
    <row r="2392" spans="2:7">
      <c r="B2392"/>
      <c r="C2392"/>
      <c r="D2392"/>
      <c r="E2392"/>
      <c r="F2392"/>
      <c r="G2392"/>
    </row>
    <row r="2393" spans="2:7">
      <c r="B2393"/>
      <c r="C2393"/>
      <c r="D2393"/>
      <c r="E2393"/>
      <c r="F2393"/>
      <c r="G2393"/>
    </row>
    <row r="2394" spans="2:7">
      <c r="B2394"/>
      <c r="C2394"/>
      <c r="D2394"/>
      <c r="E2394"/>
      <c r="F2394"/>
      <c r="G2394"/>
    </row>
    <row r="2395" spans="2:7">
      <c r="B2395"/>
      <c r="C2395"/>
      <c r="D2395"/>
      <c r="E2395"/>
      <c r="F2395"/>
      <c r="G2395"/>
    </row>
    <row r="2396" spans="2:7">
      <c r="B2396"/>
      <c r="C2396"/>
      <c r="D2396"/>
      <c r="E2396"/>
      <c r="F2396"/>
      <c r="G2396"/>
    </row>
    <row r="2397" spans="2:7">
      <c r="B2397"/>
      <c r="C2397"/>
      <c r="D2397"/>
      <c r="E2397"/>
      <c r="F2397"/>
      <c r="G2397"/>
    </row>
    <row r="2398" spans="2:7">
      <c r="B2398"/>
      <c r="C2398"/>
      <c r="D2398"/>
      <c r="E2398"/>
      <c r="F2398"/>
      <c r="G2398"/>
    </row>
    <row r="2399" spans="2:7">
      <c r="B2399"/>
      <c r="C2399"/>
      <c r="D2399"/>
      <c r="E2399"/>
      <c r="F2399"/>
      <c r="G2399"/>
    </row>
    <row r="2400" spans="2:7">
      <c r="B2400"/>
      <c r="C2400"/>
      <c r="D2400"/>
      <c r="E2400"/>
      <c r="F2400"/>
      <c r="G2400"/>
    </row>
    <row r="2401" spans="2:7">
      <c r="B2401"/>
      <c r="C2401"/>
      <c r="D2401"/>
      <c r="E2401"/>
      <c r="F2401"/>
      <c r="G2401"/>
    </row>
    <row r="2402" spans="2:7">
      <c r="B2402"/>
      <c r="C2402"/>
      <c r="D2402"/>
      <c r="E2402"/>
      <c r="F2402"/>
      <c r="G2402"/>
    </row>
    <row r="2403" spans="2:7">
      <c r="B2403"/>
      <c r="C2403"/>
      <c r="D2403"/>
      <c r="E2403"/>
      <c r="F2403"/>
      <c r="G2403"/>
    </row>
    <row r="2404" spans="2:7">
      <c r="B2404"/>
      <c r="C2404"/>
      <c r="D2404"/>
      <c r="E2404"/>
      <c r="F2404"/>
      <c r="G2404"/>
    </row>
    <row r="2405" spans="2:7">
      <c r="B2405"/>
      <c r="C2405"/>
      <c r="D2405"/>
      <c r="E2405"/>
      <c r="F2405"/>
      <c r="G2405"/>
    </row>
    <row r="2406" spans="2:7">
      <c r="B2406"/>
      <c r="C2406"/>
      <c r="D2406"/>
      <c r="E2406"/>
      <c r="F2406"/>
      <c r="G2406"/>
    </row>
    <row r="2407" spans="2:7">
      <c r="B2407"/>
      <c r="C2407"/>
      <c r="D2407"/>
      <c r="E2407"/>
      <c r="F2407"/>
      <c r="G2407"/>
    </row>
    <row r="2408" spans="2:7">
      <c r="B2408"/>
      <c r="C2408"/>
      <c r="D2408"/>
      <c r="E2408"/>
      <c r="F2408"/>
      <c r="G2408"/>
    </row>
    <row r="2409" spans="2:7">
      <c r="B2409"/>
      <c r="C2409"/>
      <c r="D2409"/>
      <c r="E2409"/>
      <c r="F2409"/>
      <c r="G2409"/>
    </row>
    <row r="2410" spans="2:7">
      <c r="B2410"/>
      <c r="C2410"/>
      <c r="D2410"/>
      <c r="E2410"/>
      <c r="F2410"/>
      <c r="G2410"/>
    </row>
    <row r="2411" spans="2:7">
      <c r="B2411"/>
      <c r="C2411"/>
      <c r="D2411"/>
      <c r="E2411"/>
      <c r="F2411"/>
      <c r="G2411"/>
    </row>
    <row r="2412" spans="2:7">
      <c r="B2412"/>
      <c r="C2412"/>
      <c r="D2412"/>
      <c r="E2412"/>
      <c r="F2412"/>
      <c r="G2412"/>
    </row>
    <row r="2413" spans="2:7">
      <c r="B2413"/>
      <c r="C2413"/>
      <c r="D2413"/>
      <c r="E2413"/>
      <c r="F2413"/>
      <c r="G2413"/>
    </row>
    <row r="2414" spans="2:7">
      <c r="B2414"/>
      <c r="C2414"/>
      <c r="D2414"/>
      <c r="E2414"/>
      <c r="F2414"/>
      <c r="G2414"/>
    </row>
    <row r="2415" spans="2:7">
      <c r="B2415"/>
      <c r="C2415"/>
      <c r="D2415"/>
      <c r="E2415"/>
      <c r="F2415"/>
      <c r="G2415"/>
    </row>
    <row r="2416" spans="2:7">
      <c r="B2416"/>
      <c r="C2416"/>
      <c r="D2416"/>
      <c r="E2416"/>
      <c r="F2416"/>
      <c r="G2416"/>
    </row>
    <row r="2417" spans="2:7">
      <c r="B2417"/>
      <c r="C2417"/>
      <c r="D2417"/>
      <c r="E2417"/>
      <c r="F2417"/>
      <c r="G2417"/>
    </row>
    <row r="2418" spans="2:7">
      <c r="B2418"/>
      <c r="C2418"/>
      <c r="D2418"/>
      <c r="E2418"/>
      <c r="F2418"/>
      <c r="G2418"/>
    </row>
    <row r="2419" spans="2:7">
      <c r="B2419"/>
      <c r="C2419"/>
      <c r="D2419"/>
      <c r="E2419"/>
      <c r="F2419"/>
      <c r="G2419"/>
    </row>
    <row r="2420" spans="2:7">
      <c r="B2420"/>
      <c r="C2420"/>
      <c r="D2420"/>
      <c r="E2420"/>
      <c r="F2420"/>
      <c r="G2420"/>
    </row>
    <row r="2421" spans="2:7">
      <c r="B2421"/>
      <c r="C2421"/>
      <c r="D2421"/>
      <c r="E2421"/>
      <c r="F2421"/>
      <c r="G2421"/>
    </row>
    <row r="2422" spans="2:7">
      <c r="B2422"/>
      <c r="C2422"/>
      <c r="D2422"/>
      <c r="E2422"/>
      <c r="F2422"/>
      <c r="G2422"/>
    </row>
    <row r="2423" spans="2:7">
      <c r="B2423"/>
      <c r="C2423"/>
      <c r="D2423"/>
      <c r="E2423"/>
      <c r="F2423"/>
      <c r="G2423"/>
    </row>
    <row r="2424" spans="2:7">
      <c r="B2424"/>
      <c r="C2424"/>
      <c r="D2424"/>
      <c r="E2424"/>
      <c r="F2424"/>
      <c r="G2424"/>
    </row>
    <row r="2425" spans="2:7">
      <c r="B2425"/>
      <c r="C2425"/>
      <c r="D2425"/>
      <c r="E2425"/>
      <c r="F2425"/>
      <c r="G2425"/>
    </row>
    <row r="2426" spans="2:7">
      <c r="B2426"/>
      <c r="C2426"/>
      <c r="D2426"/>
      <c r="E2426"/>
      <c r="F2426"/>
      <c r="G2426"/>
    </row>
    <row r="2427" spans="2:7">
      <c r="B2427"/>
      <c r="C2427"/>
      <c r="D2427"/>
      <c r="E2427"/>
      <c r="F2427"/>
      <c r="G2427"/>
    </row>
    <row r="2428" spans="2:7">
      <c r="B2428"/>
      <c r="C2428"/>
      <c r="D2428"/>
      <c r="E2428"/>
      <c r="F2428"/>
      <c r="G2428"/>
    </row>
    <row r="2429" spans="2:7">
      <c r="B2429"/>
      <c r="C2429"/>
      <c r="D2429"/>
      <c r="E2429"/>
      <c r="F2429"/>
      <c r="G2429"/>
    </row>
    <row r="2430" spans="2:7">
      <c r="B2430"/>
      <c r="C2430"/>
      <c r="D2430"/>
      <c r="E2430"/>
      <c r="F2430"/>
      <c r="G2430"/>
    </row>
    <row r="2431" spans="2:7">
      <c r="B2431"/>
      <c r="C2431"/>
      <c r="D2431"/>
      <c r="E2431"/>
      <c r="F2431"/>
      <c r="G2431"/>
    </row>
    <row r="2432" spans="2:7">
      <c r="B2432"/>
      <c r="C2432"/>
      <c r="D2432"/>
      <c r="E2432"/>
      <c r="F2432"/>
      <c r="G2432"/>
    </row>
    <row r="2433" spans="2:7">
      <c r="B2433"/>
      <c r="C2433"/>
      <c r="D2433"/>
      <c r="E2433"/>
      <c r="F2433"/>
      <c r="G2433"/>
    </row>
    <row r="2434" spans="2:7">
      <c r="B2434"/>
      <c r="C2434"/>
      <c r="D2434"/>
      <c r="E2434"/>
      <c r="F2434"/>
      <c r="G2434"/>
    </row>
    <row r="2435" spans="2:7">
      <c r="B2435"/>
      <c r="C2435"/>
      <c r="D2435"/>
      <c r="E2435"/>
      <c r="F2435"/>
      <c r="G2435"/>
    </row>
    <row r="2436" spans="2:7">
      <c r="B2436"/>
      <c r="C2436"/>
      <c r="D2436"/>
      <c r="E2436"/>
      <c r="F2436"/>
      <c r="G2436"/>
    </row>
    <row r="2437" spans="2:7">
      <c r="B2437"/>
      <c r="C2437"/>
      <c r="D2437"/>
      <c r="E2437"/>
      <c r="F2437"/>
      <c r="G2437"/>
    </row>
    <row r="2438" spans="2:7">
      <c r="B2438"/>
      <c r="C2438"/>
      <c r="D2438"/>
      <c r="E2438"/>
      <c r="F2438"/>
      <c r="G2438"/>
    </row>
    <row r="2439" spans="2:7">
      <c r="B2439"/>
      <c r="C2439"/>
      <c r="D2439"/>
      <c r="E2439"/>
      <c r="F2439"/>
      <c r="G2439"/>
    </row>
    <row r="2440" spans="2:7">
      <c r="B2440"/>
      <c r="C2440"/>
      <c r="D2440"/>
      <c r="E2440"/>
      <c r="F2440"/>
      <c r="G2440"/>
    </row>
    <row r="2441" spans="2:7">
      <c r="B2441"/>
      <c r="C2441"/>
      <c r="D2441"/>
      <c r="E2441"/>
      <c r="F2441"/>
      <c r="G2441"/>
    </row>
    <row r="2442" spans="2:7">
      <c r="B2442"/>
      <c r="C2442"/>
      <c r="D2442"/>
      <c r="E2442"/>
      <c r="F2442"/>
      <c r="G2442"/>
    </row>
    <row r="2443" spans="2:7">
      <c r="B2443"/>
      <c r="C2443"/>
      <c r="D2443"/>
      <c r="E2443"/>
      <c r="F2443"/>
      <c r="G2443"/>
    </row>
    <row r="2444" spans="2:7">
      <c r="B2444"/>
      <c r="C2444"/>
      <c r="D2444"/>
      <c r="E2444"/>
      <c r="F2444"/>
      <c r="G2444"/>
    </row>
    <row r="2445" spans="2:7">
      <c r="B2445"/>
      <c r="C2445"/>
      <c r="D2445"/>
      <c r="E2445"/>
      <c r="F2445"/>
      <c r="G2445"/>
    </row>
    <row r="2446" spans="2:7">
      <c r="B2446"/>
      <c r="C2446"/>
      <c r="D2446"/>
      <c r="E2446"/>
      <c r="F2446"/>
      <c r="G2446"/>
    </row>
    <row r="2447" spans="2:7">
      <c r="B2447"/>
      <c r="C2447"/>
      <c r="D2447"/>
      <c r="E2447"/>
      <c r="F2447"/>
      <c r="G2447"/>
    </row>
    <row r="2448" spans="2:7">
      <c r="B2448"/>
      <c r="C2448"/>
      <c r="D2448"/>
      <c r="E2448"/>
      <c r="F2448"/>
      <c r="G2448"/>
    </row>
    <row r="2449" spans="2:7">
      <c r="B2449"/>
      <c r="C2449"/>
      <c r="D2449"/>
      <c r="E2449"/>
      <c r="F2449"/>
      <c r="G2449"/>
    </row>
    <row r="2450" spans="2:7">
      <c r="B2450"/>
      <c r="C2450"/>
      <c r="D2450"/>
      <c r="E2450"/>
      <c r="F2450"/>
      <c r="G2450"/>
    </row>
    <row r="2451" spans="2:7">
      <c r="B2451"/>
      <c r="C2451"/>
      <c r="D2451"/>
      <c r="E2451"/>
      <c r="F2451"/>
      <c r="G2451"/>
    </row>
    <row r="2452" spans="2:7">
      <c r="B2452"/>
      <c r="C2452"/>
      <c r="D2452"/>
      <c r="E2452"/>
      <c r="F2452"/>
      <c r="G2452"/>
    </row>
    <row r="2453" spans="2:7">
      <c r="B2453"/>
      <c r="C2453"/>
      <c r="D2453"/>
      <c r="E2453"/>
      <c r="F2453"/>
      <c r="G2453"/>
    </row>
    <row r="2454" spans="2:7">
      <c r="B2454"/>
      <c r="C2454"/>
      <c r="D2454"/>
      <c r="E2454"/>
      <c r="F2454"/>
      <c r="G2454"/>
    </row>
    <row r="2455" spans="2:7">
      <c r="B2455"/>
      <c r="C2455"/>
      <c r="D2455"/>
      <c r="E2455"/>
      <c r="F2455"/>
      <c r="G2455"/>
    </row>
    <row r="2456" spans="2:7">
      <c r="B2456"/>
      <c r="C2456"/>
      <c r="D2456"/>
      <c r="E2456"/>
      <c r="F2456"/>
      <c r="G2456"/>
    </row>
    <row r="2457" spans="2:7">
      <c r="B2457"/>
      <c r="C2457"/>
      <c r="D2457"/>
      <c r="E2457"/>
      <c r="F2457"/>
      <c r="G2457"/>
    </row>
    <row r="2458" spans="2:7">
      <c r="B2458"/>
      <c r="C2458"/>
      <c r="D2458"/>
      <c r="E2458"/>
      <c r="F2458"/>
      <c r="G2458"/>
    </row>
    <row r="2459" spans="2:7">
      <c r="B2459"/>
      <c r="C2459"/>
      <c r="D2459"/>
      <c r="E2459"/>
      <c r="F2459"/>
      <c r="G2459"/>
    </row>
    <row r="2460" spans="2:7">
      <c r="B2460"/>
      <c r="C2460"/>
      <c r="D2460"/>
      <c r="E2460"/>
      <c r="F2460"/>
      <c r="G2460"/>
    </row>
    <row r="2461" spans="2:7">
      <c r="B2461"/>
      <c r="C2461"/>
      <c r="D2461"/>
      <c r="E2461"/>
      <c r="F2461"/>
      <c r="G2461"/>
    </row>
    <row r="2462" spans="2:7">
      <c r="B2462"/>
      <c r="C2462"/>
      <c r="D2462"/>
      <c r="E2462"/>
      <c r="F2462"/>
      <c r="G2462"/>
    </row>
    <row r="2463" spans="2:7">
      <c r="B2463"/>
      <c r="C2463"/>
      <c r="D2463"/>
      <c r="E2463"/>
      <c r="F2463"/>
      <c r="G2463"/>
    </row>
    <row r="2464" spans="2:7">
      <c r="B2464"/>
      <c r="C2464"/>
      <c r="D2464"/>
      <c r="E2464"/>
      <c r="F2464"/>
      <c r="G2464"/>
    </row>
    <row r="2465" spans="2:7">
      <c r="B2465"/>
      <c r="C2465"/>
      <c r="D2465"/>
      <c r="E2465"/>
      <c r="F2465"/>
      <c r="G2465"/>
    </row>
    <row r="2466" spans="2:7">
      <c r="B2466"/>
      <c r="C2466"/>
      <c r="D2466"/>
      <c r="E2466"/>
      <c r="F2466"/>
      <c r="G2466"/>
    </row>
    <row r="2467" spans="2:7">
      <c r="B2467"/>
      <c r="C2467"/>
      <c r="D2467"/>
      <c r="E2467"/>
      <c r="F2467"/>
      <c r="G2467"/>
    </row>
    <row r="2468" spans="2:7">
      <c r="B2468"/>
      <c r="C2468"/>
      <c r="D2468"/>
      <c r="E2468"/>
      <c r="F2468"/>
      <c r="G2468"/>
    </row>
    <row r="2469" spans="2:7">
      <c r="B2469"/>
      <c r="C2469"/>
      <c r="D2469"/>
      <c r="E2469"/>
      <c r="F2469"/>
      <c r="G2469"/>
    </row>
    <row r="2470" spans="2:7">
      <c r="B2470"/>
      <c r="C2470"/>
      <c r="D2470"/>
      <c r="E2470"/>
      <c r="F2470"/>
      <c r="G2470"/>
    </row>
    <row r="2471" spans="2:7">
      <c r="B2471"/>
      <c r="C2471"/>
      <c r="D2471"/>
      <c r="E2471"/>
      <c r="F2471"/>
      <c r="G2471"/>
    </row>
    <row r="2472" spans="2:7">
      <c r="B2472"/>
      <c r="C2472"/>
      <c r="D2472"/>
      <c r="E2472"/>
      <c r="F2472"/>
      <c r="G2472"/>
    </row>
    <row r="2473" spans="2:7">
      <c r="B2473"/>
      <c r="C2473"/>
      <c r="D2473"/>
      <c r="E2473"/>
      <c r="F2473"/>
      <c r="G2473"/>
    </row>
    <row r="2474" spans="2:7">
      <c r="B2474"/>
      <c r="C2474"/>
      <c r="D2474"/>
      <c r="E2474"/>
      <c r="F2474"/>
      <c r="G2474"/>
    </row>
    <row r="2475" spans="2:7">
      <c r="B2475"/>
      <c r="C2475"/>
      <c r="D2475"/>
      <c r="E2475"/>
      <c r="F2475"/>
      <c r="G2475"/>
    </row>
    <row r="2476" spans="2:7">
      <c r="B2476"/>
      <c r="C2476"/>
      <c r="D2476"/>
      <c r="E2476"/>
      <c r="F2476"/>
      <c r="G2476"/>
    </row>
    <row r="2477" spans="2:7">
      <c r="B2477"/>
      <c r="C2477"/>
      <c r="D2477"/>
      <c r="E2477"/>
      <c r="F2477"/>
      <c r="G2477"/>
    </row>
    <row r="2478" spans="2:7">
      <c r="B2478"/>
      <c r="C2478"/>
      <c r="D2478"/>
      <c r="E2478"/>
      <c r="F2478"/>
      <c r="G2478"/>
    </row>
    <row r="2479" spans="2:7">
      <c r="B2479"/>
      <c r="C2479"/>
      <c r="D2479"/>
      <c r="E2479"/>
      <c r="F2479"/>
      <c r="G2479"/>
    </row>
    <row r="2480" spans="2:7">
      <c r="B2480"/>
      <c r="C2480"/>
      <c r="D2480"/>
      <c r="E2480"/>
      <c r="F2480"/>
      <c r="G2480"/>
    </row>
    <row r="2481" spans="2:7">
      <c r="B2481"/>
      <c r="C2481"/>
      <c r="D2481"/>
      <c r="E2481"/>
      <c r="F2481"/>
      <c r="G2481"/>
    </row>
    <row r="2482" spans="2:7">
      <c r="B2482"/>
      <c r="C2482"/>
      <c r="D2482"/>
      <c r="E2482"/>
      <c r="F2482"/>
      <c r="G2482"/>
    </row>
    <row r="2483" spans="2:7">
      <c r="B2483"/>
      <c r="C2483"/>
      <c r="D2483"/>
      <c r="E2483"/>
      <c r="F2483"/>
      <c r="G2483"/>
    </row>
    <row r="2484" spans="2:7">
      <c r="B2484"/>
      <c r="C2484"/>
      <c r="D2484"/>
      <c r="E2484"/>
      <c r="F2484"/>
      <c r="G2484"/>
    </row>
    <row r="2485" spans="2:7">
      <c r="B2485"/>
      <c r="C2485"/>
      <c r="D2485"/>
      <c r="E2485"/>
      <c r="F2485"/>
      <c r="G2485"/>
    </row>
    <row r="2486" spans="2:7">
      <c r="B2486"/>
      <c r="C2486"/>
      <c r="D2486"/>
      <c r="E2486"/>
      <c r="F2486"/>
      <c r="G2486"/>
    </row>
    <row r="2487" spans="2:7">
      <c r="B2487"/>
      <c r="C2487"/>
      <c r="D2487"/>
      <c r="E2487"/>
      <c r="F2487"/>
      <c r="G2487"/>
    </row>
    <row r="2488" spans="2:7">
      <c r="B2488"/>
      <c r="C2488"/>
      <c r="D2488"/>
      <c r="E2488"/>
      <c r="F2488"/>
      <c r="G2488"/>
    </row>
    <row r="2489" spans="2:7">
      <c r="B2489"/>
      <c r="C2489"/>
      <c r="D2489"/>
      <c r="E2489"/>
      <c r="F2489"/>
      <c r="G2489"/>
    </row>
    <row r="2490" spans="2:7">
      <c r="B2490"/>
      <c r="C2490"/>
      <c r="D2490"/>
      <c r="E2490"/>
      <c r="F2490"/>
      <c r="G2490"/>
    </row>
    <row r="2491" spans="2:7">
      <c r="B2491"/>
      <c r="C2491"/>
      <c r="D2491"/>
      <c r="E2491"/>
      <c r="F2491"/>
      <c r="G2491"/>
    </row>
    <row r="2492" spans="2:7">
      <c r="B2492"/>
      <c r="C2492"/>
      <c r="D2492"/>
      <c r="E2492"/>
      <c r="F2492"/>
      <c r="G2492"/>
    </row>
    <row r="2493" spans="2:7">
      <c r="B2493"/>
      <c r="C2493"/>
      <c r="D2493"/>
      <c r="E2493"/>
      <c r="F2493"/>
      <c r="G2493"/>
    </row>
    <row r="2494" spans="2:7">
      <c r="B2494"/>
      <c r="C2494"/>
      <c r="D2494"/>
      <c r="E2494"/>
      <c r="F2494"/>
      <c r="G2494"/>
    </row>
    <row r="2495" spans="2:7">
      <c r="B2495"/>
      <c r="C2495"/>
      <c r="D2495"/>
      <c r="E2495"/>
      <c r="F2495"/>
      <c r="G2495"/>
    </row>
    <row r="2496" spans="2:7">
      <c r="B2496"/>
      <c r="C2496"/>
      <c r="D2496"/>
      <c r="E2496"/>
      <c r="F2496"/>
      <c r="G2496"/>
    </row>
    <row r="2497" spans="2:7">
      <c r="B2497"/>
      <c r="C2497"/>
      <c r="D2497"/>
      <c r="E2497"/>
      <c r="F2497"/>
      <c r="G2497"/>
    </row>
    <row r="2498" spans="2:7">
      <c r="B2498"/>
      <c r="C2498"/>
      <c r="D2498"/>
      <c r="E2498"/>
      <c r="F2498"/>
      <c r="G2498"/>
    </row>
    <row r="2499" spans="2:7">
      <c r="B2499"/>
      <c r="C2499"/>
      <c r="D2499"/>
      <c r="E2499"/>
      <c r="F2499"/>
      <c r="G2499"/>
    </row>
    <row r="2500" spans="2:7">
      <c r="B2500"/>
      <c r="C2500"/>
      <c r="D2500"/>
      <c r="E2500"/>
      <c r="F2500"/>
      <c r="G2500"/>
    </row>
    <row r="2501" spans="2:7">
      <c r="B2501"/>
      <c r="C2501"/>
      <c r="D2501"/>
      <c r="E2501"/>
      <c r="F2501"/>
      <c r="G2501"/>
    </row>
    <row r="2502" spans="2:7">
      <c r="B2502"/>
      <c r="C2502"/>
      <c r="D2502"/>
      <c r="E2502"/>
      <c r="F2502"/>
      <c r="G2502"/>
    </row>
    <row r="2503" spans="2:7">
      <c r="B2503"/>
      <c r="C2503"/>
      <c r="D2503"/>
      <c r="E2503"/>
      <c r="F2503"/>
      <c r="G2503"/>
    </row>
    <row r="2504" spans="2:7">
      <c r="B2504"/>
      <c r="C2504"/>
      <c r="D2504"/>
      <c r="E2504"/>
      <c r="F2504"/>
      <c r="G2504"/>
    </row>
    <row r="2505" spans="2:7">
      <c r="B2505"/>
      <c r="C2505"/>
      <c r="D2505"/>
      <c r="E2505"/>
      <c r="F2505"/>
      <c r="G2505"/>
    </row>
    <row r="2506" spans="2:7">
      <c r="B2506"/>
      <c r="C2506"/>
      <c r="D2506"/>
      <c r="E2506"/>
      <c r="F2506"/>
      <c r="G2506"/>
    </row>
    <row r="2507" spans="2:7">
      <c r="B2507"/>
      <c r="C2507"/>
      <c r="D2507"/>
      <c r="E2507"/>
      <c r="F2507"/>
      <c r="G2507"/>
    </row>
    <row r="2508" spans="2:7">
      <c r="B2508"/>
      <c r="C2508"/>
      <c r="D2508"/>
      <c r="E2508"/>
      <c r="F2508"/>
      <c r="G2508"/>
    </row>
    <row r="2509" spans="2:7">
      <c r="B2509"/>
      <c r="C2509"/>
      <c r="D2509"/>
      <c r="E2509"/>
      <c r="F2509"/>
      <c r="G2509"/>
    </row>
    <row r="2510" spans="2:7">
      <c r="B2510"/>
      <c r="C2510"/>
      <c r="D2510"/>
      <c r="E2510"/>
      <c r="F2510"/>
      <c r="G2510"/>
    </row>
    <row r="2511" spans="2:7">
      <c r="B2511"/>
      <c r="C2511"/>
      <c r="D2511"/>
      <c r="E2511"/>
      <c r="F2511"/>
      <c r="G2511"/>
    </row>
    <row r="2512" spans="2:7">
      <c r="B2512"/>
      <c r="C2512"/>
      <c r="D2512"/>
      <c r="E2512"/>
      <c r="F2512"/>
      <c r="G2512"/>
    </row>
    <row r="2513" spans="2:7">
      <c r="B2513"/>
      <c r="C2513"/>
      <c r="D2513"/>
      <c r="E2513"/>
      <c r="F2513"/>
      <c r="G2513"/>
    </row>
    <row r="2514" spans="2:7">
      <c r="B2514"/>
      <c r="C2514"/>
      <c r="D2514"/>
      <c r="E2514"/>
      <c r="F2514"/>
      <c r="G2514"/>
    </row>
    <row r="2515" spans="2:7">
      <c r="B2515"/>
      <c r="C2515"/>
      <c r="D2515"/>
      <c r="E2515"/>
      <c r="F2515"/>
      <c r="G2515"/>
    </row>
    <row r="2516" spans="2:7">
      <c r="B2516"/>
      <c r="C2516"/>
      <c r="D2516"/>
      <c r="E2516"/>
      <c r="F2516"/>
      <c r="G2516"/>
    </row>
    <row r="2517" spans="2:7">
      <c r="B2517"/>
      <c r="C2517"/>
      <c r="D2517"/>
      <c r="E2517"/>
      <c r="F2517"/>
      <c r="G2517"/>
    </row>
    <row r="2518" spans="2:7">
      <c r="B2518"/>
      <c r="C2518"/>
      <c r="D2518"/>
      <c r="E2518"/>
      <c r="F2518"/>
      <c r="G2518"/>
    </row>
    <row r="2519" spans="2:7">
      <c r="B2519"/>
      <c r="C2519"/>
      <c r="D2519"/>
      <c r="E2519"/>
      <c r="F2519"/>
      <c r="G2519"/>
    </row>
    <row r="2520" spans="2:7">
      <c r="B2520"/>
      <c r="C2520"/>
      <c r="D2520"/>
      <c r="E2520"/>
      <c r="F2520"/>
      <c r="G2520"/>
    </row>
    <row r="2521" spans="2:7">
      <c r="B2521"/>
      <c r="C2521"/>
      <c r="D2521"/>
      <c r="E2521"/>
      <c r="F2521"/>
      <c r="G2521"/>
    </row>
    <row r="2522" spans="2:7">
      <c r="B2522"/>
      <c r="C2522"/>
      <c r="D2522"/>
      <c r="E2522"/>
      <c r="F2522"/>
      <c r="G2522"/>
    </row>
    <row r="2523" spans="2:7">
      <c r="B2523"/>
      <c r="C2523"/>
      <c r="D2523"/>
      <c r="E2523"/>
      <c r="F2523"/>
      <c r="G2523"/>
    </row>
    <row r="2524" spans="2:7">
      <c r="B2524"/>
      <c r="C2524"/>
      <c r="D2524"/>
      <c r="E2524"/>
      <c r="F2524"/>
      <c r="G2524"/>
    </row>
    <row r="2525" spans="2:7">
      <c r="B2525"/>
      <c r="C2525"/>
      <c r="D2525"/>
      <c r="E2525"/>
      <c r="F2525"/>
      <c r="G2525"/>
    </row>
    <row r="2526" spans="2:7">
      <c r="B2526"/>
      <c r="C2526"/>
      <c r="D2526"/>
      <c r="E2526"/>
      <c r="F2526"/>
      <c r="G2526"/>
    </row>
    <row r="2527" spans="2:7">
      <c r="B2527"/>
      <c r="C2527"/>
      <c r="D2527"/>
      <c r="E2527"/>
      <c r="F2527"/>
      <c r="G2527"/>
    </row>
    <row r="2528" spans="2:7">
      <c r="B2528"/>
      <c r="C2528"/>
      <c r="D2528"/>
      <c r="E2528"/>
      <c r="F2528"/>
      <c r="G2528"/>
    </row>
    <row r="2529" spans="2:7">
      <c r="B2529"/>
      <c r="C2529"/>
      <c r="D2529"/>
      <c r="E2529"/>
      <c r="F2529"/>
      <c r="G2529"/>
    </row>
    <row r="2530" spans="2:7">
      <c r="B2530"/>
      <c r="C2530"/>
      <c r="D2530"/>
      <c r="E2530"/>
      <c r="F2530"/>
      <c r="G2530"/>
    </row>
    <row r="2531" spans="2:7">
      <c r="B2531"/>
      <c r="C2531"/>
      <c r="D2531"/>
      <c r="E2531"/>
      <c r="F2531"/>
      <c r="G2531"/>
    </row>
    <row r="2532" spans="2:7">
      <c r="B2532"/>
      <c r="C2532"/>
      <c r="D2532"/>
      <c r="E2532"/>
      <c r="F2532"/>
      <c r="G2532"/>
    </row>
    <row r="2533" spans="2:7">
      <c r="B2533"/>
      <c r="C2533"/>
      <c r="D2533"/>
      <c r="E2533"/>
      <c r="F2533"/>
      <c r="G2533"/>
    </row>
    <row r="2534" spans="2:7">
      <c r="B2534"/>
      <c r="C2534"/>
      <c r="D2534"/>
      <c r="E2534"/>
      <c r="F2534"/>
      <c r="G2534"/>
    </row>
    <row r="2535" spans="2:7">
      <c r="B2535"/>
      <c r="C2535"/>
      <c r="D2535"/>
      <c r="E2535"/>
      <c r="F2535"/>
      <c r="G2535"/>
    </row>
    <row r="2536" spans="2:7">
      <c r="B2536"/>
      <c r="C2536"/>
      <c r="D2536"/>
      <c r="E2536"/>
      <c r="F2536"/>
      <c r="G2536"/>
    </row>
    <row r="2537" spans="2:7">
      <c r="B2537"/>
      <c r="C2537"/>
      <c r="D2537"/>
      <c r="E2537"/>
      <c r="F2537"/>
      <c r="G2537"/>
    </row>
    <row r="2538" spans="2:7">
      <c r="B2538"/>
      <c r="C2538"/>
      <c r="D2538"/>
      <c r="E2538"/>
      <c r="F2538"/>
      <c r="G2538"/>
    </row>
    <row r="2539" spans="2:7">
      <c r="B2539"/>
      <c r="C2539"/>
      <c r="D2539"/>
      <c r="E2539"/>
      <c r="F2539"/>
      <c r="G2539"/>
    </row>
    <row r="2540" spans="2:7">
      <c r="B2540"/>
      <c r="C2540"/>
      <c r="D2540"/>
      <c r="E2540"/>
      <c r="F2540"/>
      <c r="G2540"/>
    </row>
    <row r="2541" spans="2:7">
      <c r="B2541"/>
      <c r="C2541"/>
      <c r="D2541"/>
      <c r="E2541"/>
      <c r="F2541"/>
      <c r="G2541"/>
    </row>
    <row r="2542" spans="2:7">
      <c r="B2542"/>
      <c r="C2542"/>
      <c r="D2542"/>
      <c r="E2542"/>
      <c r="F2542"/>
      <c r="G2542"/>
    </row>
    <row r="2543" spans="2:7">
      <c r="B2543"/>
      <c r="C2543"/>
      <c r="D2543"/>
      <c r="E2543"/>
      <c r="F2543"/>
      <c r="G2543"/>
    </row>
    <row r="2544" spans="2:7">
      <c r="B2544"/>
      <c r="C2544"/>
      <c r="D2544"/>
      <c r="E2544"/>
      <c r="F2544"/>
      <c r="G2544"/>
    </row>
    <row r="2545" spans="2:7">
      <c r="B2545"/>
      <c r="C2545"/>
      <c r="D2545"/>
      <c r="E2545"/>
      <c r="F2545"/>
      <c r="G2545"/>
    </row>
    <row r="2546" spans="2:7">
      <c r="B2546"/>
      <c r="C2546"/>
      <c r="D2546"/>
      <c r="E2546"/>
      <c r="F2546"/>
      <c r="G2546"/>
    </row>
    <row r="2547" spans="2:7">
      <c r="B2547"/>
      <c r="C2547"/>
      <c r="D2547"/>
      <c r="E2547"/>
      <c r="F2547"/>
      <c r="G2547"/>
    </row>
    <row r="2548" spans="2:7">
      <c r="B2548"/>
      <c r="C2548"/>
      <c r="D2548"/>
      <c r="E2548"/>
      <c r="F2548"/>
      <c r="G2548"/>
    </row>
    <row r="2549" spans="2:7">
      <c r="B2549"/>
      <c r="C2549"/>
      <c r="D2549"/>
      <c r="E2549"/>
      <c r="F2549"/>
      <c r="G2549"/>
    </row>
    <row r="2550" spans="2:7">
      <c r="B2550"/>
      <c r="C2550"/>
      <c r="D2550"/>
      <c r="E2550"/>
      <c r="F2550"/>
      <c r="G2550"/>
    </row>
    <row r="2551" spans="2:7">
      <c r="B2551"/>
      <c r="C2551"/>
      <c r="D2551"/>
      <c r="E2551"/>
      <c r="F2551"/>
      <c r="G2551"/>
    </row>
    <row r="2552" spans="2:7">
      <c r="B2552"/>
      <c r="C2552"/>
      <c r="D2552"/>
      <c r="E2552"/>
      <c r="F2552"/>
      <c r="G2552"/>
    </row>
    <row r="2553" spans="2:7">
      <c r="B2553"/>
      <c r="C2553"/>
      <c r="D2553"/>
      <c r="E2553"/>
      <c r="F2553"/>
      <c r="G2553"/>
    </row>
    <row r="2554" spans="2:7">
      <c r="B2554"/>
      <c r="C2554"/>
      <c r="D2554"/>
      <c r="E2554"/>
      <c r="F2554"/>
      <c r="G2554"/>
    </row>
    <row r="2555" spans="2:7">
      <c r="B2555"/>
      <c r="C2555"/>
      <c r="D2555"/>
      <c r="E2555"/>
      <c r="F2555"/>
      <c r="G2555"/>
    </row>
    <row r="2556" spans="2:7">
      <c r="B2556"/>
      <c r="C2556"/>
      <c r="D2556"/>
      <c r="E2556"/>
      <c r="F2556"/>
      <c r="G2556"/>
    </row>
    <row r="2557" spans="2:7">
      <c r="B2557"/>
      <c r="C2557"/>
      <c r="D2557"/>
      <c r="E2557"/>
      <c r="F2557"/>
      <c r="G2557"/>
    </row>
    <row r="2558" spans="2:7">
      <c r="B2558"/>
      <c r="C2558"/>
      <c r="D2558"/>
      <c r="E2558"/>
      <c r="F2558"/>
      <c r="G2558"/>
    </row>
    <row r="2559" spans="2:7">
      <c r="B2559"/>
      <c r="C2559"/>
      <c r="D2559"/>
      <c r="E2559"/>
      <c r="F2559"/>
      <c r="G2559"/>
    </row>
    <row r="2560" spans="2:7">
      <c r="B2560"/>
      <c r="C2560"/>
      <c r="D2560"/>
      <c r="E2560"/>
      <c r="F2560"/>
      <c r="G2560"/>
    </row>
    <row r="2561" spans="2:7">
      <c r="B2561"/>
      <c r="C2561"/>
      <c r="D2561"/>
      <c r="E2561"/>
      <c r="F2561"/>
      <c r="G2561"/>
    </row>
    <row r="2562" spans="2:7">
      <c r="B2562"/>
      <c r="C2562"/>
      <c r="D2562"/>
      <c r="E2562"/>
      <c r="F2562"/>
      <c r="G2562"/>
    </row>
    <row r="2563" spans="2:7">
      <c r="B2563"/>
      <c r="C2563"/>
      <c r="D2563"/>
      <c r="E2563"/>
      <c r="F2563"/>
      <c r="G2563"/>
    </row>
    <row r="2564" spans="2:7">
      <c r="B2564"/>
      <c r="C2564"/>
      <c r="D2564"/>
      <c r="E2564"/>
      <c r="F2564"/>
      <c r="G2564"/>
    </row>
    <row r="2565" spans="2:7">
      <c r="B2565"/>
      <c r="C2565"/>
      <c r="D2565"/>
      <c r="E2565"/>
      <c r="F2565"/>
      <c r="G2565"/>
    </row>
    <row r="2566" spans="2:7">
      <c r="B2566"/>
      <c r="C2566"/>
      <c r="D2566"/>
      <c r="E2566"/>
      <c r="F2566"/>
      <c r="G2566"/>
    </row>
    <row r="2567" spans="2:7">
      <c r="B2567"/>
      <c r="C2567"/>
      <c r="D2567"/>
      <c r="E2567"/>
      <c r="F2567"/>
      <c r="G2567"/>
    </row>
    <row r="2568" spans="2:7">
      <c r="B2568"/>
      <c r="C2568"/>
      <c r="D2568"/>
      <c r="E2568"/>
      <c r="F2568"/>
      <c r="G2568"/>
    </row>
    <row r="2569" spans="2:7">
      <c r="B2569"/>
      <c r="C2569"/>
      <c r="D2569"/>
      <c r="E2569"/>
      <c r="F2569"/>
      <c r="G2569"/>
    </row>
    <row r="2570" spans="2:7">
      <c r="B2570"/>
      <c r="C2570"/>
      <c r="D2570"/>
      <c r="E2570"/>
      <c r="F2570"/>
      <c r="G2570"/>
    </row>
    <row r="2571" spans="2:7">
      <c r="B2571"/>
      <c r="C2571"/>
      <c r="D2571"/>
      <c r="E2571"/>
      <c r="F2571"/>
      <c r="G2571"/>
    </row>
    <row r="2572" spans="2:7">
      <c r="B2572"/>
      <c r="C2572"/>
      <c r="D2572"/>
      <c r="E2572"/>
      <c r="F2572"/>
      <c r="G2572"/>
    </row>
    <row r="2573" spans="2:7">
      <c r="B2573"/>
      <c r="C2573"/>
      <c r="D2573"/>
      <c r="E2573"/>
      <c r="F2573"/>
      <c r="G2573"/>
    </row>
    <row r="2574" spans="2:7">
      <c r="B2574"/>
      <c r="C2574"/>
      <c r="D2574"/>
      <c r="E2574"/>
      <c r="F2574"/>
      <c r="G2574"/>
    </row>
    <row r="2575" spans="2:7">
      <c r="B2575"/>
      <c r="C2575"/>
      <c r="D2575"/>
      <c r="E2575"/>
      <c r="F2575"/>
      <c r="G2575"/>
    </row>
    <row r="2576" spans="2:7">
      <c r="B2576"/>
      <c r="C2576"/>
      <c r="D2576"/>
      <c r="E2576"/>
      <c r="F2576"/>
      <c r="G2576"/>
    </row>
    <row r="2577" spans="2:7">
      <c r="B2577"/>
      <c r="C2577"/>
      <c r="D2577"/>
      <c r="E2577"/>
      <c r="F2577"/>
      <c r="G2577"/>
    </row>
    <row r="2578" spans="2:7">
      <c r="B2578"/>
      <c r="C2578"/>
      <c r="D2578"/>
      <c r="E2578"/>
      <c r="F2578"/>
      <c r="G2578"/>
    </row>
    <row r="2579" spans="2:7">
      <c r="B2579"/>
      <c r="C2579"/>
      <c r="D2579"/>
      <c r="E2579"/>
      <c r="F2579"/>
      <c r="G2579"/>
    </row>
    <row r="2580" spans="2:7">
      <c r="B2580"/>
      <c r="C2580"/>
      <c r="D2580"/>
      <c r="E2580"/>
      <c r="F2580"/>
      <c r="G2580"/>
    </row>
    <row r="2581" spans="2:7">
      <c r="B2581"/>
      <c r="C2581"/>
      <c r="D2581"/>
      <c r="E2581"/>
      <c r="F2581"/>
      <c r="G2581"/>
    </row>
    <row r="2582" spans="2:7">
      <c r="B2582"/>
      <c r="C2582"/>
      <c r="D2582"/>
      <c r="E2582"/>
      <c r="F2582"/>
      <c r="G2582"/>
    </row>
    <row r="2583" spans="2:7">
      <c r="B2583"/>
      <c r="C2583"/>
      <c r="D2583"/>
      <c r="E2583"/>
      <c r="F2583"/>
      <c r="G2583"/>
    </row>
    <row r="2584" spans="2:7">
      <c r="B2584"/>
      <c r="C2584"/>
      <c r="D2584"/>
      <c r="E2584"/>
      <c r="F2584"/>
      <c r="G2584"/>
    </row>
    <row r="2585" spans="2:7">
      <c r="B2585"/>
      <c r="C2585"/>
      <c r="D2585"/>
      <c r="E2585"/>
      <c r="F2585"/>
      <c r="G2585"/>
    </row>
    <row r="2586" spans="2:7">
      <c r="B2586"/>
      <c r="C2586"/>
      <c r="D2586"/>
      <c r="E2586"/>
      <c r="F2586"/>
      <c r="G2586"/>
    </row>
    <row r="2587" spans="2:7">
      <c r="B2587"/>
      <c r="C2587"/>
      <c r="D2587"/>
      <c r="E2587"/>
      <c r="F2587"/>
      <c r="G2587"/>
    </row>
    <row r="2588" spans="2:7">
      <c r="B2588"/>
      <c r="C2588"/>
      <c r="D2588"/>
      <c r="E2588"/>
      <c r="F2588"/>
      <c r="G2588"/>
    </row>
    <row r="2589" spans="2:7">
      <c r="B2589"/>
      <c r="C2589"/>
      <c r="D2589"/>
      <c r="E2589"/>
      <c r="F2589"/>
      <c r="G2589"/>
    </row>
    <row r="2590" spans="2:7">
      <c r="B2590"/>
      <c r="C2590"/>
      <c r="D2590"/>
      <c r="E2590"/>
      <c r="F2590"/>
      <c r="G2590"/>
    </row>
    <row r="2591" spans="2:7">
      <c r="B2591"/>
      <c r="C2591"/>
      <c r="D2591"/>
      <c r="E2591"/>
      <c r="F2591"/>
      <c r="G2591"/>
    </row>
    <row r="2592" spans="2:7">
      <c r="B2592"/>
      <c r="C2592"/>
      <c r="D2592"/>
      <c r="E2592"/>
      <c r="F2592"/>
      <c r="G2592"/>
    </row>
    <row r="2593" spans="2:7">
      <c r="B2593"/>
      <c r="C2593"/>
      <c r="D2593"/>
      <c r="E2593"/>
      <c r="F2593"/>
      <c r="G2593"/>
    </row>
    <row r="2594" spans="2:7">
      <c r="B2594"/>
      <c r="C2594"/>
      <c r="D2594"/>
      <c r="E2594"/>
      <c r="F2594"/>
      <c r="G2594"/>
    </row>
    <row r="2595" spans="2:7">
      <c r="B2595"/>
      <c r="C2595"/>
      <c r="D2595"/>
      <c r="E2595"/>
      <c r="F2595"/>
      <c r="G2595"/>
    </row>
    <row r="2596" spans="2:7">
      <c r="B2596"/>
      <c r="C2596"/>
      <c r="D2596"/>
      <c r="E2596"/>
      <c r="F2596"/>
      <c r="G2596"/>
    </row>
    <row r="2597" spans="2:7">
      <c r="B2597"/>
      <c r="C2597"/>
      <c r="D2597"/>
      <c r="E2597"/>
      <c r="F2597"/>
      <c r="G2597"/>
    </row>
    <row r="2598" spans="2:7">
      <c r="B2598"/>
      <c r="C2598"/>
      <c r="D2598"/>
      <c r="E2598"/>
      <c r="F2598"/>
      <c r="G2598"/>
    </row>
    <row r="2599" spans="2:7">
      <c r="B2599"/>
      <c r="C2599"/>
      <c r="D2599"/>
      <c r="E2599"/>
      <c r="F2599"/>
      <c r="G2599"/>
    </row>
    <row r="2600" spans="2:7">
      <c r="B2600"/>
      <c r="C2600"/>
      <c r="D2600"/>
      <c r="E2600"/>
      <c r="F2600"/>
      <c r="G2600"/>
    </row>
    <row r="2601" spans="2:7">
      <c r="B2601"/>
      <c r="C2601"/>
      <c r="D2601"/>
      <c r="E2601"/>
      <c r="F2601"/>
      <c r="G2601"/>
    </row>
    <row r="2602" spans="2:7">
      <c r="B2602"/>
      <c r="C2602"/>
      <c r="D2602"/>
      <c r="E2602"/>
      <c r="F2602"/>
      <c r="G2602"/>
    </row>
    <row r="2603" spans="2:7">
      <c r="B2603"/>
      <c r="C2603"/>
      <c r="D2603"/>
      <c r="E2603"/>
      <c r="F2603"/>
      <c r="G2603"/>
    </row>
    <row r="2604" spans="2:7">
      <c r="B2604"/>
      <c r="C2604"/>
      <c r="D2604"/>
      <c r="E2604"/>
      <c r="F2604"/>
      <c r="G2604"/>
    </row>
    <row r="2605" spans="2:7">
      <c r="B2605"/>
      <c r="C2605"/>
      <c r="D2605"/>
      <c r="E2605"/>
      <c r="F2605"/>
      <c r="G2605"/>
    </row>
    <row r="2606" spans="2:7">
      <c r="B2606"/>
      <c r="C2606"/>
      <c r="D2606"/>
      <c r="E2606"/>
      <c r="F2606"/>
      <c r="G2606"/>
    </row>
    <row r="2607" spans="2:7">
      <c r="B2607"/>
      <c r="C2607"/>
      <c r="D2607"/>
      <c r="E2607"/>
      <c r="F2607"/>
      <c r="G2607"/>
    </row>
    <row r="2608" spans="2:7">
      <c r="B2608"/>
      <c r="C2608"/>
      <c r="D2608"/>
      <c r="E2608"/>
      <c r="F2608"/>
      <c r="G2608"/>
    </row>
    <row r="2609" spans="2:7">
      <c r="B2609"/>
      <c r="C2609"/>
      <c r="D2609"/>
      <c r="E2609"/>
      <c r="F2609"/>
      <c r="G2609"/>
    </row>
    <row r="2610" spans="2:7">
      <c r="B2610"/>
      <c r="C2610"/>
      <c r="D2610"/>
      <c r="E2610"/>
      <c r="F2610"/>
      <c r="G2610"/>
    </row>
    <row r="2611" spans="2:7">
      <c r="B2611"/>
      <c r="C2611"/>
      <c r="D2611"/>
      <c r="E2611"/>
      <c r="F2611"/>
      <c r="G2611"/>
    </row>
    <row r="2612" spans="2:7">
      <c r="B2612"/>
      <c r="C2612"/>
      <c r="D2612"/>
      <c r="E2612"/>
      <c r="F2612"/>
      <c r="G2612"/>
    </row>
    <row r="2613" spans="2:7">
      <c r="B2613"/>
      <c r="C2613"/>
      <c r="D2613"/>
      <c r="E2613"/>
      <c r="F2613"/>
      <c r="G2613"/>
    </row>
    <row r="2614" spans="2:7">
      <c r="B2614"/>
      <c r="C2614"/>
      <c r="D2614"/>
      <c r="E2614"/>
      <c r="F2614"/>
      <c r="G2614"/>
    </row>
    <row r="2615" spans="2:7">
      <c r="B2615"/>
      <c r="C2615"/>
      <c r="D2615"/>
      <c r="E2615"/>
      <c r="F2615"/>
      <c r="G2615"/>
    </row>
    <row r="2616" spans="2:7">
      <c r="B2616"/>
      <c r="C2616"/>
      <c r="D2616"/>
      <c r="E2616"/>
      <c r="F2616"/>
      <c r="G2616"/>
    </row>
    <row r="2617" spans="2:7">
      <c r="B2617"/>
      <c r="C2617"/>
      <c r="D2617"/>
      <c r="E2617"/>
      <c r="F2617"/>
      <c r="G2617"/>
    </row>
    <row r="2618" spans="2:7">
      <c r="B2618"/>
      <c r="C2618"/>
      <c r="D2618"/>
      <c r="E2618"/>
      <c r="F2618"/>
      <c r="G2618"/>
    </row>
    <row r="2619" spans="2:7">
      <c r="B2619"/>
      <c r="C2619"/>
      <c r="D2619"/>
      <c r="E2619"/>
      <c r="F2619"/>
      <c r="G2619"/>
    </row>
    <row r="2620" spans="2:7">
      <c r="B2620"/>
      <c r="C2620"/>
      <c r="D2620"/>
      <c r="E2620"/>
      <c r="F2620"/>
      <c r="G2620"/>
    </row>
    <row r="2621" spans="2:7">
      <c r="B2621"/>
      <c r="C2621"/>
      <c r="D2621"/>
      <c r="E2621"/>
      <c r="F2621"/>
      <c r="G2621"/>
    </row>
    <row r="2622" spans="2:7">
      <c r="B2622"/>
      <c r="C2622"/>
      <c r="D2622"/>
      <c r="E2622"/>
      <c r="F2622"/>
      <c r="G2622"/>
    </row>
    <row r="2623" spans="2:7">
      <c r="B2623"/>
      <c r="C2623"/>
      <c r="D2623"/>
      <c r="E2623"/>
      <c r="F2623"/>
      <c r="G2623"/>
    </row>
    <row r="2624" spans="2:7">
      <c r="B2624"/>
      <c r="C2624"/>
      <c r="D2624"/>
      <c r="E2624"/>
      <c r="F2624"/>
      <c r="G2624"/>
    </row>
    <row r="2625" spans="2:7">
      <c r="B2625"/>
      <c r="C2625"/>
      <c r="D2625"/>
      <c r="E2625"/>
      <c r="F2625"/>
      <c r="G2625"/>
    </row>
    <row r="2626" spans="2:7">
      <c r="B2626"/>
      <c r="C2626"/>
      <c r="D2626"/>
      <c r="E2626"/>
      <c r="F2626"/>
      <c r="G2626"/>
    </row>
    <row r="2627" spans="2:7">
      <c r="B2627"/>
      <c r="C2627"/>
      <c r="D2627"/>
      <c r="E2627"/>
      <c r="F2627"/>
      <c r="G2627"/>
    </row>
    <row r="2628" spans="2:7">
      <c r="B2628"/>
      <c r="C2628"/>
      <c r="D2628"/>
      <c r="E2628"/>
      <c r="F2628"/>
      <c r="G2628"/>
    </row>
    <row r="2629" spans="2:7">
      <c r="B2629"/>
      <c r="C2629"/>
      <c r="D2629"/>
      <c r="E2629"/>
      <c r="F2629"/>
      <c r="G2629"/>
    </row>
    <row r="2630" spans="2:7">
      <c r="B2630"/>
      <c r="C2630"/>
      <c r="D2630"/>
      <c r="E2630"/>
      <c r="F2630"/>
      <c r="G2630"/>
    </row>
    <row r="2631" spans="2:7">
      <c r="B2631"/>
      <c r="C2631"/>
      <c r="D2631"/>
      <c r="E2631"/>
      <c r="F2631"/>
      <c r="G2631"/>
    </row>
    <row r="2632" spans="2:7">
      <c r="B2632"/>
      <c r="C2632"/>
      <c r="D2632"/>
      <c r="E2632"/>
      <c r="F2632"/>
      <c r="G2632"/>
    </row>
    <row r="2633" spans="2:7">
      <c r="B2633"/>
      <c r="C2633"/>
      <c r="D2633"/>
      <c r="E2633"/>
      <c r="F2633"/>
      <c r="G2633"/>
    </row>
    <row r="2634" spans="2:7">
      <c r="B2634"/>
      <c r="C2634"/>
      <c r="D2634"/>
      <c r="E2634"/>
      <c r="F2634"/>
      <c r="G2634"/>
    </row>
    <row r="2635" spans="2:7">
      <c r="B2635"/>
      <c r="C2635"/>
      <c r="D2635"/>
      <c r="E2635"/>
      <c r="F2635"/>
      <c r="G2635"/>
    </row>
    <row r="2636" spans="2:7">
      <c r="B2636"/>
      <c r="C2636"/>
      <c r="D2636"/>
      <c r="E2636"/>
      <c r="F2636"/>
      <c r="G2636"/>
    </row>
    <row r="2637" spans="2:7">
      <c r="B2637"/>
      <c r="C2637"/>
      <c r="D2637"/>
      <c r="E2637"/>
      <c r="F2637"/>
      <c r="G2637"/>
    </row>
    <row r="2638" spans="2:7">
      <c r="B2638"/>
      <c r="C2638"/>
      <c r="D2638"/>
      <c r="E2638"/>
      <c r="F2638"/>
      <c r="G2638"/>
    </row>
    <row r="2639" spans="2:7">
      <c r="B2639"/>
      <c r="C2639"/>
      <c r="D2639"/>
      <c r="E2639"/>
      <c r="F2639"/>
      <c r="G2639"/>
    </row>
    <row r="2640" spans="2:7">
      <c r="B2640"/>
      <c r="C2640"/>
      <c r="D2640"/>
      <c r="E2640"/>
      <c r="F2640"/>
      <c r="G2640"/>
    </row>
    <row r="2641" spans="2:7">
      <c r="B2641"/>
      <c r="C2641"/>
      <c r="D2641"/>
      <c r="E2641"/>
      <c r="F2641"/>
      <c r="G2641"/>
    </row>
    <row r="2642" spans="2:7">
      <c r="B2642"/>
      <c r="C2642"/>
      <c r="D2642"/>
      <c r="E2642"/>
      <c r="F2642"/>
      <c r="G2642"/>
    </row>
    <row r="2643" spans="2:7">
      <c r="B2643"/>
      <c r="C2643"/>
      <c r="D2643"/>
      <c r="E2643"/>
      <c r="F2643"/>
      <c r="G2643"/>
    </row>
    <row r="2644" spans="2:7">
      <c r="B2644"/>
      <c r="C2644"/>
      <c r="D2644"/>
      <c r="E2644"/>
      <c r="F2644"/>
      <c r="G2644"/>
    </row>
    <row r="2645" spans="2:7">
      <c r="B2645"/>
      <c r="C2645"/>
      <c r="D2645"/>
      <c r="E2645"/>
      <c r="F2645"/>
      <c r="G2645"/>
    </row>
    <row r="2646" spans="2:7">
      <c r="B2646"/>
      <c r="C2646"/>
      <c r="D2646"/>
      <c r="E2646"/>
      <c r="F2646"/>
      <c r="G2646"/>
    </row>
    <row r="2647" spans="2:7">
      <c r="B2647"/>
      <c r="C2647"/>
      <c r="D2647"/>
      <c r="E2647"/>
      <c r="F2647"/>
      <c r="G2647"/>
    </row>
    <row r="2648" spans="2:7">
      <c r="B2648"/>
      <c r="C2648"/>
      <c r="D2648"/>
      <c r="E2648"/>
      <c r="F2648"/>
      <c r="G2648"/>
    </row>
    <row r="2649" spans="2:7">
      <c r="B2649"/>
      <c r="C2649"/>
      <c r="D2649"/>
      <c r="E2649"/>
      <c r="F2649"/>
      <c r="G2649"/>
    </row>
    <row r="2650" spans="2:7">
      <c r="B2650"/>
      <c r="C2650"/>
      <c r="D2650"/>
      <c r="E2650"/>
      <c r="F2650"/>
      <c r="G2650"/>
    </row>
    <row r="2651" spans="2:7">
      <c r="B2651"/>
      <c r="C2651"/>
      <c r="D2651"/>
      <c r="E2651"/>
      <c r="F2651"/>
      <c r="G2651"/>
    </row>
    <row r="2652" spans="2:7">
      <c r="B2652"/>
      <c r="C2652"/>
      <c r="D2652"/>
      <c r="E2652"/>
      <c r="F2652"/>
      <c r="G2652"/>
    </row>
    <row r="2653" spans="2:7">
      <c r="B2653"/>
      <c r="C2653"/>
      <c r="D2653"/>
      <c r="E2653"/>
      <c r="F2653"/>
      <c r="G2653"/>
    </row>
    <row r="2654" spans="2:7">
      <c r="B2654"/>
      <c r="C2654"/>
      <c r="D2654"/>
      <c r="E2654"/>
      <c r="F2654"/>
      <c r="G2654"/>
    </row>
    <row r="2655" spans="2:7">
      <c r="B2655"/>
      <c r="C2655"/>
      <c r="D2655"/>
      <c r="E2655"/>
      <c r="F2655"/>
      <c r="G2655"/>
    </row>
    <row r="2656" spans="2:7">
      <c r="B2656"/>
      <c r="C2656"/>
      <c r="D2656"/>
      <c r="E2656"/>
      <c r="F2656"/>
      <c r="G2656"/>
    </row>
    <row r="2657" spans="2:7">
      <c r="B2657"/>
      <c r="C2657"/>
      <c r="D2657"/>
      <c r="E2657"/>
      <c r="F2657"/>
      <c r="G2657"/>
    </row>
    <row r="2658" spans="2:7">
      <c r="B2658"/>
      <c r="C2658"/>
      <c r="D2658"/>
      <c r="E2658"/>
      <c r="F2658"/>
      <c r="G2658"/>
    </row>
    <row r="2659" spans="2:7">
      <c r="B2659"/>
      <c r="C2659"/>
      <c r="D2659"/>
      <c r="E2659"/>
      <c r="F2659"/>
      <c r="G2659"/>
    </row>
    <row r="2660" spans="2:7">
      <c r="B2660"/>
      <c r="C2660"/>
      <c r="D2660"/>
      <c r="E2660"/>
      <c r="F2660"/>
      <c r="G2660"/>
    </row>
    <row r="2661" spans="2:7">
      <c r="B2661"/>
      <c r="C2661"/>
      <c r="D2661"/>
      <c r="E2661"/>
      <c r="F2661"/>
      <c r="G2661"/>
    </row>
    <row r="2662" spans="2:7">
      <c r="B2662"/>
      <c r="C2662"/>
      <c r="D2662"/>
      <c r="E2662"/>
      <c r="F2662"/>
      <c r="G2662"/>
    </row>
    <row r="2663" spans="2:7">
      <c r="B2663"/>
      <c r="C2663"/>
      <c r="D2663"/>
      <c r="E2663"/>
      <c r="F2663"/>
      <c r="G2663"/>
    </row>
    <row r="2664" spans="2:7">
      <c r="B2664"/>
      <c r="C2664"/>
      <c r="D2664"/>
      <c r="E2664"/>
      <c r="F2664"/>
      <c r="G2664"/>
    </row>
    <row r="2665" spans="2:7">
      <c r="B2665"/>
      <c r="C2665"/>
      <c r="D2665"/>
      <c r="E2665"/>
      <c r="F2665"/>
      <c r="G2665"/>
    </row>
    <row r="2666" spans="2:7">
      <c r="B2666"/>
      <c r="C2666"/>
      <c r="D2666"/>
      <c r="E2666"/>
      <c r="F2666"/>
      <c r="G2666"/>
    </row>
    <row r="2667" spans="2:7">
      <c r="B2667"/>
      <c r="C2667"/>
      <c r="D2667"/>
      <c r="E2667"/>
      <c r="F2667"/>
      <c r="G2667"/>
    </row>
    <row r="2668" spans="2:7">
      <c r="B2668"/>
      <c r="C2668"/>
      <c r="D2668"/>
      <c r="E2668"/>
      <c r="F2668"/>
      <c r="G2668"/>
    </row>
    <row r="2669" spans="2:7">
      <c r="B2669"/>
      <c r="C2669"/>
      <c r="D2669"/>
      <c r="E2669"/>
      <c r="F2669"/>
      <c r="G2669"/>
    </row>
    <row r="2670" spans="2:7">
      <c r="B2670"/>
      <c r="C2670"/>
      <c r="D2670"/>
      <c r="E2670"/>
      <c r="F2670"/>
      <c r="G2670"/>
    </row>
    <row r="2671" spans="2:7">
      <c r="B2671"/>
      <c r="C2671"/>
      <c r="D2671"/>
      <c r="E2671"/>
      <c r="F2671"/>
      <c r="G2671"/>
    </row>
    <row r="2672" spans="2:7">
      <c r="B2672"/>
      <c r="C2672"/>
      <c r="D2672"/>
      <c r="E2672"/>
      <c r="F2672"/>
      <c r="G2672"/>
    </row>
    <row r="2673" spans="2:7">
      <c r="B2673"/>
      <c r="C2673"/>
      <c r="D2673"/>
      <c r="E2673"/>
      <c r="F2673"/>
      <c r="G2673"/>
    </row>
    <row r="2674" spans="2:7">
      <c r="B2674"/>
      <c r="C2674"/>
      <c r="D2674"/>
      <c r="E2674"/>
      <c r="F2674"/>
      <c r="G2674"/>
    </row>
    <row r="2675" spans="2:7">
      <c r="B2675"/>
      <c r="C2675"/>
      <c r="D2675"/>
      <c r="E2675"/>
      <c r="F2675"/>
      <c r="G2675"/>
    </row>
    <row r="2676" spans="2:7">
      <c r="B2676"/>
      <c r="C2676"/>
      <c r="D2676"/>
      <c r="E2676"/>
      <c r="F2676"/>
      <c r="G2676"/>
    </row>
    <row r="2677" spans="2:7">
      <c r="B2677"/>
      <c r="C2677"/>
      <c r="D2677"/>
      <c r="E2677"/>
      <c r="F2677"/>
      <c r="G2677"/>
    </row>
    <row r="2678" spans="2:7">
      <c r="B2678"/>
      <c r="C2678"/>
      <c r="D2678"/>
      <c r="E2678"/>
      <c r="F2678"/>
      <c r="G2678"/>
    </row>
    <row r="2679" spans="2:7">
      <c r="B2679"/>
      <c r="C2679"/>
      <c r="D2679"/>
      <c r="E2679"/>
      <c r="F2679"/>
      <c r="G2679"/>
    </row>
    <row r="2680" spans="2:7">
      <c r="B2680"/>
      <c r="C2680"/>
      <c r="D2680"/>
      <c r="E2680"/>
      <c r="F2680"/>
      <c r="G2680"/>
    </row>
    <row r="2681" spans="2:7">
      <c r="B2681"/>
      <c r="C2681"/>
      <c r="D2681"/>
      <c r="E2681"/>
      <c r="F2681"/>
      <c r="G2681"/>
    </row>
    <row r="2682" spans="2:7">
      <c r="B2682"/>
      <c r="C2682"/>
      <c r="D2682"/>
      <c r="E2682"/>
      <c r="F2682"/>
      <c r="G2682"/>
    </row>
    <row r="2683" spans="2:7">
      <c r="B2683"/>
      <c r="C2683"/>
      <c r="D2683"/>
      <c r="E2683"/>
      <c r="F2683"/>
      <c r="G2683"/>
    </row>
    <row r="2684" spans="2:7">
      <c r="B2684"/>
      <c r="C2684"/>
      <c r="D2684"/>
      <c r="E2684"/>
      <c r="F2684"/>
      <c r="G2684"/>
    </row>
    <row r="2685" spans="2:7">
      <c r="F2685" s="23"/>
    </row>
    <row r="2686" spans="2:7">
      <c r="F2686" s="23"/>
    </row>
    <row r="2687" spans="2:7">
      <c r="F2687" s="23"/>
    </row>
    <row r="2688" spans="2:7">
      <c r="F2688" s="23"/>
    </row>
    <row r="2689" spans="6:6">
      <c r="F2689" s="23"/>
    </row>
    <row r="2690" spans="6:6">
      <c r="F2690" s="23"/>
    </row>
    <row r="2691" spans="6:6">
      <c r="F2691" s="23"/>
    </row>
    <row r="2692" spans="6:6">
      <c r="F2692" s="23"/>
    </row>
    <row r="2693" spans="6:6">
      <c r="F2693" s="23"/>
    </row>
    <row r="2694" spans="6:6">
      <c r="F2694" s="23"/>
    </row>
    <row r="2695" spans="6:6">
      <c r="F2695" s="23"/>
    </row>
    <row r="2696" spans="6:6">
      <c r="F2696" s="23"/>
    </row>
    <row r="2697" spans="6:6">
      <c r="F2697" s="23"/>
    </row>
    <row r="2698" spans="6:6">
      <c r="F2698" s="23"/>
    </row>
    <row r="2699" spans="6:6">
      <c r="F2699" s="23"/>
    </row>
    <row r="2700" spans="6:6">
      <c r="F2700" s="23"/>
    </row>
    <row r="2701" spans="6:6">
      <c r="F2701" s="23"/>
    </row>
    <row r="2702" spans="6:6">
      <c r="F2702" s="23"/>
    </row>
    <row r="2703" spans="6:6">
      <c r="F2703" s="23"/>
    </row>
    <row r="2704" spans="6:6">
      <c r="F2704" s="23"/>
    </row>
    <row r="2705" spans="6:6">
      <c r="F2705" s="23"/>
    </row>
    <row r="2706" spans="6:6">
      <c r="F2706" s="23"/>
    </row>
    <row r="2707" spans="6:6">
      <c r="F2707" s="23"/>
    </row>
    <row r="2708" spans="6:6">
      <c r="F2708" s="23"/>
    </row>
    <row r="2709" spans="6:6">
      <c r="F2709" s="23"/>
    </row>
    <row r="2710" spans="6:6">
      <c r="F2710" s="23"/>
    </row>
    <row r="2711" spans="6:6">
      <c r="F2711" s="23"/>
    </row>
    <row r="2712" spans="6:6">
      <c r="F2712" s="23"/>
    </row>
    <row r="2713" spans="6:6">
      <c r="F2713" s="23"/>
    </row>
    <row r="2714" spans="6:6">
      <c r="F2714" s="23"/>
    </row>
    <row r="2715" spans="6:6">
      <c r="F2715" s="23"/>
    </row>
    <row r="2716" spans="6:6">
      <c r="F2716" s="23"/>
    </row>
    <row r="2717" spans="6:6">
      <c r="F2717" s="23"/>
    </row>
    <row r="2718" spans="6:6">
      <c r="F2718" s="23"/>
    </row>
    <row r="2719" spans="6:6">
      <c r="F2719" s="23"/>
    </row>
    <row r="2720" spans="6:6">
      <c r="F2720" s="23"/>
    </row>
    <row r="2721" spans="6:6">
      <c r="F2721" s="23"/>
    </row>
    <row r="2722" spans="6:6">
      <c r="F2722" s="23"/>
    </row>
    <row r="2723" spans="6:6">
      <c r="F2723" s="23"/>
    </row>
    <row r="2724" spans="6:6">
      <c r="F2724" s="23"/>
    </row>
    <row r="2725" spans="6:6">
      <c r="F2725" s="23"/>
    </row>
    <row r="2726" spans="6:6">
      <c r="F2726" s="23"/>
    </row>
    <row r="2727" spans="6:6">
      <c r="F2727" s="23"/>
    </row>
    <row r="2728" spans="6:6">
      <c r="F2728" s="23"/>
    </row>
    <row r="2729" spans="6:6">
      <c r="F2729" s="23"/>
    </row>
    <row r="2730" spans="6:6">
      <c r="F2730" s="23"/>
    </row>
    <row r="2731" spans="6:6">
      <c r="F2731" s="23"/>
    </row>
    <row r="2732" spans="6:6">
      <c r="F2732" s="23"/>
    </row>
    <row r="2733" spans="6:6">
      <c r="F2733" s="23"/>
    </row>
    <row r="2734" spans="6:6">
      <c r="F2734" s="23"/>
    </row>
    <row r="2735" spans="6:6">
      <c r="F2735" s="23"/>
    </row>
    <row r="2736" spans="6:6">
      <c r="F2736" s="23"/>
    </row>
    <row r="2737" spans="6:6">
      <c r="F2737" s="23"/>
    </row>
    <row r="2738" spans="6:6">
      <c r="F2738" s="23"/>
    </row>
    <row r="2739" spans="6:6">
      <c r="F2739" s="23"/>
    </row>
    <row r="2740" spans="6:6">
      <c r="F2740" s="23"/>
    </row>
    <row r="2741" spans="6:6">
      <c r="F2741" s="23"/>
    </row>
    <row r="2742" spans="6:6">
      <c r="F2742" s="23"/>
    </row>
    <row r="2743" spans="6:6">
      <c r="F2743" s="23"/>
    </row>
    <row r="2744" spans="6:6">
      <c r="F2744" s="23"/>
    </row>
    <row r="2745" spans="6:6">
      <c r="F2745" s="23"/>
    </row>
    <row r="2746" spans="6:6">
      <c r="F2746" s="23"/>
    </row>
    <row r="2747" spans="6:6">
      <c r="F2747" s="23"/>
    </row>
    <row r="2748" spans="6:6">
      <c r="F2748" s="23"/>
    </row>
    <row r="2749" spans="6:6">
      <c r="F2749" s="23"/>
    </row>
    <row r="2750" spans="6:6">
      <c r="F2750" s="23"/>
    </row>
    <row r="2751" spans="6:6">
      <c r="F2751" s="23"/>
    </row>
    <row r="2752" spans="6:6">
      <c r="F2752" s="23"/>
    </row>
    <row r="2753" spans="6:6">
      <c r="F2753" s="23"/>
    </row>
    <row r="2754" spans="6:6">
      <c r="F2754" s="23"/>
    </row>
    <row r="2755" spans="6:6">
      <c r="F2755" s="23"/>
    </row>
    <row r="2756" spans="6:6">
      <c r="F2756" s="23"/>
    </row>
    <row r="2757" spans="6:6">
      <c r="F2757" s="23"/>
    </row>
    <row r="2758" spans="6:6">
      <c r="F2758" s="23"/>
    </row>
    <row r="2759" spans="6:6">
      <c r="F2759" s="23"/>
    </row>
    <row r="2760" spans="6:6">
      <c r="F2760" s="23"/>
    </row>
    <row r="2761" spans="6:6">
      <c r="F2761" s="23"/>
    </row>
    <row r="2762" spans="6:6">
      <c r="F2762" s="23"/>
    </row>
    <row r="2763" spans="6:6">
      <c r="F2763" s="23"/>
    </row>
    <row r="2764" spans="6:6">
      <c r="F2764" s="23"/>
    </row>
    <row r="2765" spans="6:6">
      <c r="F2765" s="23"/>
    </row>
    <row r="2766" spans="6:6">
      <c r="F2766" s="23"/>
    </row>
    <row r="2767" spans="6:6">
      <c r="F2767" s="23"/>
    </row>
    <row r="2768" spans="6:6">
      <c r="F2768" s="23"/>
    </row>
    <row r="2769" spans="6:6">
      <c r="F2769" s="23"/>
    </row>
    <row r="2770" spans="6:6">
      <c r="F2770" s="23"/>
    </row>
    <row r="2771" spans="6:6">
      <c r="F2771" s="23"/>
    </row>
    <row r="2772" spans="6:6">
      <c r="F2772" s="23"/>
    </row>
    <row r="2773" spans="6:6">
      <c r="F2773" s="23"/>
    </row>
    <row r="2774" spans="6:6">
      <c r="F2774" s="23"/>
    </row>
    <row r="2775" spans="6:6">
      <c r="F2775" s="23"/>
    </row>
    <row r="2776" spans="6:6">
      <c r="F2776" s="23"/>
    </row>
    <row r="2777" spans="6:6">
      <c r="F2777" s="23"/>
    </row>
    <row r="2778" spans="6:6">
      <c r="F2778" s="23"/>
    </row>
    <row r="2779" spans="6:6">
      <c r="F2779" s="23"/>
    </row>
    <row r="2780" spans="6:6">
      <c r="F2780" s="23"/>
    </row>
    <row r="2781" spans="6:6">
      <c r="F2781" s="23"/>
    </row>
    <row r="2782" spans="6:6">
      <c r="F2782" s="23"/>
    </row>
    <row r="2783" spans="6:6">
      <c r="F2783" s="23"/>
    </row>
    <row r="2784" spans="6:6">
      <c r="F2784" s="23"/>
    </row>
    <row r="2785" spans="6:6">
      <c r="F2785" s="23"/>
    </row>
    <row r="2786" spans="6:6">
      <c r="F2786" s="23"/>
    </row>
    <row r="2787" spans="6:6">
      <c r="F2787" s="23"/>
    </row>
    <row r="2788" spans="6:6">
      <c r="F2788" s="23"/>
    </row>
    <row r="2789" spans="6:6">
      <c r="F2789" s="23"/>
    </row>
    <row r="2790" spans="6:6">
      <c r="F2790" s="23"/>
    </row>
    <row r="2791" spans="6:6">
      <c r="F2791" s="23"/>
    </row>
    <row r="2792" spans="6:6">
      <c r="F2792" s="23"/>
    </row>
    <row r="2793" spans="6:6">
      <c r="F2793" s="23"/>
    </row>
    <row r="2794" spans="6:6">
      <c r="F2794" s="23"/>
    </row>
    <row r="2795" spans="6:6">
      <c r="F2795" s="23"/>
    </row>
    <row r="2796" spans="6:6">
      <c r="F2796" s="23"/>
    </row>
    <row r="2797" spans="6:6">
      <c r="F2797" s="23"/>
    </row>
    <row r="2798" spans="6:6">
      <c r="F2798" s="23"/>
    </row>
    <row r="2799" spans="6:6">
      <c r="F2799" s="23"/>
    </row>
    <row r="2800" spans="6:6">
      <c r="F2800" s="23"/>
    </row>
    <row r="2801" spans="6:6">
      <c r="F2801" s="23"/>
    </row>
    <row r="2802" spans="6:6">
      <c r="F2802" s="23"/>
    </row>
    <row r="2803" spans="6:6">
      <c r="F2803" s="23"/>
    </row>
    <row r="2804" spans="6:6">
      <c r="F2804" s="23"/>
    </row>
    <row r="2805" spans="6:6">
      <c r="F2805" s="23"/>
    </row>
    <row r="2806" spans="6:6">
      <c r="F2806" s="23"/>
    </row>
    <row r="2807" spans="6:6">
      <c r="F2807" s="23"/>
    </row>
    <row r="2808" spans="6:6">
      <c r="F2808" s="23"/>
    </row>
    <row r="2809" spans="6:6">
      <c r="F2809" s="23"/>
    </row>
    <row r="2810" spans="6:6">
      <c r="F2810" s="23"/>
    </row>
    <row r="2811" spans="6:6">
      <c r="F2811" s="23"/>
    </row>
    <row r="2812" spans="6:6">
      <c r="F2812" s="23"/>
    </row>
    <row r="2813" spans="6:6">
      <c r="F2813" s="23"/>
    </row>
    <row r="2814" spans="6:6">
      <c r="F2814" s="23"/>
    </row>
    <row r="2815" spans="6:6">
      <c r="F2815" s="23"/>
    </row>
    <row r="2816" spans="6:6">
      <c r="F2816" s="23"/>
    </row>
    <row r="2817" spans="6:6">
      <c r="F2817" s="23"/>
    </row>
    <row r="2818" spans="6:6">
      <c r="F2818" s="23"/>
    </row>
    <row r="2819" spans="6:6">
      <c r="F2819" s="23"/>
    </row>
    <row r="2820" spans="6:6">
      <c r="F2820" s="23"/>
    </row>
    <row r="2821" spans="6:6">
      <c r="F2821" s="23"/>
    </row>
    <row r="2822" spans="6:6">
      <c r="F2822" s="23"/>
    </row>
    <row r="2823" spans="6:6">
      <c r="F2823" s="23"/>
    </row>
    <row r="2824" spans="6:6">
      <c r="F2824" s="23"/>
    </row>
    <row r="2825" spans="6:6">
      <c r="F2825" s="23"/>
    </row>
    <row r="2826" spans="6:6">
      <c r="F2826" s="23"/>
    </row>
    <row r="2827" spans="6:6">
      <c r="F2827" s="23"/>
    </row>
    <row r="2828" spans="6:6">
      <c r="F2828" s="23"/>
    </row>
    <row r="2829" spans="6:6">
      <c r="F2829" s="23"/>
    </row>
    <row r="2830" spans="6:6">
      <c r="F2830" s="23"/>
    </row>
    <row r="2831" spans="6:6">
      <c r="F2831" s="23"/>
    </row>
    <row r="2832" spans="6:6">
      <c r="F2832" s="23"/>
    </row>
    <row r="2833" spans="6:6">
      <c r="F2833" s="23"/>
    </row>
    <row r="2834" spans="6:6">
      <c r="F2834" s="23"/>
    </row>
    <row r="2835" spans="6:6">
      <c r="F2835" s="23"/>
    </row>
    <row r="2836" spans="6:6">
      <c r="F2836" s="23"/>
    </row>
    <row r="2837" spans="6:6">
      <c r="F2837" s="23"/>
    </row>
    <row r="2838" spans="6:6">
      <c r="F2838" s="23"/>
    </row>
    <row r="2839" spans="6:6">
      <c r="F2839" s="23"/>
    </row>
    <row r="2840" spans="6:6">
      <c r="F2840" s="23"/>
    </row>
    <row r="2841" spans="6:6">
      <c r="F2841" s="23"/>
    </row>
    <row r="2842" spans="6:6">
      <c r="F2842" s="23"/>
    </row>
    <row r="2843" spans="6:6">
      <c r="F2843" s="23"/>
    </row>
    <row r="2844" spans="6:6">
      <c r="F2844" s="23"/>
    </row>
    <row r="2845" spans="6:6">
      <c r="F2845" s="23"/>
    </row>
    <row r="2846" spans="6:6">
      <c r="F2846" s="23"/>
    </row>
    <row r="2847" spans="6:6">
      <c r="F2847" s="23"/>
    </row>
    <row r="2848" spans="6:6">
      <c r="F2848" s="23"/>
    </row>
    <row r="2849" spans="6:6">
      <c r="F2849" s="23"/>
    </row>
    <row r="2850" spans="6:6">
      <c r="F2850" s="23"/>
    </row>
    <row r="2851" spans="6:6">
      <c r="F2851" s="23"/>
    </row>
    <row r="2852" spans="6:6">
      <c r="F2852" s="23"/>
    </row>
    <row r="2853" spans="6:6">
      <c r="F2853" s="23"/>
    </row>
    <row r="2854" spans="6:6">
      <c r="F2854" s="23"/>
    </row>
    <row r="2855" spans="6:6">
      <c r="F2855" s="23"/>
    </row>
    <row r="2856" spans="6:6">
      <c r="F2856" s="23"/>
    </row>
    <row r="2857" spans="6:6">
      <c r="F2857" s="23"/>
    </row>
    <row r="2858" spans="6:6">
      <c r="F2858" s="23"/>
    </row>
    <row r="2859" spans="6:6">
      <c r="F2859" s="23"/>
    </row>
    <row r="2860" spans="6:6">
      <c r="F2860" s="23"/>
    </row>
    <row r="2861" spans="6:6">
      <c r="F2861" s="23"/>
    </row>
    <row r="2862" spans="6:6">
      <c r="F2862" s="23"/>
    </row>
    <row r="2863" spans="6:6">
      <c r="F2863" s="23"/>
    </row>
    <row r="2864" spans="6:6">
      <c r="F2864" s="23"/>
    </row>
    <row r="2865" spans="6:6">
      <c r="F2865" s="23"/>
    </row>
    <row r="2866" spans="6:6">
      <c r="F2866" s="23"/>
    </row>
    <row r="2867" spans="6:6">
      <c r="F2867" s="23"/>
    </row>
    <row r="2868" spans="6:6">
      <c r="F2868" s="23"/>
    </row>
    <row r="2869" spans="6:6">
      <c r="F2869" s="23"/>
    </row>
    <row r="2870" spans="6:6">
      <c r="F2870" s="23"/>
    </row>
    <row r="2871" spans="6:6">
      <c r="F2871" s="23"/>
    </row>
    <row r="2872" spans="6:6">
      <c r="F2872" s="23"/>
    </row>
    <row r="2873" spans="6:6">
      <c r="F2873" s="23"/>
    </row>
    <row r="2874" spans="6:6">
      <c r="F2874" s="23"/>
    </row>
    <row r="2875" spans="6:6">
      <c r="F2875" s="23"/>
    </row>
    <row r="2876" spans="6:6">
      <c r="F2876" s="23"/>
    </row>
    <row r="2877" spans="6:6">
      <c r="F2877" s="23"/>
    </row>
    <row r="2878" spans="6:6">
      <c r="F2878" s="23"/>
    </row>
    <row r="2879" spans="6:6">
      <c r="F2879" s="23"/>
    </row>
    <row r="2880" spans="6:6">
      <c r="F2880" s="23"/>
    </row>
    <row r="2881" spans="6:6">
      <c r="F2881" s="23"/>
    </row>
    <row r="2882" spans="6:6">
      <c r="F2882" s="23"/>
    </row>
    <row r="2883" spans="6:6">
      <c r="F2883" s="23"/>
    </row>
    <row r="2884" spans="6:6">
      <c r="F2884" s="23"/>
    </row>
    <row r="2885" spans="6:6">
      <c r="F2885" s="23"/>
    </row>
    <row r="2886" spans="6:6">
      <c r="F2886" s="23"/>
    </row>
    <row r="2887" spans="6:6">
      <c r="F2887" s="23"/>
    </row>
    <row r="2888" spans="6:6">
      <c r="F2888" s="23"/>
    </row>
    <row r="2889" spans="6:6">
      <c r="F2889" s="23"/>
    </row>
    <row r="2890" spans="6:6">
      <c r="F2890" s="23"/>
    </row>
    <row r="2891" spans="6:6">
      <c r="F2891" s="23"/>
    </row>
    <row r="2892" spans="6:6">
      <c r="F2892" s="23"/>
    </row>
    <row r="2893" spans="6:6">
      <c r="F2893" s="23"/>
    </row>
    <row r="2894" spans="6:6">
      <c r="F2894" s="23"/>
    </row>
    <row r="2895" spans="6:6">
      <c r="F2895" s="23"/>
    </row>
    <row r="2896" spans="6:6">
      <c r="F2896" s="23"/>
    </row>
    <row r="2897" spans="6:6">
      <c r="F2897" s="23"/>
    </row>
    <row r="2898" spans="6:6">
      <c r="F2898" s="23"/>
    </row>
    <row r="2899" spans="6:6">
      <c r="F2899" s="23"/>
    </row>
    <row r="2900" spans="6:6">
      <c r="F2900" s="23"/>
    </row>
    <row r="2901" spans="6:6">
      <c r="F2901" s="23"/>
    </row>
    <row r="2902" spans="6:6">
      <c r="F2902" s="23"/>
    </row>
    <row r="2903" spans="6:6">
      <c r="F2903" s="23"/>
    </row>
    <row r="2904" spans="6:6">
      <c r="F2904" s="23"/>
    </row>
    <row r="2905" spans="6:6">
      <c r="F2905" s="23"/>
    </row>
    <row r="2906" spans="6:6">
      <c r="F2906" s="23"/>
    </row>
    <row r="2907" spans="6:6">
      <c r="F2907" s="23"/>
    </row>
    <row r="2908" spans="6:6">
      <c r="F2908" s="23"/>
    </row>
    <row r="2909" spans="6:6">
      <c r="F2909" s="23"/>
    </row>
    <row r="2910" spans="6:6">
      <c r="F2910" s="23"/>
    </row>
    <row r="2911" spans="6:6">
      <c r="F2911" s="23"/>
    </row>
    <row r="2912" spans="6:6">
      <c r="F2912" s="23"/>
    </row>
    <row r="2913" spans="6:6">
      <c r="F2913" s="23"/>
    </row>
    <row r="2914" spans="6:6">
      <c r="F2914" s="23"/>
    </row>
    <row r="2915" spans="6:6">
      <c r="F2915" s="23"/>
    </row>
    <row r="2916" spans="6:6">
      <c r="F2916" s="23"/>
    </row>
    <row r="2917" spans="6:6">
      <c r="F2917" s="23"/>
    </row>
    <row r="2918" spans="6:6">
      <c r="F2918" s="23"/>
    </row>
    <row r="2919" spans="6:6">
      <c r="F2919" s="23"/>
    </row>
    <row r="2920" spans="6:6">
      <c r="F2920" s="23"/>
    </row>
    <row r="2921" spans="6:6">
      <c r="F2921" s="23"/>
    </row>
    <row r="2922" spans="6:6">
      <c r="F2922" s="23"/>
    </row>
    <row r="2923" spans="6:6">
      <c r="F2923" s="23"/>
    </row>
    <row r="2924" spans="6:6">
      <c r="F2924" s="23"/>
    </row>
    <row r="2925" spans="6:6">
      <c r="F2925" s="23"/>
    </row>
    <row r="2926" spans="6:6">
      <c r="F2926" s="23"/>
    </row>
    <row r="2927" spans="6:6">
      <c r="F2927" s="23"/>
    </row>
    <row r="2928" spans="6:6">
      <c r="F2928" s="23"/>
    </row>
    <row r="2929" spans="6:6">
      <c r="F2929" s="23"/>
    </row>
    <row r="2930" spans="6:6">
      <c r="F2930" s="23"/>
    </row>
    <row r="2931" spans="6:6">
      <c r="F2931" s="23"/>
    </row>
    <row r="2932" spans="6:6">
      <c r="F2932" s="23"/>
    </row>
    <row r="2933" spans="6:6">
      <c r="F2933" s="23"/>
    </row>
    <row r="2934" spans="6:6">
      <c r="F2934" s="23"/>
    </row>
    <row r="2935" spans="6:6">
      <c r="F2935" s="23"/>
    </row>
    <row r="2936" spans="6:6">
      <c r="F2936" s="23"/>
    </row>
    <row r="2937" spans="6:6">
      <c r="F2937" s="23"/>
    </row>
    <row r="2938" spans="6:6">
      <c r="F2938" s="23"/>
    </row>
    <row r="2939" spans="6:6">
      <c r="F2939" s="23"/>
    </row>
    <row r="2940" spans="6:6">
      <c r="F2940" s="23"/>
    </row>
    <row r="2941" spans="6:6">
      <c r="F2941" s="23"/>
    </row>
    <row r="2942" spans="6:6">
      <c r="F2942" s="23"/>
    </row>
    <row r="2943" spans="6:6">
      <c r="F2943" s="23"/>
    </row>
    <row r="2944" spans="6:6">
      <c r="F2944" s="23"/>
    </row>
    <row r="2945" spans="6:6">
      <c r="F2945" s="23"/>
    </row>
    <row r="2946" spans="6:6">
      <c r="F2946" s="23"/>
    </row>
    <row r="2947" spans="6:6">
      <c r="F2947" s="23"/>
    </row>
    <row r="2948" spans="6:6">
      <c r="F2948" s="23"/>
    </row>
    <row r="2949" spans="6:6">
      <c r="F2949" s="23"/>
    </row>
    <row r="2950" spans="6:6">
      <c r="F2950" s="23"/>
    </row>
    <row r="2951" spans="6:6">
      <c r="F2951" s="23"/>
    </row>
    <row r="2952" spans="6:6">
      <c r="F2952" s="23"/>
    </row>
    <row r="2953" spans="6:6">
      <c r="F2953" s="23"/>
    </row>
    <row r="2954" spans="6:6">
      <c r="F2954" s="23"/>
    </row>
    <row r="2955" spans="6:6">
      <c r="F2955" s="23"/>
    </row>
    <row r="2956" spans="6:6">
      <c r="F2956" s="23"/>
    </row>
    <row r="2957" spans="6:6">
      <c r="F2957" s="23"/>
    </row>
    <row r="2958" spans="6:6">
      <c r="F2958" s="23"/>
    </row>
    <row r="2959" spans="6:6">
      <c r="F2959" s="23"/>
    </row>
    <row r="2960" spans="6:6">
      <c r="F2960" s="23"/>
    </row>
    <row r="2961" spans="6:6">
      <c r="F2961" s="23"/>
    </row>
    <row r="2962" spans="6:6">
      <c r="F2962" s="23"/>
    </row>
    <row r="2963" spans="6:6">
      <c r="F2963" s="23"/>
    </row>
    <row r="2964" spans="6:6">
      <c r="F2964" s="23"/>
    </row>
    <row r="2965" spans="6:6">
      <c r="F2965" s="23"/>
    </row>
    <row r="2966" spans="6:6">
      <c r="F2966" s="23"/>
    </row>
    <row r="2967" spans="6:6">
      <c r="F2967" s="23"/>
    </row>
    <row r="2968" spans="6:6">
      <c r="F2968" s="23"/>
    </row>
    <row r="2969" spans="6:6">
      <c r="F2969" s="23"/>
    </row>
    <row r="2970" spans="6:6">
      <c r="F2970" s="23"/>
    </row>
    <row r="2971" spans="6:6">
      <c r="F2971" s="23"/>
    </row>
    <row r="2972" spans="6:6">
      <c r="F2972" s="23"/>
    </row>
    <row r="2973" spans="6:6">
      <c r="F2973" s="23"/>
    </row>
    <row r="2974" spans="6:6">
      <c r="F2974" s="23"/>
    </row>
    <row r="2975" spans="6:6">
      <c r="F2975" s="23"/>
    </row>
    <row r="2976" spans="6:6">
      <c r="F2976" s="23"/>
    </row>
    <row r="2977" spans="6:6">
      <c r="F2977" s="23"/>
    </row>
    <row r="2978" spans="6:6">
      <c r="F2978" s="23"/>
    </row>
    <row r="2979" spans="6:6">
      <c r="F2979" s="23"/>
    </row>
    <row r="2980" spans="6:6">
      <c r="F2980" s="23"/>
    </row>
    <row r="2981" spans="6:6">
      <c r="F2981" s="23"/>
    </row>
    <row r="2982" spans="6:6">
      <c r="F2982" s="23"/>
    </row>
    <row r="2983" spans="6:6">
      <c r="F2983" s="23"/>
    </row>
    <row r="2984" spans="6:6">
      <c r="F2984" s="23"/>
    </row>
    <row r="2985" spans="6:6">
      <c r="F2985" s="23"/>
    </row>
    <row r="2986" spans="6:6">
      <c r="F2986" s="23"/>
    </row>
    <row r="2987" spans="6:6">
      <c r="F2987" s="23"/>
    </row>
    <row r="2988" spans="6:6">
      <c r="F2988" s="23"/>
    </row>
    <row r="2989" spans="6:6">
      <c r="F2989" s="23"/>
    </row>
    <row r="2990" spans="6:6">
      <c r="F2990" s="23"/>
    </row>
    <row r="2991" spans="6:6">
      <c r="F2991" s="23"/>
    </row>
    <row r="2992" spans="6:6">
      <c r="F2992" s="23"/>
    </row>
    <row r="2993" spans="6:6">
      <c r="F2993" s="23"/>
    </row>
    <row r="2994" spans="6:6">
      <c r="F2994" s="23"/>
    </row>
    <row r="2995" spans="6:6">
      <c r="F2995" s="23"/>
    </row>
    <row r="2996" spans="6:6">
      <c r="F2996" s="23"/>
    </row>
    <row r="2997" spans="6:6">
      <c r="F2997" s="23"/>
    </row>
    <row r="2998" spans="6:6">
      <c r="F2998" s="23"/>
    </row>
    <row r="2999" spans="6:6">
      <c r="F2999" s="23"/>
    </row>
    <row r="3000" spans="6:6">
      <c r="F3000" s="23"/>
    </row>
    <row r="3001" spans="6:6">
      <c r="F3001" s="23"/>
    </row>
    <row r="3002" spans="6:6">
      <c r="F3002" s="23"/>
    </row>
    <row r="3003" spans="6:6">
      <c r="F3003" s="23"/>
    </row>
    <row r="3004" spans="6:6">
      <c r="F3004" s="23"/>
    </row>
    <row r="3005" spans="6:6">
      <c r="F3005" s="23"/>
    </row>
    <row r="3006" spans="6:6">
      <c r="F3006" s="23"/>
    </row>
    <row r="3007" spans="6:6">
      <c r="F3007" s="23"/>
    </row>
    <row r="3008" spans="6:6">
      <c r="F3008" s="23"/>
    </row>
    <row r="3009" spans="6:6">
      <c r="F3009" s="23"/>
    </row>
    <row r="3010" spans="6:6">
      <c r="F3010" s="23"/>
    </row>
    <row r="3011" spans="6:6">
      <c r="F3011" s="23"/>
    </row>
    <row r="3012" spans="6:6">
      <c r="F3012" s="23"/>
    </row>
    <row r="3013" spans="6:6">
      <c r="F3013" s="23"/>
    </row>
    <row r="3014" spans="6:6">
      <c r="F3014" s="23"/>
    </row>
    <row r="3015" spans="6:6">
      <c r="F3015" s="23"/>
    </row>
    <row r="3016" spans="6:6">
      <c r="F3016" s="23"/>
    </row>
    <row r="3017" spans="6:6">
      <c r="F3017" s="23"/>
    </row>
    <row r="3018" spans="6:6">
      <c r="F3018" s="23"/>
    </row>
    <row r="3019" spans="6:6">
      <c r="F3019" s="23"/>
    </row>
    <row r="3020" spans="6:6">
      <c r="F3020" s="23"/>
    </row>
    <row r="3021" spans="6:6">
      <c r="F3021" s="23"/>
    </row>
    <row r="3022" spans="6:6">
      <c r="F3022" s="23"/>
    </row>
    <row r="3023" spans="6:6">
      <c r="F3023" s="23"/>
    </row>
    <row r="3024" spans="6:6">
      <c r="F3024" s="23"/>
    </row>
    <row r="3025" spans="6:6">
      <c r="F3025" s="23"/>
    </row>
    <row r="3026" spans="6:6">
      <c r="F3026" s="23"/>
    </row>
    <row r="3027" spans="6:6">
      <c r="F3027" s="23"/>
    </row>
    <row r="3028" spans="6:6">
      <c r="F3028" s="23"/>
    </row>
    <row r="3029" spans="6:6">
      <c r="F3029" s="23"/>
    </row>
    <row r="3030" spans="6:6">
      <c r="F3030" s="23"/>
    </row>
    <row r="3031" spans="6:6">
      <c r="F3031" s="23"/>
    </row>
    <row r="3032" spans="6:6">
      <c r="F3032" s="23"/>
    </row>
    <row r="3033" spans="6:6">
      <c r="F3033" s="23"/>
    </row>
    <row r="3034" spans="6:6">
      <c r="F3034" s="23"/>
    </row>
    <row r="3035" spans="6:6">
      <c r="F3035" s="23"/>
    </row>
    <row r="3036" spans="6:6">
      <c r="F3036" s="23"/>
    </row>
    <row r="3037" spans="6:6">
      <c r="F3037" s="23"/>
    </row>
    <row r="3038" spans="6:6">
      <c r="F3038" s="23"/>
    </row>
    <row r="3039" spans="6:6">
      <c r="F3039" s="23"/>
    </row>
    <row r="3040" spans="6:6">
      <c r="F3040" s="23"/>
    </row>
    <row r="3041" spans="6:6">
      <c r="F3041" s="23"/>
    </row>
    <row r="3042" spans="6:6">
      <c r="F3042" s="23"/>
    </row>
    <row r="3043" spans="6:6">
      <c r="F3043" s="23"/>
    </row>
    <row r="3044" spans="6:6">
      <c r="F3044" s="23"/>
    </row>
    <row r="3045" spans="6:6">
      <c r="F3045" s="23"/>
    </row>
    <row r="3046" spans="6:6">
      <c r="F3046" s="23"/>
    </row>
    <row r="3047" spans="6:6">
      <c r="F3047" s="23"/>
    </row>
    <row r="3048" spans="6:6">
      <c r="F3048" s="23"/>
    </row>
    <row r="3049" spans="6:6">
      <c r="F3049" s="23"/>
    </row>
    <row r="3050" spans="6:6">
      <c r="F3050" s="23"/>
    </row>
    <row r="3051" spans="6:6">
      <c r="F3051" s="23"/>
    </row>
    <row r="3052" spans="6:6">
      <c r="F3052" s="23"/>
    </row>
    <row r="3053" spans="6:6">
      <c r="F3053" s="23"/>
    </row>
    <row r="3054" spans="6:6">
      <c r="F3054" s="23"/>
    </row>
    <row r="3055" spans="6:6">
      <c r="F3055" s="23"/>
    </row>
    <row r="3056" spans="6:6">
      <c r="F3056" s="23"/>
    </row>
    <row r="3057" spans="6:6">
      <c r="F3057" s="23"/>
    </row>
    <row r="3058" spans="6:6">
      <c r="F3058" s="23"/>
    </row>
    <row r="3059" spans="6:6">
      <c r="F3059" s="23"/>
    </row>
    <row r="3060" spans="6:6">
      <c r="F3060" s="23"/>
    </row>
    <row r="3061" spans="6:6">
      <c r="F3061" s="23"/>
    </row>
    <row r="3062" spans="6:6">
      <c r="F3062" s="23"/>
    </row>
    <row r="3063" spans="6:6">
      <c r="F3063" s="23"/>
    </row>
    <row r="3064" spans="6:6">
      <c r="F3064" s="23"/>
    </row>
    <row r="3065" spans="6:6">
      <c r="F3065" s="23"/>
    </row>
    <row r="3066" spans="6:6">
      <c r="F3066" s="23"/>
    </row>
    <row r="3067" spans="6:6">
      <c r="F3067" s="23"/>
    </row>
    <row r="3068" spans="6:6">
      <c r="F3068" s="23"/>
    </row>
    <row r="3069" spans="6:6">
      <c r="F3069" s="23"/>
    </row>
    <row r="3070" spans="6:6">
      <c r="F3070" s="23"/>
    </row>
    <row r="3071" spans="6:6">
      <c r="F3071" s="23"/>
    </row>
    <row r="3072" spans="6:6">
      <c r="F3072" s="23"/>
    </row>
    <row r="3073" spans="6:6">
      <c r="F3073" s="23"/>
    </row>
    <row r="3074" spans="6:6">
      <c r="F3074" s="23"/>
    </row>
    <row r="3075" spans="6:6">
      <c r="F3075" s="23"/>
    </row>
    <row r="3076" spans="6:6">
      <c r="F3076" s="23"/>
    </row>
    <row r="3077" spans="6:6">
      <c r="F3077" s="23"/>
    </row>
    <row r="3078" spans="6:6">
      <c r="F3078" s="23"/>
    </row>
    <row r="3079" spans="6:6">
      <c r="F3079" s="23"/>
    </row>
    <row r="3080" spans="6:6">
      <c r="F3080" s="23"/>
    </row>
    <row r="3081" spans="6:6">
      <c r="F3081" s="23"/>
    </row>
    <row r="3082" spans="6:6">
      <c r="F3082" s="23"/>
    </row>
    <row r="3083" spans="6:6">
      <c r="F3083" s="23"/>
    </row>
    <row r="3084" spans="6:6">
      <c r="F3084" s="23"/>
    </row>
    <row r="3085" spans="6:6">
      <c r="F3085" s="23"/>
    </row>
    <row r="3086" spans="6:6">
      <c r="F3086" s="23"/>
    </row>
    <row r="3087" spans="6:6">
      <c r="F3087" s="23"/>
    </row>
    <row r="3088" spans="6:6">
      <c r="F3088" s="23"/>
    </row>
    <row r="3089" spans="6:6">
      <c r="F3089" s="23"/>
    </row>
    <row r="3090" spans="6:6">
      <c r="F3090" s="23"/>
    </row>
    <row r="3091" spans="6:6">
      <c r="F3091" s="23"/>
    </row>
    <row r="3092" spans="6:6">
      <c r="F3092" s="23"/>
    </row>
    <row r="3093" spans="6:6">
      <c r="F3093" s="23"/>
    </row>
    <row r="3094" spans="6:6">
      <c r="F3094" s="23"/>
    </row>
    <row r="3095" spans="6:6">
      <c r="F3095" s="23"/>
    </row>
    <row r="3096" spans="6:6">
      <c r="F3096" s="23"/>
    </row>
    <row r="3097" spans="6:6">
      <c r="F3097" s="23"/>
    </row>
    <row r="3098" spans="6:6">
      <c r="F3098" s="23"/>
    </row>
    <row r="3099" spans="6:6">
      <c r="F3099" s="23"/>
    </row>
    <row r="3100" spans="6:6">
      <c r="F3100" s="23"/>
    </row>
    <row r="3101" spans="6:6">
      <c r="F3101" s="23"/>
    </row>
    <row r="3102" spans="6:6">
      <c r="F3102" s="23"/>
    </row>
    <row r="3103" spans="6:6">
      <c r="F3103" s="23"/>
    </row>
    <row r="3104" spans="6:6">
      <c r="F3104" s="23"/>
    </row>
    <row r="3105" spans="6:6">
      <c r="F3105" s="23"/>
    </row>
    <row r="3106" spans="6:6">
      <c r="F3106" s="23"/>
    </row>
    <row r="3107" spans="6:6">
      <c r="F3107" s="23"/>
    </row>
    <row r="3108" spans="6:6">
      <c r="F3108" s="23"/>
    </row>
    <row r="3109" spans="6:6">
      <c r="F3109" s="23"/>
    </row>
    <row r="3110" spans="6:6">
      <c r="F3110" s="23"/>
    </row>
    <row r="3111" spans="6:6">
      <c r="F3111" s="23"/>
    </row>
    <row r="3112" spans="6:6">
      <c r="F3112" s="23"/>
    </row>
    <row r="3113" spans="6:6">
      <c r="F3113" s="23"/>
    </row>
    <row r="3114" spans="6:6">
      <c r="F3114" s="23"/>
    </row>
    <row r="3115" spans="6:6">
      <c r="F3115" s="23"/>
    </row>
    <row r="3116" spans="6:6">
      <c r="F3116" s="23"/>
    </row>
    <row r="3117" spans="6:6">
      <c r="F3117" s="23"/>
    </row>
    <row r="3118" spans="6:6">
      <c r="F3118" s="23"/>
    </row>
    <row r="3119" spans="6:6">
      <c r="F3119" s="23"/>
    </row>
    <row r="3120" spans="6:6">
      <c r="F3120" s="23"/>
    </row>
  </sheetData>
  <sheetProtection pivotTables="0"/>
  <pageMargins left="0.70866141732283472" right="0.70866141732283472" top="0.74803149606299213" bottom="0.74803149606299213" header="0.31496062992125984" footer="0.31496062992125984"/>
  <pageSetup paperSize="9" scale="36" orientation="landscape" r:id="rId2"/>
  <headerFooter>
    <oddHeader>&amp;RPage &amp;P&amp;C&amp;A</oddHeader>
    <oddFooter>&amp;CPage &amp;P of &amp;N</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Slicer</vt:lpstr>
      <vt:lpstr>Understanding the data</vt:lpstr>
      <vt:lpstr>Instructions</vt:lpstr>
      <vt:lpstr>Enter Parameters</vt:lpstr>
      <vt:lpstr>Parameter Summary</vt:lpstr>
      <vt:lpstr>Dashboard</vt:lpstr>
      <vt:lpstr>AIC1</vt:lpstr>
      <vt:lpstr>AIC2</vt:lpstr>
      <vt:lpstr>AIC3</vt:lpstr>
      <vt:lpstr>Enquiry - Gateway</vt:lpstr>
      <vt:lpstr>Contacts</vt:lpstr>
      <vt:lpstr>Client_Profile</vt:lpstr>
      <vt:lpstr>Clients</vt:lpstr>
      <vt:lpstr>Ebefs</vt:lpstr>
      <vt:lpstr>LA</vt:lpstr>
      <vt:lpstr>Constituency</vt:lpstr>
      <vt:lpstr>Funder</vt:lpstr>
      <vt:lpstr>Outcomes</vt:lpstr>
      <vt:lpstr>Version</vt:lpstr>
      <vt:lpstr>'AIC2'!Print_Area</vt:lpstr>
      <vt:lpstr>'AIC3'!Print_Area</vt:lpstr>
      <vt:lpstr>Instructions!Print_Area</vt:lpstr>
      <vt:lpstr>LA!Print_Area</vt:lpstr>
      <vt:lpstr>Outcomes!Print_Area</vt:lpstr>
    </vt:vector>
  </TitlesOfParts>
  <Company>CAB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Doug</dc:creator>
  <cp:lastModifiedBy>Martin Handsley</cp:lastModifiedBy>
  <cp:lastPrinted>2017-04-10T15:35:31Z</cp:lastPrinted>
  <dcterms:created xsi:type="dcterms:W3CDTF">2014-02-09T19:50:05Z</dcterms:created>
  <dcterms:modified xsi:type="dcterms:W3CDTF">2017-07-19T11:53:44Z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LastInsertion">
    <vt:lpwstr>UNCLASSIFIED</vt:lpwstr>
  </property>
  <property fmtid="{D5CDD505-2E9C-101B-9397-08002B2CF9AE}" pid="3" name="PM_SecurityClassification">
    <vt:lpwstr>UNCLASSIFIED</vt:lpwstr>
  </property>
  <property fmtid="{D5CDD505-2E9C-101B-9397-08002B2CF9AE}" pid="4" name="PM_Qualifier">
    <vt:lpwstr/>
  </property>
  <property fmtid="{D5CDD505-2E9C-101B-9397-08002B2CF9AE}" pid="5" name="PM_DisplayValueSecClassificationWithQualifier">
    <vt:lpwstr>UNCLASSIFIED</vt:lpwstr>
  </property>
  <property fmtid="{D5CDD505-2E9C-101B-9397-08002B2CF9AE}" pid="6" name="PM_InsertionValue">
    <vt:lpwstr>UNCLASSIFIED</vt:lpwstr>
  </property>
  <property fmtid="{D5CDD505-2E9C-101B-9397-08002B2CF9AE}" pid="7" name="PM_Originator_Hash_SHA1">
    <vt:lpwstr>228FD8AFF53CBDD905A60D884827011570C3A83A</vt:lpwstr>
  </property>
  <property fmtid="{D5CDD505-2E9C-101B-9397-08002B2CF9AE}" pid="8" name="PM_Hash_Version">
    <vt:lpwstr>2012.2</vt:lpwstr>
  </property>
  <property fmtid="{D5CDD505-2E9C-101B-9397-08002B2CF9AE}" pid="9" name="PM_Hash_Salt">
    <vt:lpwstr>46DA3E4EC01EF047FD326DCE0C115A64</vt:lpwstr>
  </property>
  <property fmtid="{D5CDD505-2E9C-101B-9397-08002B2CF9AE}" pid="10" name="PM_Hash_SHA1">
    <vt:lpwstr>32B7D30BF4B32CF366AC1227222E88B13A641D0A</vt:lpwstr>
  </property>
  <property fmtid="{D5CDD505-2E9C-101B-9397-08002B2CF9AE}" pid="11" name="WorkbookGuid">
    <vt:lpwstr>54f39f48-aa99-4e2c-b79b-b5e7a2216dce</vt:lpwstr>
  </property>
</Properties>
</file>