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1600" windowHeight="9735" tabRatio="253"/>
  </bookViews>
  <sheets>
    <sheet name="Master Sheet" sheetId="5" r:id="rId1"/>
    <sheet name="Region averages" sheetId="3" r:id="rId2"/>
  </sheets>
  <definedNames>
    <definedName name="_xlnm._FilterDatabase" localSheetId="0" hidden="1">'Master Sheet'!$A$1:$O$409</definedName>
    <definedName name="_xlnm._FilterDatabase" localSheetId="1" hidden="1">'Region averages'!$A$1:$C$13</definedName>
  </definedNames>
  <calcPr calcId="145621"/>
</workbook>
</file>

<file path=xl/calcChain.xml><?xml version="1.0" encoding="utf-8"?>
<calcChain xmlns="http://schemas.openxmlformats.org/spreadsheetml/2006/main">
  <c r="K4" i="5" l="1"/>
  <c r="K135" i="5"/>
  <c r="M135" i="5" s="1"/>
  <c r="J358" i="5" l="1"/>
  <c r="J309" i="5" l="1"/>
  <c r="M200" i="5"/>
  <c r="K21" i="5"/>
  <c r="K168" i="5"/>
  <c r="M168" i="5" s="1"/>
  <c r="J392" i="5" l="1"/>
  <c r="K262" i="5" l="1"/>
  <c r="J262" i="5"/>
  <c r="I121" i="5" l="1"/>
  <c r="K170" i="5"/>
  <c r="I35" i="5" l="1"/>
  <c r="G35" i="5"/>
  <c r="E35" i="5"/>
  <c r="K244" i="5" l="1"/>
  <c r="G87" i="5" l="1"/>
  <c r="K87" i="5" s="1"/>
  <c r="F87" i="5"/>
  <c r="J87" i="5" s="1"/>
  <c r="I206" i="5" l="1"/>
  <c r="G206" i="5"/>
  <c r="E206" i="5"/>
  <c r="I320" i="5" l="1"/>
  <c r="J199" i="5" l="1"/>
  <c r="J24" i="5"/>
  <c r="K199" i="5"/>
  <c r="K24" i="5"/>
  <c r="I359" i="5"/>
  <c r="G359" i="5"/>
  <c r="E359" i="5"/>
  <c r="J192" i="5" l="1"/>
  <c r="K196" i="5"/>
  <c r="J196" i="5"/>
  <c r="I37" i="5"/>
  <c r="G37" i="5"/>
  <c r="E37" i="5"/>
  <c r="J268" i="5" l="1"/>
  <c r="J26" i="5"/>
  <c r="K231" i="5"/>
  <c r="K251" i="5"/>
  <c r="K187" i="5"/>
  <c r="I352" i="5" l="1"/>
  <c r="G352" i="5"/>
  <c r="I208" i="5"/>
  <c r="E95" i="5"/>
  <c r="I241" i="5"/>
  <c r="G241" i="5"/>
  <c r="I134" i="5" l="1"/>
  <c r="G134" i="5"/>
  <c r="I357" i="5"/>
  <c r="E268" i="5" l="1"/>
  <c r="G268" i="5"/>
  <c r="I268" i="5"/>
  <c r="K268" i="5" l="1"/>
  <c r="G13" i="5"/>
  <c r="E13" i="5"/>
  <c r="E210" i="5" l="1"/>
  <c r="J279" i="5"/>
  <c r="J381" i="5"/>
  <c r="K370" i="5"/>
  <c r="M370" i="5" s="1"/>
  <c r="E121" i="5" l="1"/>
  <c r="J173" i="5"/>
  <c r="J331" i="5"/>
  <c r="I356" i="5"/>
  <c r="K356" i="5" s="1"/>
  <c r="I25" i="5" l="1"/>
  <c r="G25" i="5"/>
  <c r="E25" i="5"/>
  <c r="I412" i="5" l="1"/>
  <c r="F412" i="5"/>
  <c r="F413" i="5" s="1"/>
  <c r="H412" i="5"/>
  <c r="H413" i="5" s="1"/>
  <c r="E412" i="5"/>
  <c r="E413" i="5" s="1"/>
  <c r="D412" i="5"/>
  <c r="D413" i="5" s="1"/>
  <c r="I413" i="5" l="1"/>
  <c r="I415" i="5"/>
  <c r="J332" i="5"/>
  <c r="K203" i="5" l="1"/>
  <c r="K32" i="5"/>
  <c r="K238" i="5"/>
  <c r="K307" i="5"/>
  <c r="K298" i="5"/>
  <c r="K277" i="5"/>
  <c r="K180" i="5"/>
  <c r="K29" i="5"/>
  <c r="K115" i="5"/>
  <c r="K294" i="5"/>
  <c r="K103" i="5"/>
  <c r="K121" i="5"/>
  <c r="K195" i="5"/>
  <c r="K41" i="5"/>
  <c r="K342" i="5"/>
  <c r="K86" i="5"/>
  <c r="K101" i="5"/>
  <c r="K317" i="5"/>
  <c r="K286" i="5"/>
  <c r="K389" i="5"/>
  <c r="K137" i="5"/>
  <c r="K124" i="5"/>
  <c r="K343" i="5"/>
  <c r="K318" i="5"/>
  <c r="M147" i="5"/>
  <c r="K167" i="5"/>
  <c r="K369" i="5"/>
  <c r="K91" i="5"/>
  <c r="K339" i="5"/>
  <c r="K383" i="5"/>
  <c r="K112" i="5"/>
  <c r="K173" i="5"/>
  <c r="K12" i="5"/>
  <c r="K349" i="5"/>
  <c r="K204" i="5"/>
  <c r="K13" i="5"/>
  <c r="K146" i="5"/>
  <c r="K117" i="5"/>
  <c r="K347" i="5"/>
  <c r="K54" i="5"/>
  <c r="K133" i="5"/>
  <c r="K105" i="5"/>
  <c r="K47" i="5"/>
  <c r="K15" i="5"/>
  <c r="K169" i="5"/>
  <c r="K236" i="5"/>
  <c r="K134" i="5"/>
  <c r="K35" i="5"/>
  <c r="K213" i="5"/>
  <c r="K92" i="5"/>
  <c r="K322" i="5"/>
  <c r="K361" i="5"/>
  <c r="K390" i="5"/>
  <c r="K165" i="5"/>
  <c r="K193" i="5"/>
  <c r="K145" i="5"/>
  <c r="K190" i="5"/>
  <c r="K344" i="5"/>
  <c r="K108" i="5"/>
  <c r="K225" i="5"/>
  <c r="K314" i="5"/>
  <c r="K315" i="5"/>
  <c r="K51" i="5"/>
  <c r="K358" i="5"/>
  <c r="K232" i="5"/>
  <c r="K183" i="5"/>
  <c r="K49" i="5"/>
  <c r="K44" i="5"/>
  <c r="K36" i="5"/>
  <c r="K38" i="5"/>
  <c r="K46" i="5"/>
  <c r="K240" i="5"/>
  <c r="K368" i="5"/>
  <c r="K132" i="5"/>
  <c r="K266" i="5"/>
  <c r="K278" i="5"/>
  <c r="K287" i="5"/>
  <c r="K208" i="5"/>
  <c r="K22" i="5"/>
  <c r="K178" i="5"/>
  <c r="K123" i="5"/>
  <c r="K296" i="5"/>
  <c r="K118" i="5"/>
  <c r="K327" i="5"/>
  <c r="K237" i="5"/>
  <c r="K274" i="5"/>
  <c r="K48" i="5"/>
  <c r="K209" i="5"/>
  <c r="K188" i="5"/>
  <c r="K17" i="5"/>
  <c r="K249" i="5"/>
  <c r="K306" i="5"/>
  <c r="K292" i="5"/>
  <c r="K177" i="5"/>
  <c r="K352" i="5"/>
  <c r="K163" i="5"/>
  <c r="K391" i="5"/>
  <c r="K260" i="5"/>
  <c r="K100" i="5"/>
  <c r="K158" i="5"/>
  <c r="K53" i="5"/>
  <c r="K164" i="5"/>
  <c r="K16" i="5"/>
  <c r="K159" i="5"/>
  <c r="K367" i="5"/>
  <c r="K119" i="5"/>
  <c r="K129" i="5"/>
  <c r="K102" i="5"/>
  <c r="K242" i="5"/>
  <c r="K45" i="5"/>
  <c r="K175" i="5"/>
  <c r="K387" i="5"/>
  <c r="K140" i="5"/>
  <c r="K26" i="5"/>
  <c r="K271" i="5"/>
  <c r="K166" i="5"/>
  <c r="K263" i="5"/>
  <c r="K37" i="5"/>
  <c r="K141" i="5"/>
  <c r="K174" i="5"/>
  <c r="K206" i="5"/>
  <c r="K157" i="5"/>
  <c r="K8" i="5"/>
  <c r="K381" i="5"/>
  <c r="K83" i="5"/>
  <c r="K30" i="5"/>
  <c r="K279" i="5"/>
  <c r="K52" i="5"/>
  <c r="K96" i="5"/>
  <c r="K297" i="5"/>
  <c r="K372" i="5"/>
  <c r="K219" i="5"/>
  <c r="K131" i="5"/>
  <c r="K330" i="5"/>
  <c r="K9" i="5"/>
  <c r="K39" i="5"/>
  <c r="K42" i="5"/>
  <c r="K40" i="5"/>
  <c r="K270" i="5"/>
  <c r="K348" i="5"/>
  <c r="K241" i="5"/>
  <c r="K345" i="5"/>
  <c r="K291" i="5"/>
  <c r="K98" i="5"/>
  <c r="K186" i="5"/>
  <c r="K363" i="5"/>
  <c r="K160" i="5"/>
  <c r="K340" i="5"/>
  <c r="K116" i="5"/>
  <c r="K239" i="5"/>
  <c r="K325" i="5"/>
  <c r="K88" i="5"/>
  <c r="K85" i="5"/>
  <c r="K289" i="5"/>
  <c r="K89" i="5"/>
  <c r="K324" i="5"/>
  <c r="K56" i="5"/>
  <c r="K106" i="5"/>
  <c r="K384" i="5"/>
  <c r="K122" i="5"/>
  <c r="K31" i="5"/>
  <c r="K18" i="5"/>
  <c r="K107" i="5"/>
  <c r="K272" i="5"/>
  <c r="K346" i="5"/>
  <c r="K214" i="5"/>
  <c r="K235" i="5"/>
  <c r="K269" i="5"/>
  <c r="K210" i="5"/>
  <c r="K11" i="5"/>
  <c r="K171" i="5"/>
  <c r="K382" i="5"/>
  <c r="K273" i="5"/>
  <c r="K341" i="5"/>
  <c r="K162" i="5"/>
  <c r="K207" i="5"/>
  <c r="K34" i="5"/>
  <c r="K27" i="5"/>
  <c r="K364" i="5"/>
  <c r="K50" i="5"/>
  <c r="K281" i="5"/>
  <c r="K20" i="5"/>
  <c r="K33" i="5"/>
  <c r="K212" i="5"/>
  <c r="K201" i="5"/>
  <c r="K379" i="5"/>
  <c r="K247" i="5"/>
  <c r="K357" i="5"/>
  <c r="K360" i="5"/>
  <c r="K55" i="5"/>
  <c r="K43" i="5"/>
  <c r="K316" i="5"/>
  <c r="K97" i="5"/>
  <c r="K93" i="5"/>
  <c r="K205" i="5"/>
  <c r="K295" i="5"/>
  <c r="K28" i="5"/>
  <c r="K81" i="5"/>
  <c r="K184" i="5"/>
  <c r="K261" i="5"/>
  <c r="K149" i="5"/>
  <c r="K142" i="5"/>
  <c r="K14" i="5"/>
  <c r="K233" i="5"/>
  <c r="K194" i="5"/>
  <c r="K3" i="5"/>
  <c r="K113" i="5"/>
  <c r="K189" i="5"/>
  <c r="K267" i="5"/>
  <c r="K350" i="5"/>
  <c r="K320" i="5"/>
  <c r="K23" i="5"/>
  <c r="K362" i="5"/>
  <c r="K127" i="5"/>
  <c r="K329" i="5"/>
  <c r="K282" i="5"/>
  <c r="K7" i="5"/>
  <c r="K114" i="5"/>
  <c r="K321" i="5"/>
  <c r="K351" i="5"/>
  <c r="K197" i="5"/>
  <c r="K285" i="5"/>
  <c r="K353" i="5"/>
  <c r="K385" i="5"/>
  <c r="K359" i="5"/>
  <c r="K172" i="5"/>
  <c r="K5" i="5"/>
  <c r="K120" i="5"/>
  <c r="K265" i="5"/>
  <c r="K211" i="5"/>
  <c r="K95" i="5"/>
  <c r="K250" i="5"/>
  <c r="K276" i="5"/>
  <c r="K161" i="5"/>
  <c r="K319" i="5"/>
  <c r="K310" i="5"/>
  <c r="K300" i="5"/>
  <c r="K198" i="5"/>
  <c r="K365" i="5"/>
  <c r="K305" i="5"/>
  <c r="K25" i="5"/>
  <c r="M294" i="5" l="1"/>
  <c r="G57" i="5"/>
  <c r="G412" i="5" s="1"/>
  <c r="G413" i="5" s="1"/>
  <c r="K57" i="5" l="1"/>
  <c r="J20" i="5"/>
  <c r="M20" i="5" s="1"/>
  <c r="K412" i="5" l="1"/>
  <c r="K413" i="5"/>
  <c r="M358" i="5"/>
  <c r="J232" i="5"/>
  <c r="M232" i="5" s="1"/>
  <c r="J183" i="5"/>
  <c r="M183" i="5" s="1"/>
  <c r="J49" i="5"/>
  <c r="M49" i="5" s="1"/>
  <c r="J231" i="5"/>
  <c r="M231" i="5" s="1"/>
  <c r="J44" i="5"/>
  <c r="M44" i="5" s="1"/>
  <c r="J36" i="5"/>
  <c r="M36" i="5" s="1"/>
  <c r="M243" i="5"/>
  <c r="J144" i="5"/>
  <c r="M144" i="5" s="1"/>
  <c r="J38" i="5"/>
  <c r="M38" i="5" s="1"/>
  <c r="J46" i="5"/>
  <c r="M46" i="5" s="1"/>
  <c r="J240" i="5"/>
  <c r="M240" i="5" s="1"/>
  <c r="J388" i="5"/>
  <c r="M388" i="5" s="1"/>
  <c r="J368" i="5"/>
  <c r="M368" i="5" s="1"/>
  <c r="J132" i="5"/>
  <c r="M132" i="5" s="1"/>
  <c r="J266" i="5"/>
  <c r="M266" i="5" s="1"/>
  <c r="J278" i="5"/>
  <c r="M278" i="5" s="1"/>
  <c r="J287" i="5"/>
  <c r="M287" i="5" s="1"/>
  <c r="J208" i="5"/>
  <c r="M208" i="5" s="1"/>
  <c r="J22" i="5"/>
  <c r="M22" i="5" s="1"/>
  <c r="J178" i="5"/>
  <c r="M178" i="5" s="1"/>
  <c r="J123" i="5"/>
  <c r="M123" i="5" s="1"/>
  <c r="J296" i="5"/>
  <c r="M296" i="5" s="1"/>
  <c r="J94" i="5"/>
  <c r="M94" i="5" s="1"/>
  <c r="J118" i="5"/>
  <c r="M118" i="5" s="1"/>
  <c r="J327" i="5"/>
  <c r="M327" i="5" s="1"/>
  <c r="J274" i="5"/>
  <c r="M274" i="5" s="1"/>
  <c r="M126" i="5"/>
  <c r="J48" i="5"/>
  <c r="M48" i="5" s="1"/>
  <c r="M283" i="5"/>
  <c r="J328" i="5"/>
  <c r="M328" i="5" s="1"/>
  <c r="J209" i="5"/>
  <c r="M209" i="5" s="1"/>
  <c r="J188" i="5"/>
  <c r="M188" i="5" s="1"/>
  <c r="J17" i="5"/>
  <c r="J249" i="5"/>
  <c r="M249" i="5" s="1"/>
  <c r="J333" i="5"/>
  <c r="J323" i="5"/>
  <c r="M323" i="5" s="1"/>
  <c r="J306" i="5"/>
  <c r="M306" i="5" s="1"/>
  <c r="J292" i="5"/>
  <c r="M292" i="5" s="1"/>
  <c r="J177" i="5"/>
  <c r="M177" i="5" s="1"/>
  <c r="J275" i="5"/>
  <c r="M275" i="5" s="1"/>
  <c r="J352" i="5"/>
  <c r="M352" i="5" s="1"/>
  <c r="J163" i="5"/>
  <c r="M163" i="5" s="1"/>
  <c r="J391" i="5"/>
  <c r="M391" i="5" s="1"/>
  <c r="J260" i="5"/>
  <c r="M260" i="5" s="1"/>
  <c r="J100" i="5"/>
  <c r="M100" i="5" s="1"/>
  <c r="J158" i="5"/>
  <c r="M158" i="5" s="1"/>
  <c r="J148" i="5"/>
  <c r="M148" i="5" s="1"/>
  <c r="J53" i="5"/>
  <c r="M53" i="5" s="1"/>
  <c r="J164" i="5"/>
  <c r="M164" i="5" s="1"/>
  <c r="J16" i="5"/>
  <c r="L16" i="5" s="1"/>
  <c r="J293" i="5"/>
  <c r="M293" i="5" s="1"/>
  <c r="J159" i="5"/>
  <c r="M159" i="5" s="1"/>
  <c r="J367" i="5"/>
  <c r="M367" i="5" s="1"/>
  <c r="J119" i="5"/>
  <c r="M119" i="5" s="1"/>
  <c r="J129" i="5"/>
  <c r="M129" i="5" s="1"/>
  <c r="J102" i="5"/>
  <c r="M102" i="5" s="1"/>
  <c r="J242" i="5"/>
  <c r="M242" i="5" s="1"/>
  <c r="J45" i="5"/>
  <c r="M45" i="5" s="1"/>
  <c r="J175" i="5"/>
  <c r="M175" i="5" s="1"/>
  <c r="J387" i="5"/>
  <c r="M387" i="5" s="1"/>
  <c r="J215" i="5"/>
  <c r="M215" i="5" s="1"/>
  <c r="J140" i="5"/>
  <c r="M140" i="5" s="1"/>
  <c r="M26" i="5"/>
  <c r="J271" i="5"/>
  <c r="M271" i="5" s="1"/>
  <c r="J166" i="5"/>
  <c r="M166" i="5" s="1"/>
  <c r="J263" i="5"/>
  <c r="M263" i="5" s="1"/>
  <c r="J37" i="5"/>
  <c r="M37" i="5" s="1"/>
  <c r="J141" i="5"/>
  <c r="M141" i="5" s="1"/>
  <c r="J174" i="5"/>
  <c r="M174" i="5" s="1"/>
  <c r="J380" i="5"/>
  <c r="M380" i="5" s="1"/>
  <c r="J206" i="5"/>
  <c r="M206" i="5" s="1"/>
  <c r="J157" i="5"/>
  <c r="M157" i="5" s="1"/>
  <c r="J8" i="5"/>
  <c r="M8" i="5" s="1"/>
  <c r="M381" i="5"/>
  <c r="J83" i="5"/>
  <c r="M83" i="5" s="1"/>
  <c r="J30" i="5"/>
  <c r="M30" i="5" s="1"/>
  <c r="M279" i="5"/>
  <c r="J52" i="5"/>
  <c r="M52" i="5" s="1"/>
  <c r="J96" i="5"/>
  <c r="M96" i="5" s="1"/>
  <c r="J297" i="5"/>
  <c r="M128" i="5"/>
  <c r="J372" i="5"/>
  <c r="M372" i="5" s="1"/>
  <c r="M104" i="5"/>
  <c r="M268" i="5"/>
  <c r="J131" i="5"/>
  <c r="M131" i="5" s="1"/>
  <c r="J330" i="5"/>
  <c r="M330" i="5" s="1"/>
  <c r="J9" i="5"/>
  <c r="M9" i="5" s="1"/>
  <c r="J39" i="5"/>
  <c r="M39" i="5" s="1"/>
  <c r="J42" i="5"/>
  <c r="M42" i="5" s="1"/>
  <c r="J40" i="5"/>
  <c r="M40" i="5" s="1"/>
  <c r="J185" i="5"/>
  <c r="M185" i="5" s="1"/>
  <c r="M234" i="5"/>
  <c r="J270" i="5"/>
  <c r="M270" i="5" s="1"/>
  <c r="J299" i="5"/>
  <c r="M299" i="5" s="1"/>
  <c r="J348" i="5"/>
  <c r="M348" i="5" s="1"/>
  <c r="M248" i="5"/>
  <c r="J241" i="5"/>
  <c r="M241" i="5" s="1"/>
  <c r="J345" i="5"/>
  <c r="M345" i="5" s="1"/>
  <c r="J291" i="5"/>
  <c r="M291" i="5" s="1"/>
  <c r="J98" i="5"/>
  <c r="M98" i="5" s="1"/>
  <c r="J186" i="5"/>
  <c r="M186" i="5" s="1"/>
  <c r="J363" i="5"/>
  <c r="M363" i="5" s="1"/>
  <c r="J160" i="5"/>
  <c r="M160" i="5" s="1"/>
  <c r="J340" i="5"/>
  <c r="M340" i="5" s="1"/>
  <c r="J116" i="5"/>
  <c r="M116" i="5" s="1"/>
  <c r="J239" i="5"/>
  <c r="M239" i="5" s="1"/>
  <c r="J325" i="5"/>
  <c r="M325" i="5" s="1"/>
  <c r="J88" i="5"/>
  <c r="M88" i="5" s="1"/>
  <c r="J85" i="5"/>
  <c r="M85" i="5" s="1"/>
  <c r="J289" i="5"/>
  <c r="M289" i="5" s="1"/>
  <c r="M89" i="5"/>
  <c r="M245" i="5"/>
  <c r="J84" i="5"/>
  <c r="M84" i="5" s="1"/>
  <c r="M125" i="5"/>
  <c r="J324" i="5"/>
  <c r="M324" i="5" s="1"/>
  <c r="J56" i="5"/>
  <c r="M56" i="5" s="1"/>
  <c r="J106" i="5"/>
  <c r="M106" i="5" s="1"/>
  <c r="J384" i="5"/>
  <c r="M384" i="5" s="1"/>
  <c r="J21" i="5"/>
  <c r="M21" i="5" s="1"/>
  <c r="J122" i="5"/>
  <c r="M122" i="5" s="1"/>
  <c r="J31" i="5"/>
  <c r="M31" i="5" s="1"/>
  <c r="J18" i="5"/>
  <c r="M18" i="5" s="1"/>
  <c r="J107" i="5"/>
  <c r="M107" i="5" s="1"/>
  <c r="J202" i="5"/>
  <c r="M202" i="5" s="1"/>
  <c r="M246" i="5"/>
  <c r="J272" i="5"/>
  <c r="M272" i="5" s="1"/>
  <c r="J346" i="5"/>
  <c r="M346" i="5" s="1"/>
  <c r="J214" i="5"/>
  <c r="M214" i="5" s="1"/>
  <c r="J235" i="5"/>
  <c r="M235" i="5" s="1"/>
  <c r="J269" i="5"/>
  <c r="M269" i="5" s="1"/>
  <c r="J210" i="5"/>
  <c r="M210" i="5" s="1"/>
  <c r="J11" i="5"/>
  <c r="M11" i="5" s="1"/>
  <c r="J171" i="5"/>
  <c r="M171" i="5" s="1"/>
  <c r="J382" i="5"/>
  <c r="M382" i="5" s="1"/>
  <c r="J273" i="5"/>
  <c r="M273" i="5" s="1"/>
  <c r="J341" i="5"/>
  <c r="M341" i="5" s="1"/>
  <c r="J162" i="5"/>
  <c r="M162" i="5" s="1"/>
  <c r="J207" i="5"/>
  <c r="M207" i="5" s="1"/>
  <c r="J34" i="5"/>
  <c r="M34" i="5" s="1"/>
  <c r="J27" i="5"/>
  <c r="M27" i="5" s="1"/>
  <c r="J364" i="5"/>
  <c r="M364" i="5" s="1"/>
  <c r="J288" i="5"/>
  <c r="M288" i="5" s="1"/>
  <c r="J50" i="5"/>
  <c r="M50" i="5" s="1"/>
  <c r="J281" i="5"/>
  <c r="M281" i="5" s="1"/>
  <c r="J33" i="5"/>
  <c r="M33" i="5" s="1"/>
  <c r="J212" i="5"/>
  <c r="M212" i="5" s="1"/>
  <c r="J201" i="5"/>
  <c r="M201" i="5" s="1"/>
  <c r="M301" i="5"/>
  <c r="J379" i="5"/>
  <c r="M379" i="5" s="1"/>
  <c r="J247" i="5"/>
  <c r="M247" i="5" s="1"/>
  <c r="J357" i="5"/>
  <c r="M357" i="5" s="1"/>
  <c r="J280" i="5"/>
  <c r="M280" i="5" s="1"/>
  <c r="J360" i="5"/>
  <c r="M360" i="5" s="1"/>
  <c r="J55" i="5"/>
  <c r="M55" i="5" s="1"/>
  <c r="J251" i="5"/>
  <c r="M251" i="5" s="1"/>
  <c r="J43" i="5"/>
  <c r="M43" i="5" s="1"/>
  <c r="J316" i="5"/>
  <c r="M316" i="5" s="1"/>
  <c r="M332" i="5"/>
  <c r="J97" i="5"/>
  <c r="M97" i="5" s="1"/>
  <c r="J93" i="5"/>
  <c r="M93" i="5" s="1"/>
  <c r="J205" i="5"/>
  <c r="M205" i="5" s="1"/>
  <c r="M139" i="5"/>
  <c r="M87" i="5"/>
  <c r="J295" i="5"/>
  <c r="M295" i="5" s="1"/>
  <c r="J28" i="5"/>
  <c r="M28" i="5" s="1"/>
  <c r="J81" i="5"/>
  <c r="J184" i="5"/>
  <c r="M184" i="5" s="1"/>
  <c r="J261" i="5"/>
  <c r="M261" i="5" s="1"/>
  <c r="J149" i="5"/>
  <c r="M302" i="5"/>
  <c r="J142" i="5"/>
  <c r="M142" i="5" s="1"/>
  <c r="J14" i="5"/>
  <c r="L14" i="5" s="1"/>
  <c r="J233" i="5"/>
  <c r="M233" i="5" s="1"/>
  <c r="J194" i="5"/>
  <c r="M194" i="5" s="1"/>
  <c r="J187" i="5"/>
  <c r="M187" i="5" s="1"/>
  <c r="J3" i="5"/>
  <c r="M3" i="5" s="1"/>
  <c r="M371" i="5"/>
  <c r="J113" i="5"/>
  <c r="M113" i="5" s="1"/>
  <c r="J189" i="5"/>
  <c r="M189" i="5" s="1"/>
  <c r="J267" i="5"/>
  <c r="M267" i="5" s="1"/>
  <c r="M304" i="5"/>
  <c r="J350" i="5"/>
  <c r="M350" i="5" s="1"/>
  <c r="J320" i="5"/>
  <c r="M320" i="5" s="1"/>
  <c r="J23" i="5"/>
  <c r="M23" i="5" s="1"/>
  <c r="M373" i="5"/>
  <c r="J362" i="5"/>
  <c r="M362" i="5" s="1"/>
  <c r="J127" i="5"/>
  <c r="M127" i="5" s="1"/>
  <c r="J2" i="5"/>
  <c r="J329" i="5"/>
  <c r="M329" i="5" s="1"/>
  <c r="J282" i="5"/>
  <c r="M282" i="5" s="1"/>
  <c r="J7" i="5"/>
  <c r="M7" i="5" s="1"/>
  <c r="J114" i="5"/>
  <c r="M114" i="5" s="1"/>
  <c r="J321" i="5"/>
  <c r="M321" i="5" s="1"/>
  <c r="J351" i="5"/>
  <c r="M351" i="5" s="1"/>
  <c r="M331" i="5"/>
  <c r="J156" i="5"/>
  <c r="M156" i="5" s="1"/>
  <c r="J197" i="5"/>
  <c r="M197" i="5" s="1"/>
  <c r="J285" i="5"/>
  <c r="M285" i="5" s="1"/>
  <c r="J353" i="5"/>
  <c r="M353" i="5" s="1"/>
  <c r="J385" i="5"/>
  <c r="M385" i="5" s="1"/>
  <c r="J359" i="5"/>
  <c r="M359" i="5" s="1"/>
  <c r="J172" i="5"/>
  <c r="M172" i="5" s="1"/>
  <c r="M199" i="5"/>
  <c r="M24" i="5"/>
  <c r="M356" i="5"/>
  <c r="M130" i="5"/>
  <c r="J5" i="5"/>
  <c r="J120" i="5"/>
  <c r="M120" i="5" s="1"/>
  <c r="J265" i="5"/>
  <c r="M265" i="5" s="1"/>
  <c r="J211" i="5"/>
  <c r="M211" i="5" s="1"/>
  <c r="J95" i="5"/>
  <c r="M95" i="5" s="1"/>
  <c r="J250" i="5"/>
  <c r="M250" i="5" s="1"/>
  <c r="M138" i="5"/>
  <c r="J276" i="5"/>
  <c r="M276" i="5" s="1"/>
  <c r="J161" i="5"/>
  <c r="M161" i="5" s="1"/>
  <c r="J319" i="5"/>
  <c r="M319" i="5" s="1"/>
  <c r="J300" i="5"/>
  <c r="M300" i="5" s="1"/>
  <c r="J198" i="5"/>
  <c r="M198" i="5" s="1"/>
  <c r="J284" i="5"/>
  <c r="M284" i="5" s="1"/>
  <c r="J10" i="5"/>
  <c r="M10" i="5" s="1"/>
  <c r="J365" i="5"/>
  <c r="M365" i="5" s="1"/>
  <c r="J19" i="5"/>
  <c r="M19" i="5" s="1"/>
  <c r="J305" i="5"/>
  <c r="M305" i="5" s="1"/>
  <c r="M62" i="5"/>
  <c r="J25" i="5"/>
  <c r="M25" i="5" s="1"/>
  <c r="J204" i="5"/>
  <c r="M204" i="5" s="1"/>
  <c r="J349" i="5"/>
  <c r="M349" i="5" s="1"/>
  <c r="J244" i="5"/>
  <c r="M244" i="5" s="1"/>
  <c r="J264" i="5"/>
  <c r="M264" i="5" s="1"/>
  <c r="J203" i="5"/>
  <c r="M203" i="5" s="1"/>
  <c r="J57" i="5"/>
  <c r="M57" i="5" s="1"/>
  <c r="J32" i="5"/>
  <c r="M32" i="5" s="1"/>
  <c r="M224" i="5"/>
  <c r="M223" i="5"/>
  <c r="J238" i="5"/>
  <c r="M238" i="5" s="1"/>
  <c r="M90" i="5"/>
  <c r="J298" i="5"/>
  <c r="J277" i="5"/>
  <c r="M277" i="5" s="1"/>
  <c r="J176" i="5"/>
  <c r="M176" i="5" s="1"/>
  <c r="J29" i="5"/>
  <c r="M29" i="5" s="1"/>
  <c r="J115" i="5"/>
  <c r="M115" i="5" s="1"/>
  <c r="J103" i="5"/>
  <c r="M103" i="5" s="1"/>
  <c r="J121" i="5"/>
  <c r="M121" i="5" s="1"/>
  <c r="J170" i="5"/>
  <c r="M170" i="5" s="1"/>
  <c r="J99" i="5"/>
  <c r="M99" i="5" s="1"/>
  <c r="J195" i="5"/>
  <c r="M195" i="5" s="1"/>
  <c r="J41" i="5"/>
  <c r="M41" i="5" s="1"/>
  <c r="J342" i="5"/>
  <c r="M342" i="5" s="1"/>
  <c r="J86" i="5"/>
  <c r="J101" i="5"/>
  <c r="M101" i="5" s="1"/>
  <c r="J317" i="5"/>
  <c r="M317" i="5" s="1"/>
  <c r="J286" i="5"/>
  <c r="M286" i="5" s="1"/>
  <c r="J389" i="5"/>
  <c r="M389" i="5" s="1"/>
  <c r="J137" i="5"/>
  <c r="M137" i="5" s="1"/>
  <c r="M6" i="5"/>
  <c r="J124" i="5"/>
  <c r="M124" i="5" s="1"/>
  <c r="J343" i="5"/>
  <c r="M343" i="5" s="1"/>
  <c r="M262" i="5"/>
  <c r="J318" i="5"/>
  <c r="M318" i="5" s="1"/>
  <c r="J167" i="5"/>
  <c r="M167" i="5" s="1"/>
  <c r="M369" i="5"/>
  <c r="J91" i="5"/>
  <c r="M91" i="5" s="1"/>
  <c r="M196" i="5"/>
  <c r="M192" i="5"/>
  <c r="J339" i="5"/>
  <c r="M339" i="5" s="1"/>
  <c r="J383" i="5"/>
  <c r="M383" i="5" s="1"/>
  <c r="J143" i="5"/>
  <c r="M143" i="5" s="1"/>
  <c r="J112" i="5"/>
  <c r="M112" i="5" s="1"/>
  <c r="M173" i="5"/>
  <c r="J366" i="5"/>
  <c r="M366" i="5" s="1"/>
  <c r="J12" i="5"/>
  <c r="M12" i="5" s="1"/>
  <c r="J13" i="5"/>
  <c r="M13" i="5" s="1"/>
  <c r="J146" i="5"/>
  <c r="M146" i="5" s="1"/>
  <c r="J226" i="5"/>
  <c r="J117" i="5"/>
  <c r="M117" i="5" s="1"/>
  <c r="J347" i="5"/>
  <c r="M347" i="5" s="1"/>
  <c r="J54" i="5"/>
  <c r="M54" i="5" s="1"/>
  <c r="J133" i="5"/>
  <c r="M133" i="5" s="1"/>
  <c r="J326" i="5"/>
  <c r="M326" i="5" s="1"/>
  <c r="J105" i="5"/>
  <c r="M105" i="5" s="1"/>
  <c r="J47" i="5"/>
  <c r="M47" i="5" s="1"/>
  <c r="J15" i="5"/>
  <c r="M15" i="5" s="1"/>
  <c r="J169" i="5"/>
  <c r="M169" i="5" s="1"/>
  <c r="J236" i="5"/>
  <c r="M236" i="5" s="1"/>
  <c r="J134" i="5"/>
  <c r="M134" i="5" s="1"/>
  <c r="J35" i="5"/>
  <c r="M35" i="5" s="1"/>
  <c r="J213" i="5"/>
  <c r="M213" i="5" s="1"/>
  <c r="J92" i="5"/>
  <c r="M92" i="5" s="1"/>
  <c r="M322" i="5"/>
  <c r="J361" i="5"/>
  <c r="M361" i="5" s="1"/>
  <c r="J390" i="5"/>
  <c r="M390" i="5" s="1"/>
  <c r="J165" i="5"/>
  <c r="M165" i="5" s="1"/>
  <c r="M193" i="5"/>
  <c r="J145" i="5"/>
  <c r="M145" i="5" s="1"/>
  <c r="J190" i="5"/>
  <c r="M190" i="5" s="1"/>
  <c r="M303" i="5"/>
  <c r="J344" i="5"/>
  <c r="M344" i="5" s="1"/>
  <c r="J108" i="5"/>
  <c r="M108" i="5" s="1"/>
  <c r="J225" i="5"/>
  <c r="M225" i="5" s="1"/>
  <c r="J314" i="5"/>
  <c r="M314" i="5" s="1"/>
  <c r="J386" i="5"/>
  <c r="M386" i="5" s="1"/>
  <c r="J315" i="5"/>
  <c r="M315" i="5" s="1"/>
  <c r="J51" i="5"/>
  <c r="M51" i="5" s="1"/>
  <c r="M2" i="5" l="1"/>
  <c r="J413" i="5"/>
  <c r="M298" i="5"/>
  <c r="J412" i="5"/>
  <c r="M290" i="5" s="1"/>
  <c r="M86" i="5"/>
  <c r="M412" i="5" l="1"/>
</calcChain>
</file>

<file path=xl/sharedStrings.xml><?xml version="1.0" encoding="utf-8"?>
<sst xmlns="http://schemas.openxmlformats.org/spreadsheetml/2006/main" count="1448" uniqueCount="579">
  <si>
    <t>Calderdale</t>
  </si>
  <si>
    <t>Castle Point</t>
  </si>
  <si>
    <t>Cheshire East</t>
  </si>
  <si>
    <t>Cheshire West and Chester</t>
  </si>
  <si>
    <t>Derbyshire Dales</t>
  </si>
  <si>
    <t>East Cambridgeshire</t>
  </si>
  <si>
    <t>East Devon</t>
  </si>
  <si>
    <t>East Hertfordshire</t>
  </si>
  <si>
    <t>Hambleton</t>
  </si>
  <si>
    <t>North East Derbyshire</t>
  </si>
  <si>
    <t>North West Leicestershire</t>
  </si>
  <si>
    <t>Nuneaton &amp; Bedworth</t>
  </si>
  <si>
    <t>Redcar and Cleveland</t>
  </si>
  <si>
    <t>Richmondshire</t>
  </si>
  <si>
    <t>Selby</t>
  </si>
  <si>
    <t>South Cambridgeshire</t>
  </si>
  <si>
    <t>South Derbyshire</t>
  </si>
  <si>
    <t>South Holland</t>
  </si>
  <si>
    <t>South Kesteven</t>
  </si>
  <si>
    <t>South Norfolk</t>
  </si>
  <si>
    <t>South Northamptonshire</t>
  </si>
  <si>
    <t>South Staffordshire</t>
  </si>
  <si>
    <t>Vale of Glamorgan</t>
  </si>
  <si>
    <t>Wellingborough</t>
  </si>
  <si>
    <t>West Dunbartonshire</t>
  </si>
  <si>
    <t>West Lindsey</t>
  </si>
  <si>
    <t>West Oxfordshire</t>
  </si>
  <si>
    <t>Local authority</t>
  </si>
  <si>
    <t>Derry City and Strabane</t>
  </si>
  <si>
    <t>Barnsley</t>
  </si>
  <si>
    <t>Birmingham</t>
  </si>
  <si>
    <t>Bolton</t>
  </si>
  <si>
    <t>Bradford</t>
  </si>
  <si>
    <t>Bury</t>
  </si>
  <si>
    <t>Coventry</t>
  </si>
  <si>
    <t>Doncaster</t>
  </si>
  <si>
    <t>Dudley</t>
  </si>
  <si>
    <t>Gateshead</t>
  </si>
  <si>
    <t>Kirklees</t>
  </si>
  <si>
    <t>Knowsley</t>
  </si>
  <si>
    <t>Leeds</t>
  </si>
  <si>
    <t>Liverpool</t>
  </si>
  <si>
    <t>Manchester</t>
  </si>
  <si>
    <t>North Tyneside</t>
  </si>
  <si>
    <t>Newcastle Upon Tyne</t>
  </si>
  <si>
    <t>Oldham</t>
  </si>
  <si>
    <t>Rochdale</t>
  </si>
  <si>
    <t>Rotherham</t>
  </si>
  <si>
    <t>South Tyneside</t>
  </si>
  <si>
    <t>Salford</t>
  </si>
  <si>
    <t>Sandwell</t>
  </si>
  <si>
    <t>Sefton</t>
  </si>
  <si>
    <t>Sheffield</t>
  </si>
  <si>
    <t>Solihull</t>
  </si>
  <si>
    <t>St Helens</t>
  </si>
  <si>
    <t>Stockport</t>
  </si>
  <si>
    <t>Sunderland</t>
  </si>
  <si>
    <t>Tameside</t>
  </si>
  <si>
    <t>Trafford</t>
  </si>
  <si>
    <t>Wakefield</t>
  </si>
  <si>
    <t>Walsall</t>
  </si>
  <si>
    <t>Wigan</t>
  </si>
  <si>
    <t>Wirral</t>
  </si>
  <si>
    <t>Wolverhampton</t>
  </si>
  <si>
    <t>Bath and North East Somerset</t>
  </si>
  <si>
    <t>Bedford</t>
  </si>
  <si>
    <t>Blackburn</t>
  </si>
  <si>
    <t>Bournemouth, Christchurch and Poole</t>
  </si>
  <si>
    <t>Bracknell Forest</t>
  </si>
  <si>
    <t>Brighton and Hove</t>
  </si>
  <si>
    <t>Bristol</t>
  </si>
  <si>
    <t>Central Bedfordshire</t>
  </si>
  <si>
    <t>Cornwall</t>
  </si>
  <si>
    <t>Durham</t>
  </si>
  <si>
    <t>Darlington</t>
  </si>
  <si>
    <t>Derby</t>
  </si>
  <si>
    <t>Dorset</t>
  </si>
  <si>
    <t>East Riding of Yorkshire</t>
  </si>
  <si>
    <t>Halton</t>
  </si>
  <si>
    <t>Hartlepool</t>
  </si>
  <si>
    <t>Herefordshire</t>
  </si>
  <si>
    <t>Isle of Wight</t>
  </si>
  <si>
    <t>Hull</t>
  </si>
  <si>
    <t>Leicester</t>
  </si>
  <si>
    <t>Luton</t>
  </si>
  <si>
    <t>Medway</t>
  </si>
  <si>
    <t>Middlesbrough</t>
  </si>
  <si>
    <t>Milton Keynes</t>
  </si>
  <si>
    <t>North East Lincolnshire</t>
  </si>
  <si>
    <t>North Lincolnshire</t>
  </si>
  <si>
    <t>North Somerset</t>
  </si>
  <si>
    <t>Northumberland</t>
  </si>
  <si>
    <t>Nottingham</t>
  </si>
  <si>
    <t>Peterborough</t>
  </si>
  <si>
    <t>Plymouth</t>
  </si>
  <si>
    <t>Portsmouth</t>
  </si>
  <si>
    <t>Reading</t>
  </si>
  <si>
    <t>Rutland</t>
  </si>
  <si>
    <t>Shropshire</t>
  </si>
  <si>
    <t>Slough</t>
  </si>
  <si>
    <t>Southampton</t>
  </si>
  <si>
    <t>Southend-on-Sea</t>
  </si>
  <si>
    <t>South Gloucestershire</t>
  </si>
  <si>
    <t>Stoke-on-Trent</t>
  </si>
  <si>
    <t>Swindon</t>
  </si>
  <si>
    <t>Telford and Wrekin</t>
  </si>
  <si>
    <t>Thurrock</t>
  </si>
  <si>
    <t>Torbay</t>
  </si>
  <si>
    <t>Warrington</t>
  </si>
  <si>
    <t>West Berkshire</t>
  </si>
  <si>
    <t>Wiltshire</t>
  </si>
  <si>
    <t>Windsor and Maidenhead</t>
  </si>
  <si>
    <t>Wokingham</t>
  </si>
  <si>
    <t>York</t>
  </si>
  <si>
    <t>Council type</t>
  </si>
  <si>
    <t>MD</t>
  </si>
  <si>
    <t>LB</t>
  </si>
  <si>
    <t>UA</t>
  </si>
  <si>
    <t>CC</t>
  </si>
  <si>
    <t>Buckinghamshire</t>
  </si>
  <si>
    <t>Cambridgeshire</t>
  </si>
  <si>
    <t>Cumbria</t>
  </si>
  <si>
    <t>Derbyshire</t>
  </si>
  <si>
    <t>Devon</t>
  </si>
  <si>
    <t>East Sussex</t>
  </si>
  <si>
    <t>Essex</t>
  </si>
  <si>
    <t>Gloucestershire</t>
  </si>
  <si>
    <t>Hampshire</t>
  </si>
  <si>
    <t>Hertfordshire</t>
  </si>
  <si>
    <t>Kent</t>
  </si>
  <si>
    <t>Lancashire</t>
  </si>
  <si>
    <t>Leicestershire</t>
  </si>
  <si>
    <t>Lincolnshire</t>
  </si>
  <si>
    <t>Norfolk</t>
  </si>
  <si>
    <t>North Yorkshire</t>
  </si>
  <si>
    <t>Northamptonshire</t>
  </si>
  <si>
    <t>Nottinghamshire</t>
  </si>
  <si>
    <t>Oxfordshire</t>
  </si>
  <si>
    <t>Somerset</t>
  </si>
  <si>
    <t>Staffordshire</t>
  </si>
  <si>
    <t>Suffolk</t>
  </si>
  <si>
    <t>Surrey</t>
  </si>
  <si>
    <t>Warwickshire</t>
  </si>
  <si>
    <t>West Sussex</t>
  </si>
  <si>
    <t>Worcestershire</t>
  </si>
  <si>
    <t>Adur</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</si>
  <si>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</si>
  <si>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</si>
  <si>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</si>
  <si>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</si>
  <si>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</si>
  <si>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</si>
  <si>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</si>
  <si>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</si>
  <si>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</si>
  <si>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</si>
  <si>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</si>
  <si>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</si>
  <si>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</si>
  <si>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</si>
  <si>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</si>
  <si>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</si>
  <si>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</si>
  <si>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</si>
  <si>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</si>
  <si>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</si>
  <si>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</si>
  <si>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</si>
  <si>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</si>
  <si>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</si>
  <si>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</si>
  <si>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Charnwood</t>
  </si>
  <si>
    <t>Chelmsford</t>
  </si>
  <si>
    <t>Cheltenham</t>
  </si>
  <si>
    <t>Cherwell</t>
  </si>
  <si>
    <t>Chesterfield</t>
  </si>
  <si>
    <t>Chichester</t>
  </si>
  <si>
    <t>Chiltern</t>
  </si>
  <si>
    <t>Chorley</t>
  </si>
  <si>
    <t>Colchester</t>
  </si>
  <si>
    <t>Copeland</t>
  </si>
  <si>
    <t>Corby</t>
  </si>
  <si>
    <t>Cotswold</t>
  </si>
  <si>
    <t>Craven</t>
  </si>
  <si>
    <t>Crawley</t>
  </si>
  <si>
    <t>Dacorum</t>
  </si>
  <si>
    <t>Dartford</t>
  </si>
  <si>
    <t>Daventry</t>
  </si>
  <si>
    <t>Dover</t>
  </si>
  <si>
    <t>East Hampshire</t>
  </si>
  <si>
    <t>East Lindsey</t>
  </si>
  <si>
    <t>East Northamptonshire</t>
  </si>
  <si>
    <t>East Staffordshire</t>
  </si>
  <si>
    <t>East Suffolk</t>
  </si>
  <si>
    <t>Eastbourne</t>
  </si>
  <si>
    <t>Eastleigh</t>
  </si>
  <si>
    <t>Eden</t>
  </si>
  <si>
    <t>Elmbridge</t>
  </si>
  <si>
    <t>Epping Forest</t>
  </si>
  <si>
    <t>Epsom &amp; Ewell</t>
  </si>
  <si>
    <t>Erewash</t>
  </si>
  <si>
    <t>Exeter</t>
  </si>
  <si>
    <t>Fareham</t>
  </si>
  <si>
    <t>Fenland</t>
  </si>
  <si>
    <t>Folkestone and Hythe</t>
  </si>
  <si>
    <t>Forest of Dean</t>
  </si>
  <si>
    <t>Fylde</t>
  </si>
  <si>
    <t>Gedling</t>
  </si>
  <si>
    <t>Gosport</t>
  </si>
  <si>
    <t>Gravesham</t>
  </si>
  <si>
    <t>Great Yarmouth</t>
  </si>
  <si>
    <t>Guildford</t>
  </si>
  <si>
    <t>Harborough</t>
  </si>
  <si>
    <t>Harlow</t>
  </si>
  <si>
    <t>Harrogate</t>
  </si>
  <si>
    <t>Hastings</t>
  </si>
  <si>
    <t>Havant</t>
  </si>
  <si>
    <t>Hertsmere</t>
  </si>
  <si>
    <t>High Peak</t>
  </si>
  <si>
    <t>Hinckley and Bosworth</t>
  </si>
  <si>
    <t>Horsham</t>
  </si>
  <si>
    <t>Hyndburn</t>
  </si>
  <si>
    <t>Ipswich</t>
  </si>
  <si>
    <t>Kettering</t>
  </si>
  <si>
    <t>Kings Lynn &amp; West Norfolk</t>
  </si>
  <si>
    <t>Lancaster</t>
  </si>
  <si>
    <t>Lewes</t>
  </si>
  <si>
    <t>Lichfield</t>
  </si>
  <si>
    <t>Maidstone</t>
  </si>
  <si>
    <t>Maldon</t>
  </si>
  <si>
    <t>Malvern Hills</t>
  </si>
  <si>
    <t>Mansfield</t>
  </si>
  <si>
    <t>Melton</t>
  </si>
  <si>
    <t>Mendip</t>
  </si>
  <si>
    <t>Mid Devon</t>
  </si>
  <si>
    <t>Mid Suffolk</t>
  </si>
  <si>
    <t>Mid Sussex</t>
  </si>
  <si>
    <t>Mole Valley</t>
  </si>
  <si>
    <t>North Devon</t>
  </si>
  <si>
    <t>North Hertfordshire</t>
  </si>
  <si>
    <t>North Kesteven</t>
  </si>
  <si>
    <t>North Norfolk</t>
  </si>
  <si>
    <t>North Warwickshire</t>
  </si>
  <si>
    <t>New Forest</t>
  </si>
  <si>
    <t>Newark &amp; Sherwood</t>
  </si>
  <si>
    <t>Newcastle-Under-Lyme</t>
  </si>
  <si>
    <t>Norwich</t>
  </si>
  <si>
    <t>Oadby &amp; Wigston</t>
  </si>
  <si>
    <t>Pendle</t>
  </si>
  <si>
    <t>Preston</t>
  </si>
  <si>
    <t>Redditch</t>
  </si>
  <si>
    <t>Reigate &amp; Banstead</t>
  </si>
  <si>
    <t>Ribble Valley</t>
  </si>
  <si>
    <t>Rochford</t>
  </si>
  <si>
    <t>Rother</t>
  </si>
  <si>
    <t>Rugby</t>
  </si>
  <si>
    <t>Runnymede</t>
  </si>
  <si>
    <t>Rushcliffe</t>
  </si>
  <si>
    <t>Rushmoor</t>
  </si>
  <si>
    <t>Ryedale</t>
  </si>
  <si>
    <t>South Buckinghamshire</t>
  </si>
  <si>
    <t>South Hams</t>
  </si>
  <si>
    <t>South Lakeland</t>
  </si>
  <si>
    <t>South Oxfordshire</t>
  </si>
  <si>
    <t>South Ribble</t>
  </si>
  <si>
    <t>South Somerset</t>
  </si>
  <si>
    <t>Scarborough</t>
  </si>
  <si>
    <t>Sedgemoor</t>
  </si>
  <si>
    <t>Sevenoaks</t>
  </si>
  <si>
    <t>Spelthorne</t>
  </si>
  <si>
    <t>St Albans</t>
  </si>
  <si>
    <t>Stafford</t>
  </si>
  <si>
    <t>Stevenage</t>
  </si>
  <si>
    <t>Stratford on Avon</t>
  </si>
  <si>
    <t>Stroud</t>
  </si>
  <si>
    <t>Surrey Heath</t>
  </si>
  <si>
    <t>Swale</t>
  </si>
  <si>
    <t>Tamworth</t>
  </si>
  <si>
    <t>Tandridge</t>
  </si>
  <si>
    <t>Teignbridge</t>
  </si>
  <si>
    <t>Tendring</t>
  </si>
  <si>
    <t>Test Valley</t>
  </si>
  <si>
    <t>Tewkesbury</t>
  </si>
  <si>
    <t>Thanet</t>
  </si>
  <si>
    <t>Three Rivers</t>
  </si>
  <si>
    <t>Tonbridge &amp; Malling</t>
  </si>
  <si>
    <t>Torridge</t>
  </si>
  <si>
    <t>Tunbridge Wells</t>
  </si>
  <si>
    <t>Uttlesford</t>
  </si>
  <si>
    <t>Vale of White Horse</t>
  </si>
  <si>
    <t>Watford</t>
  </si>
  <si>
    <t>Waverley</t>
  </si>
  <si>
    <t>Wealden</t>
  </si>
  <si>
    <t>Welwyn Hatfield</t>
  </si>
  <si>
    <t>West Devon</t>
  </si>
  <si>
    <t>West Lancashire</t>
  </si>
  <si>
    <t>Winchester</t>
  </si>
  <si>
    <t>Worthing</t>
  </si>
  <si>
    <t>Wychavon</t>
  </si>
  <si>
    <t>Wycombe</t>
  </si>
  <si>
    <t>Wyre</t>
  </si>
  <si>
    <t>Wyre Forest</t>
  </si>
  <si>
    <t>BC</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</si>
  <si>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</si>
  <si>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</si>
  <si>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</si>
  <si>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</si>
  <si>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</si>
  <si>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</si>
  <si>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</si>
  <si>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</si>
  <si>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</si>
  <si>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</si>
  <si>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</si>
  <si>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</si>
  <si>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</si>
  <si>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</si>
  <si>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</si>
  <si>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</si>
  <si>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</si>
  <si>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</si>
  <si>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</si>
  <si>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</si>
  <si>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</si>
  <si>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</si>
  <si>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</si>
  <si>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</si>
  <si>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</si>
  <si>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</si>
  <si>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</si>
  <si>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</si>
  <si>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</si>
  <si>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</si>
  <si>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</si>
  <si>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</si>
  <si>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City of London</t>
  </si>
  <si>
    <t>Isles of Scilly</t>
  </si>
  <si>
    <t>Stockton-on-Tees</t>
  </si>
  <si>
    <t>Blackpool</t>
  </si>
  <si>
    <t>Northern Ireland</t>
  </si>
  <si>
    <t>Ards and North Down</t>
  </si>
  <si>
    <t>Armagh City, Banbridge and Craigavon</t>
  </si>
  <si>
    <t>Belfast</t>
  </si>
  <si>
    <t>Causeway Coast and Glens</t>
  </si>
  <si>
    <t>Fermanagh and Omagh</t>
  </si>
  <si>
    <t>Lisburn and Castlereagh</t>
  </si>
  <si>
    <t>Mid and East Antrim</t>
  </si>
  <si>
    <t>Mid Ulster</t>
  </si>
  <si>
    <t>Newry, Mourne and Down</t>
  </si>
  <si>
    <t>Scotland</t>
  </si>
  <si>
    <t>Aberdeen</t>
  </si>
  <si>
    <t>Aberdeenshire</t>
  </si>
  <si>
    <t>Angus</t>
  </si>
  <si>
    <t>Argyll and Bute</t>
  </si>
  <si>
    <t>Clackmannanshire</t>
  </si>
  <si>
    <t>Dumfries and Galloway</t>
  </si>
  <si>
    <t>East Ayrshire</t>
  </si>
  <si>
    <t>East Dunbartonshire</t>
  </si>
  <si>
    <t>East Lothian</t>
  </si>
  <si>
    <t>East Renfrewshire</t>
  </si>
  <si>
    <t>Falkirk</t>
  </si>
  <si>
    <t>Fife</t>
  </si>
  <si>
    <t>Highland</t>
  </si>
  <si>
    <t>Inverclyde</t>
  </si>
  <si>
    <t>Midlothian</t>
  </si>
  <si>
    <t>Moray</t>
  </si>
  <si>
    <t>North Ayrshire</t>
  </si>
  <si>
    <t>North Lanarkshire</t>
  </si>
  <si>
    <t>Orkney Islands</t>
  </si>
  <si>
    <t>Perth and Kinross</t>
  </si>
  <si>
    <t>Renfrewshire</t>
  </si>
  <si>
    <t>Scottish Borders</t>
  </si>
  <si>
    <t>Shetland Islands</t>
  </si>
  <si>
    <t>South Ayrshire</t>
  </si>
  <si>
    <t>South Lanarkshire</t>
  </si>
  <si>
    <t>Stirling</t>
  </si>
  <si>
    <t>West Lothian</t>
  </si>
  <si>
    <t>Edinburgh</t>
  </si>
  <si>
    <t>Dundee</t>
  </si>
  <si>
    <t>Glasgow</t>
  </si>
  <si>
    <t>Na h-Eileanan Siar (Western Isles)</t>
  </si>
  <si>
    <t>Wales</t>
  </si>
  <si>
    <t>Blaenau Gwent</t>
  </si>
  <si>
    <t>Bridgend</t>
  </si>
  <si>
    <t>Caerphilly</t>
  </si>
  <si>
    <t>Carmarthenshire</t>
  </si>
  <si>
    <t>Ceredigion</t>
  </si>
  <si>
    <t>Swansea</t>
  </si>
  <si>
    <t>Cardiff</t>
  </si>
  <si>
    <t>Conwy</t>
  </si>
  <si>
    <t>Denbighshire</t>
  </si>
  <si>
    <t>Flintshire</t>
  </si>
  <si>
    <t>Gwynedd</t>
  </si>
  <si>
    <t>Isle of Anglesey</t>
  </si>
  <si>
    <t>Merthyr Tydfil</t>
  </si>
  <si>
    <t>Monmouthshire</t>
  </si>
  <si>
    <t>Neath Port Talbot</t>
  </si>
  <si>
    <t>Newport</t>
  </si>
  <si>
    <t>Pembrokeshire</t>
  </si>
  <si>
    <t>Powys</t>
  </si>
  <si>
    <t>Rhonda Cynon Taf</t>
  </si>
  <si>
    <t>Torfaen</t>
  </si>
  <si>
    <t>Wrexham</t>
  </si>
  <si>
    <t>Region</t>
  </si>
  <si>
    <t>South East</t>
  </si>
  <si>
    <t>North West</t>
  </si>
  <si>
    <t xml:space="preserve"> East Midlands</t>
  </si>
  <si>
    <t>East Midlands</t>
  </si>
  <si>
    <t>East of England</t>
  </si>
  <si>
    <t>London</t>
  </si>
  <si>
    <t>Yorkshire and the Humber</t>
  </si>
  <si>
    <t>Basingstoke &amp; Deane</t>
  </si>
  <si>
    <t>South West</t>
  </si>
  <si>
    <t>West Midlands</t>
  </si>
  <si>
    <t>North East</t>
  </si>
  <si>
    <t>Gloucester</t>
  </si>
  <si>
    <t>Hart</t>
  </si>
  <si>
    <t>Northampton</t>
  </si>
  <si>
    <t>Oxford</t>
  </si>
  <si>
    <t xml:space="preserve">South West </t>
  </si>
  <si>
    <t>Staffordshire Moorlands</t>
  </si>
  <si>
    <t>Warwick</t>
  </si>
  <si>
    <t>West Suffolk</t>
  </si>
  <si>
    <t>Woking</t>
  </si>
  <si>
    <t>Worcester</t>
  </si>
  <si>
    <t>Totals</t>
  </si>
  <si>
    <t>Total number of settlements</t>
  </si>
  <si>
    <t>Highest settlements amount</t>
  </si>
  <si>
    <t>Average settlement amount</t>
  </si>
  <si>
    <t>2016-17 settlements (£)</t>
  </si>
  <si>
    <t>2016-17 number of settlements</t>
  </si>
  <si>
    <t>2017-18 number of settlements</t>
  </si>
  <si>
    <t>2017-18 settlements (£)</t>
  </si>
  <si>
    <t>2018-19 number of settlements</t>
  </si>
  <si>
    <t>2018-19 settlements (£)</t>
  </si>
  <si>
    <t>Notes</t>
  </si>
  <si>
    <t>&lt;10 settlements over the 3 years at total cost of £57,500; refused to provide any further breakdown on data protection grounds</t>
  </si>
  <si>
    <t>No data provided for 2018/19 as "not yet finalised"</t>
  </si>
  <si>
    <t>Refused to provide financial information on data protection grounds</t>
  </si>
  <si>
    <t>17/18 and 18/19 data witheld on data protection grounds; also provided overall figure for 3 years: 129654.69</t>
  </si>
  <si>
    <t>Data of single figure for 18/19 witheld on data protection grounds</t>
  </si>
  <si>
    <t>Cambridge City, South Cambridgeshire &amp; Huntingdonshire done as one</t>
  </si>
  <si>
    <t>East Hampshire &amp; Havant done as one</t>
  </si>
  <si>
    <t>No data yet for 2018/19</t>
  </si>
  <si>
    <t>Financial info witheld on data protection grounds</t>
  </si>
  <si>
    <t>Refused on time/cost grounds</t>
  </si>
  <si>
    <t>Refused to break down on data protection grounds</t>
  </si>
  <si>
    <t>Refused to provide more detail on data protection grounds</t>
  </si>
  <si>
    <t>No data for 2018/19; refused to provide financial info on data protection grounds</t>
  </si>
  <si>
    <t>refused on data protection grounds</t>
  </si>
  <si>
    <t>06/08/19 - Claimed don't hold information</t>
  </si>
  <si>
    <t>Refused to provide financial information on data protection grounds (&lt;5 for 17/18 and 18/19)</t>
  </si>
  <si>
    <t>refused to disclose 18/19 financial info on data protection grounds</t>
  </si>
  <si>
    <t>refused to disclose 16/17 financial info on data protection grounds</t>
  </si>
  <si>
    <t>refused to provide financial information on data protection grounds</t>
  </si>
  <si>
    <t>refused to disclose more detail on data protection grounds</t>
  </si>
  <si>
    <t>17/18 financial info witheld on data protection grounds</t>
  </si>
  <si>
    <t>16/17 data "not held"</t>
  </si>
  <si>
    <t>Ashfield and Mansfield done as one</t>
  </si>
  <si>
    <t>refused to provide financial info on time/cost grounds</t>
  </si>
  <si>
    <t>refused to disclose financial info on data protection grounds</t>
  </si>
  <si>
    <t>No data for 2018/19 available yet - chaser sent to that effect 06/08/19</t>
  </si>
  <si>
    <t>data not held</t>
  </si>
  <si>
    <t>clarification sent 07/08/19</t>
  </si>
  <si>
    <t>Claim they don't hold the financial information</t>
  </si>
  <si>
    <t>Richmond and Wandsworth done as one (shared staffing arrangements)</t>
  </si>
  <si>
    <t>refused to provide financial info on data protection grounds</t>
  </si>
  <si>
    <t>Did not provide more detail, chaser sent 07/08/19</t>
  </si>
  <si>
    <t>Referred to online accounts but relevant info doesn't seem to be present? Chaser sent 07/08/19</t>
  </si>
  <si>
    <t>Lincoln</t>
  </si>
  <si>
    <t>Online contact form ref No: CONCS135760121</t>
  </si>
  <si>
    <t>Somerset West and Taunton</t>
  </si>
  <si>
    <t>Done as one with Worcestershire (specified on website)  (Foi email doesn't work); Online form complaint reference: Hnp-4777405</t>
  </si>
  <si>
    <t>No financial data for 2016/17 as no earlier statements available online; chaser sent 07/08/19</t>
  </si>
  <si>
    <t>2018/19 accounts not published yet</t>
  </si>
  <si>
    <t>refused to provide number for 18/19 on data protection grounds</t>
  </si>
  <si>
    <t>Provided only financial info for 3 years as a whole: £111,505.18 - chaser sent 07/08/19</t>
  </si>
  <si>
    <t>1st stage appeal upheld original refusal - can escalate complaint to next stage? (data protection grounds)</t>
  </si>
  <si>
    <t>Refused to disclose numbers of settlements on data protection grounds</t>
  </si>
  <si>
    <t>Refused to give year-by-year breakdown (data protection grounds)</t>
  </si>
  <si>
    <t>Individual settlement for 2018/19 figure witheld (data protection grounds)</t>
  </si>
  <si>
    <t>refused to provide number of cases on data protection grounds (&lt;5 for each year)</t>
  </si>
  <si>
    <t>Figures are totals between 2014-17, chaser sent 07/08/19</t>
  </si>
  <si>
    <t>Rossendale</t>
  </si>
  <si>
    <t>refused on time/cost grounds</t>
  </si>
  <si>
    <t>Refused on time/cost grounds - replied to chaser, saying even 18/19 data would exceed FOIA cost limits</t>
  </si>
  <si>
    <t>Antrim and Newtownabbey</t>
  </si>
  <si>
    <t>Miscellaneous - see notes</t>
  </si>
  <si>
    <t>Time/cost issues - chaser sent</t>
  </si>
  <si>
    <t>(Hidden row = case closed)</t>
  </si>
  <si>
    <t>Ongoing cases, colour key:</t>
  </si>
  <si>
    <t>Total figure is for 2013/14 - 2018/19 (not broken down by year) - chaser sent</t>
  </si>
  <si>
    <t>Only gave total figure for 3 years of between 10-15k and said total &lt;5. Refused to give more info on data protection grounds</t>
  </si>
  <si>
    <t>Refused to provide financial information on data protection grounds (only 1 case) - review requested 08/08/19</t>
  </si>
  <si>
    <t>Can ask for more data in new request from 18 September</t>
  </si>
  <si>
    <t>Combined with South Northamptonshire</t>
  </si>
  <si>
    <t>Key</t>
  </si>
  <si>
    <t>Refused on data protection grounds, twice; review request received 12/8, response expected in 20 working days</t>
  </si>
  <si>
    <t>refused on data protection grounds to provide 16/17 and 17/18 (small numbers of cases); revised request received 8/8, response expected in 20 working days</t>
  </si>
  <si>
    <t>Claimed request not received until I sent it on 6/8; holding note sent 13/8</t>
  </si>
  <si>
    <t>Refused to disclose numbers of settlements on data protection grounds; follow-up request (for total no. of settlements) received 12/8, response expected by 20/9</t>
  </si>
  <si>
    <t>https://complaint.resolver.co.uk/#/case-file/4221868/email/13405520</t>
  </si>
  <si>
    <t>Request for review acknowledged 20/8; response expected in 20 working days</t>
  </si>
  <si>
    <t>Refused on time/cost grounds AND data protection grounds (chaser addressed both points); revised request acknowledged 20/8, response promised by 16/9</t>
  </si>
  <si>
    <t>Refused on time/cost grounds (twice)</t>
  </si>
  <si>
    <t>Refused to provide financial information on data protection grounds; response to revised request expected by 16/9</t>
  </si>
  <si>
    <t>Don’t know the excaxt stettlement figure as they have only given a total figure for the 3 year period</t>
  </si>
  <si>
    <t>estimate due to only having totals</t>
  </si>
  <si>
    <t>£80.139.85</t>
  </si>
  <si>
    <t xml:space="preserve"> Refused in response</t>
  </si>
  <si>
    <t>one of the agreements in both yars was double counted.</t>
  </si>
  <si>
    <t>No settlement agreements</t>
  </si>
  <si>
    <t>Full reponse now given</t>
  </si>
  <si>
    <t>Been resolved</t>
  </si>
  <si>
    <t>Not given</t>
  </si>
  <si>
    <t xml:space="preserve">Refused on time/cost grounds. Could only provide data for 2018-2019. </t>
  </si>
  <si>
    <t>Refused on time/cost grounds. Figures provided after review</t>
  </si>
  <si>
    <t>clarification sent 06/08/19; 2 refusals, review requested 22/8; review response expected by 23/9. After review council refuse the request.</t>
  </si>
  <si>
    <t>Not held</t>
  </si>
  <si>
    <t xml:space="preserve">Data protection issues - chaser sent . </t>
  </si>
  <si>
    <t>April 2019 to date there have been 6 settlement agreements with a total value of £63,835.53</t>
  </si>
  <si>
    <t>Organised by calendar year            (1 Jan-31 Dec) ; 1 NDA excluded where compensation was given in pension benefits and cannot be quantified. 2019 to date figures are 5 settlement agreements costing £71,862</t>
  </si>
  <si>
    <t>Christchurch falls under Dorset County Council. Figures for Poole in 2018/2019 were not avaialble</t>
  </si>
  <si>
    <t>Refused to break down on data protection grounds. Gave number of settlement agreements for 2016-2018: 6 and 2018-2019: 3</t>
  </si>
  <si>
    <t>Cannot disaggregate the cost of settlement agreements from the number of compulsory redundancies in statement of accounts.</t>
  </si>
  <si>
    <t>Refused to provide financial information on data protection grounds (&lt;5 overall). Cannot disaggregate the cost of settlement agreements from the number of compulsory redundancies in statement of accounts.</t>
  </si>
  <si>
    <t>Figures for 2019 to date is 31 completed agreements costing £358,514.47</t>
  </si>
  <si>
    <t>Number of agreements in 2019 to date is 14 with a total cost of £140,258</t>
  </si>
  <si>
    <t>In 2019 to date there have been 4 settlement agreements. Cannot disaggregate the cost of settlement agreements for non school based staff from school based staff</t>
  </si>
  <si>
    <t>There have been 5 settlement agreements from 2019 to date costing £90,246.93</t>
  </si>
  <si>
    <t>Huntingdonshire</t>
  </si>
  <si>
    <t>Claimed info sent on 22/7; chaser sent 19/8. From 2019 to date there have been 5 settlements totalling £51,575.55</t>
  </si>
  <si>
    <t>refused to provide financial info on data protection grounds; then refused on bizarre commerical interests grounds (23/8) - email forwarded to Jeremy for complaint. 5 settlement agreements to date in 2019</t>
  </si>
  <si>
    <t>There has been 1 settlement to date in 2019 costing £18,000</t>
  </si>
  <si>
    <t>For 2017-2018 and 2018-2019, cannot disaggregate cost of settlement agreements from cost of compulsory redundancies</t>
  </si>
  <si>
    <t>Unable to disaggregate total cost of settlement agreements from schools settlement agreements</t>
  </si>
  <si>
    <t>3 settlement agreements from 2019 to date costing £22,000</t>
  </si>
  <si>
    <t>Of the three settlement agreements between 2014-2017 the total cost was £54,519.71</t>
  </si>
  <si>
    <t>4 settlement agreements to date in 2019 with a total cost of £75,340</t>
  </si>
  <si>
    <t>For 2016-2017 and 2017-2018 the total cost of settlement agreements cannot be disaggregated from the cost of compulsory redundancies</t>
  </si>
  <si>
    <t>Financial info witheld on data protection grounds. Total costs for 2017-2018 and 2018-2019 cannot be disaggregated from the cost of compulsory redundancies</t>
  </si>
  <si>
    <t>Average</t>
  </si>
  <si>
    <t>Refused under time costs</t>
  </si>
  <si>
    <t>Total settlements (£)</t>
  </si>
  <si>
    <t>`</t>
  </si>
  <si>
    <t>Refused under section 12</t>
  </si>
  <si>
    <t>Council does not hold information relating to financial compensation</t>
  </si>
  <si>
    <t>Borough of Richmond upon Thames and Wandsworth council entered into a shared staffing arrangement on 1 October 2016. Response is with Richmond</t>
  </si>
  <si>
    <t>Online contact form ref No: SWT135763861 Figures include those of Wandsworth as they have shared staffing agreement with Richmond</t>
  </si>
  <si>
    <t>Section 12 restrictions apply</t>
  </si>
  <si>
    <t>Responded by providing link to annual accounts however these do not mention settlement agreements</t>
  </si>
  <si>
    <t xml:space="preserve">Figures include those for Worthing </t>
  </si>
  <si>
    <t xml:space="preserve">Refused under section 40(2)  </t>
  </si>
  <si>
    <t>Section 17 restrictions apply</t>
  </si>
  <si>
    <t>Section 40(2) applied</t>
  </si>
  <si>
    <t>Refused to provide costs under section 40(2)</t>
  </si>
  <si>
    <t>Refused to break down on data protection grounds under section 40(3)</t>
  </si>
  <si>
    <t>Provided total number of leavers but not the number of settlement agreements.</t>
  </si>
  <si>
    <t xml:space="preserve"> number of settlements in 18/19</t>
  </si>
  <si>
    <t xml:space="preserve"> value of settlements (£) in 18/19</t>
  </si>
  <si>
    <t>Only one agreement involved a payment</t>
  </si>
  <si>
    <t>Figures include the amount paid for compulsory redundancies</t>
  </si>
  <si>
    <t>average number of settlements in 18/19</t>
  </si>
  <si>
    <t>average value of settlements in 18/19 (£)</t>
  </si>
  <si>
    <t>In 17-18 and 18-19 response said less than 5 settlement agreements were made. As such we have assumed 3 were agreed</t>
  </si>
  <si>
    <t>Combined info for 16-17 and 17-18 as 5 agreements at a total cost of £212,411.83</t>
  </si>
  <si>
    <t>16/17 data "not held". From 2019 to date there has been 1 settlement agreement costing £25,000. For two years there has been an assumption for number of agreements as "less than 5" was provided in the response</t>
  </si>
  <si>
    <t>Response suggested there had been "less than 5" agreements in this instance it has been assumed that there have been 3</t>
  </si>
  <si>
    <t>Data excluded for 17-18</t>
  </si>
  <si>
    <t>No payment number for 18-19 as it has been excluded under section 40(2)</t>
  </si>
  <si>
    <t>Includes the calendar years 2016, 2017 and 2018</t>
  </si>
  <si>
    <t>Refused to provide financial information on data protection grounds (&lt;5 for 16/17, 17/18 and 18/19)</t>
  </si>
  <si>
    <t>Calendar year figures (2016, 2017 and 2018)</t>
  </si>
  <si>
    <t>Data for 18-19 not yet available. Response also includes schools</t>
  </si>
  <si>
    <t>Listed under "Number of other departures agreed", as directed to in the FOI response</t>
  </si>
  <si>
    <t>Cannot disaggregate the cost of settlement agreements from the number of compulsory redundancies and other exit packages in statement of accounts.</t>
  </si>
  <si>
    <t>Figures provided were not broken down apart from in 2018 and 2019 where voluntary redudancy costs were provided as shown in the spreadsheet. Figures were given in calendar not financial years.</t>
  </si>
  <si>
    <t>Authority cannot identify whether all payments were ‘settlement arrangements’ as they do not hold the information that identifies these payments in that way.  The figures will also include payments to employees that have resigned through voluntary resignation schemes that were introduced with the view to reducing compulsory redundancy situations and were not used to settle any specific potential claim.</t>
  </si>
  <si>
    <t>Council did not disaggregate the costs for settlement agreements from other forms of exit packages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</si>
</sst>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quot;£&quot;#,##0.00"/>
  </numFmts>
  <fonts count="9" x14ac:knownFonts="1">
    <font>
      <sz val="11"/>
      <color theme="1"/>
      <name val="Calibri"/>
      <family val="2"/>
      <scheme val="minor"/>
    </font>
    <font>
      <sz val="11"/>
      <color theme="0"/>
      <name val="Branding Semilight"/>
      <family val="3"/>
    </font>
    <font>
      <b/>
      <sz val="11"/>
      <color theme="0"/>
      <name val="Branding Semibold"/>
      <family val="3"/>
    </font>
    <font>
      <sz val="11"/>
      <color theme="0"/>
      <name val="Branding Semibold"/>
      <family val="3"/>
    </font>
    <font>
      <sz val="11"/>
      <color theme="1"/>
      <name val="Branding Semilight"/>
      <family val="3"/>
    </font>
    <font>
      <sz val="11"/>
      <color theme="1"/>
      <name val="Branding semilight"/>
    </font>
    <font>
      <sz val="11"/>
      <color theme="0"/>
      <name val="Branding semibold"/>
    </font>
    <font>
      <sz val="11"/>
      <color theme="1"/>
      <name val="Branding Semibold"/>
      <family val="3"/>
    </font>
    <font>
      <sz val="11"/>
      <name val="Branding Semilight"/>
      <family val="3"/>
    </font>
  </fonts>
  <fills count="6">
    <fill>
      <patternFill patternType="none"/>
    </fill>
    <fill>
      <patternFill patternType="gray125"/>
    </fill>
    <fill>
      <patternFill patternType="solid">
        <fgColor rgb="FF005D2D"/>
        <bgColor indexed="64"/>
      </patternFill>
    </fill>
    <fill>
      <patternFill patternType="solid">
        <fgColor rgb="FFFF0000"/>
        <bgColor indexed="64"/>
      </patternFill>
    </fill>
    <fill>
      <patternFill patternType="solid">
        <fgColor rgb="FF0070C0"/>
        <bgColor indexed="64"/>
      </patternFill>
    </fill>
    <fill>
      <patternFill patternType="solid">
        <fgColor theme="2" tint="-0.749992370372631"/>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s>
  <cellStyleXfs count="1">
    <xf numFmtId="0" fontId="0" fillId="0" borderId="0"/>
  </cellStyleXfs>
  <cellXfs count="53">
    <xf numFmtId="0" fontId="0" fillId="0" borderId="0" xfId="0"/>
    <xf numFmtId="0" fontId="0" fillId="0" borderId="0" xfId="0"/>
    <xf numFmtId="0" fontId="4" fillId="0" borderId="0" xfId="0" applyFont="1"/>
    <xf numFmtId="0" fontId="3" fillId="2" borderId="1" xfId="0" applyFont="1" applyFill="1" applyBorder="1"/>
    <xf numFmtId="0" fontId="0" fillId="0" borderId="1" xfId="0" applyBorder="1"/>
    <xf numFmtId="8" fontId="0" fillId="0" borderId="0" xfId="0" applyNumberFormat="1"/>
    <xf numFmtId="0" fontId="0" fillId="0" borderId="0" xfId="0" applyFill="1"/>
    <xf numFmtId="0" fontId="0" fillId="5" borderId="0" xfId="0" applyFill="1"/>
    <xf numFmtId="0" fontId="5" fillId="0" borderId="0" xfId="0" applyFont="1"/>
    <xf numFmtId="0" fontId="6" fillId="2" borderId="0" xfId="0" applyFont="1" applyFill="1"/>
    <xf numFmtId="0" fontId="1" fillId="2" borderId="0" xfId="0" applyFont="1" applyFill="1"/>
    <xf numFmtId="164" fontId="5" fillId="0" borderId="0" xfId="0" applyNumberFormat="1" applyFont="1"/>
    <xf numFmtId="0" fontId="3" fillId="2" borderId="0" xfId="0" applyFont="1" applyFill="1" applyBorder="1"/>
    <xf numFmtId="0" fontId="2" fillId="2" borderId="1" xfId="0" applyFont="1" applyFill="1" applyBorder="1" applyAlignment="1">
      <alignment horizontal="left"/>
    </xf>
    <xf numFmtId="0" fontId="3" fillId="2" borderId="1" xfId="0" applyFont="1" applyFill="1" applyBorder="1" applyAlignment="1">
      <alignment horizontal="left"/>
    </xf>
    <xf numFmtId="0" fontId="3" fillId="2" borderId="3" xfId="0" applyFont="1" applyFill="1" applyBorder="1" applyAlignment="1">
      <alignment horizontal="left"/>
    </xf>
    <xf numFmtId="0" fontId="4" fillId="0" borderId="0" xfId="0" applyFont="1" applyAlignment="1">
      <alignment horizontal="left"/>
    </xf>
    <xf numFmtId="0" fontId="0" fillId="0" borderId="0" xfId="0" applyAlignment="1">
      <alignment horizontal="left"/>
    </xf>
    <xf numFmtId="0" fontId="1" fillId="2" borderId="1" xfId="0" applyFont="1" applyFill="1" applyBorder="1" applyAlignment="1">
      <alignment horizontal="left"/>
    </xf>
    <xf numFmtId="4" fontId="0" fillId="0" borderId="0" xfId="0" applyNumberFormat="1" applyAlignment="1">
      <alignment horizontal="left"/>
    </xf>
    <xf numFmtId="0" fontId="6" fillId="2" borderId="0" xfId="0" applyFont="1" applyFill="1" applyAlignment="1">
      <alignment horizontal="left"/>
    </xf>
    <xf numFmtId="4" fontId="5" fillId="0" borderId="0" xfId="0" applyNumberFormat="1" applyFont="1" applyAlignment="1">
      <alignment horizontal="left"/>
    </xf>
    <xf numFmtId="164" fontId="5" fillId="0" borderId="0" xfId="0" applyNumberFormat="1" applyFont="1" applyAlignment="1">
      <alignment horizontal="left"/>
    </xf>
    <xf numFmtId="0" fontId="4" fillId="0" borderId="0" xfId="0" applyFont="1"/>
    <xf numFmtId="0" fontId="1" fillId="2" borderId="2" xfId="0" applyFont="1" applyFill="1" applyBorder="1" applyAlignment="1">
      <alignment horizontal="left"/>
    </xf>
    <xf numFmtId="0" fontId="4" fillId="0" borderId="0" xfId="0" applyFont="1" applyAlignment="1">
      <alignment horizontal="left"/>
    </xf>
    <xf numFmtId="164" fontId="4" fillId="0" borderId="0" xfId="0" applyNumberFormat="1" applyFont="1" applyAlignment="1">
      <alignment horizontal="left"/>
    </xf>
    <xf numFmtId="0" fontId="1" fillId="2" borderId="1" xfId="0" applyFont="1" applyFill="1" applyBorder="1" applyAlignment="1">
      <alignment horizontal="left"/>
    </xf>
    <xf numFmtId="0" fontId="4" fillId="0" borderId="0" xfId="0" applyFont="1" applyFill="1" applyAlignment="1">
      <alignment horizontal="left"/>
    </xf>
    <xf numFmtId="164" fontId="4" fillId="0" borderId="0" xfId="0" applyNumberFormat="1" applyFont="1" applyFill="1" applyAlignment="1">
      <alignment horizontal="left"/>
    </xf>
    <xf numFmtId="0" fontId="1" fillId="3" borderId="1" xfId="0" applyFont="1" applyFill="1" applyBorder="1" applyAlignment="1">
      <alignment horizontal="left"/>
    </xf>
    <xf numFmtId="0" fontId="1" fillId="2" borderId="0" xfId="0" applyFont="1" applyFill="1" applyBorder="1" applyAlignment="1">
      <alignment horizontal="left"/>
    </xf>
    <xf numFmtId="4" fontId="4" fillId="0" borderId="0" xfId="0" applyNumberFormat="1" applyFont="1" applyAlignment="1">
      <alignment horizontal="left"/>
    </xf>
    <xf numFmtId="0" fontId="3" fillId="2" borderId="0" xfId="0" applyFont="1" applyFill="1" applyAlignment="1">
      <alignment horizontal="left"/>
    </xf>
    <xf numFmtId="0" fontId="3" fillId="2" borderId="1" xfId="0" applyFont="1" applyFill="1" applyBorder="1" applyAlignment="1">
      <alignment horizontal="right"/>
    </xf>
    <xf numFmtId="164" fontId="3" fillId="2" borderId="1" xfId="0" applyNumberFormat="1" applyFont="1" applyFill="1" applyBorder="1" applyAlignment="1">
      <alignment horizontal="right"/>
    </xf>
    <xf numFmtId="0" fontId="3" fillId="2" borderId="1" xfId="0" applyFont="1" applyFill="1" applyBorder="1" applyAlignment="1">
      <alignment horizontal="right" wrapText="1"/>
    </xf>
    <xf numFmtId="0" fontId="4" fillId="0" borderId="0" xfId="0" applyFont="1" applyAlignment="1"/>
    <xf numFmtId="0" fontId="4" fillId="0" borderId="0" xfId="0" applyFont="1" applyFill="1" applyAlignment="1"/>
    <xf numFmtId="0" fontId="7" fillId="0" borderId="0" xfId="0" applyNumberFormat="1" applyFont="1" applyAlignment="1"/>
    <xf numFmtId="4" fontId="7" fillId="0" borderId="0" xfId="0" applyNumberFormat="1" applyFont="1" applyAlignment="1"/>
    <xf numFmtId="164" fontId="4" fillId="0" borderId="0" xfId="0" applyNumberFormat="1" applyFont="1" applyAlignment="1"/>
    <xf numFmtId="164" fontId="4" fillId="0" borderId="0" xfId="0" applyNumberFormat="1" applyFont="1" applyFill="1" applyAlignment="1"/>
    <xf numFmtId="164" fontId="7" fillId="0" borderId="0" xfId="0" applyNumberFormat="1" applyFont="1" applyAlignment="1"/>
    <xf numFmtId="3" fontId="4" fillId="0" borderId="0" xfId="0" applyNumberFormat="1" applyFont="1" applyAlignment="1"/>
    <xf numFmtId="164" fontId="7" fillId="0" borderId="0" xfId="0" applyNumberFormat="1" applyFont="1" applyFill="1" applyAlignment="1"/>
    <xf numFmtId="0" fontId="7" fillId="0" borderId="0" xfId="0" applyFont="1" applyAlignment="1"/>
    <xf numFmtId="0" fontId="1" fillId="2" borderId="0" xfId="0" applyFont="1" applyFill="1" applyAlignment="1">
      <alignment horizontal="left"/>
    </xf>
    <xf numFmtId="0" fontId="1" fillId="0" borderId="0" xfId="0" applyFont="1" applyAlignment="1">
      <alignment horizontal="left"/>
    </xf>
    <xf numFmtId="0" fontId="1" fillId="0" borderId="0" xfId="0" applyFont="1" applyFill="1" applyAlignment="1">
      <alignment horizontal="left"/>
    </xf>
    <xf numFmtId="0" fontId="1" fillId="4" borderId="0" xfId="0" applyFont="1" applyFill="1" applyAlignment="1">
      <alignment horizontal="left"/>
    </xf>
    <xf numFmtId="0" fontId="8" fillId="0" borderId="0" xfId="0" applyFont="1" applyAlignment="1">
      <alignment horizontal="left"/>
    </xf>
    <xf numFmtId="0" fontId="4" fillId="0" borderId="0" xfId="0" applyFont="1" applyAlignment="1">
      <alignment wrapText="1"/>
    </xf>
  </cellXfs>
  <cellStyles count="1">
    <cellStyle name="Normal" xfId="0" builtinId="0"/>
  </cellStyles>
  <dxfs count="0"/>
  <tableStyles count="0" defaultTableStyle="TableStyleMedium2" defaultPivotStyle="PivotStyleLight16"/>
  <colors>
    <mruColors>
      <color rgb="FF005D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8"/>
  <sheetViews>
    <sheetView tabSelected="1" zoomScale="90" zoomScaleNormal="90" workbookViewId="0">
      <pane xSplit="1" ySplit="1" topLeftCell="B2" activePane="bottomRight" state="frozen"/>
      <selection pane="topRight" activeCell="B1" sqref="B1"/>
      <selection pane="bottomLeft" activeCell="A2" sqref="A2"/>
      <selection pane="bottomRight" activeCell="D6" sqref="D6"/>
    </sheetView>
  </sheetViews>
  <sheetFormatPr defaultRowHeight="15" x14ac:dyDescent="0.25"/>
  <cols>
    <col min="1" max="1" width="38.7109375" style="1" customWidth="1"/>
    <col min="2" max="2" width="32.85546875" style="2" bestFit="1" customWidth="1"/>
    <col min="3" max="3" width="19.140625" style="2" bestFit="1" customWidth="1"/>
    <col min="4" max="4" width="41.85546875" style="37" bestFit="1" customWidth="1"/>
    <col min="5" max="5" width="33.85546875" style="41" bestFit="1" customWidth="1"/>
    <col min="6" max="6" width="41.85546875" style="37" bestFit="1" customWidth="1"/>
    <col min="7" max="7" width="33.85546875" style="41" bestFit="1" customWidth="1"/>
    <col min="8" max="8" width="41.28515625" style="37" customWidth="1"/>
    <col min="9" max="9" width="30.5703125" style="41" customWidth="1"/>
    <col min="10" max="10" width="29.7109375" style="37" customWidth="1"/>
    <col min="11" max="11" width="31.140625" style="41" bestFit="1" customWidth="1"/>
    <col min="12" max="12" width="38.5703125" style="41" customWidth="1"/>
    <col min="13" max="13" width="32.85546875" style="37" customWidth="1"/>
    <col min="14" max="14" width="41.7109375" style="52" customWidth="1"/>
    <col min="15" max="15" width="34.42578125" style="23" customWidth="1"/>
    <col min="16" max="18" width="9.140625" style="1"/>
    <col min="19" max="19" width="14.28515625" style="1" customWidth="1"/>
    <col min="20" max="20" width="9.140625" style="1"/>
    <col min="21" max="21" width="13.85546875" style="1" customWidth="1"/>
    <col min="22" max="22" width="9.140625" style="1"/>
    <col min="23" max="23" width="12.85546875" style="1" customWidth="1"/>
    <col min="24" max="16384" width="9.140625" style="1"/>
  </cols>
  <sheetData>
    <row r="1" spans="1:15" x14ac:dyDescent="0.25">
      <c r="A1" s="13" t="s">
        <v>27</v>
      </c>
      <c r="B1" s="14" t="s">
        <v>403</v>
      </c>
      <c r="C1" s="14" t="s">
        <v>114</v>
      </c>
      <c r="D1" s="34" t="s">
        <v>430</v>
      </c>
      <c r="E1" s="35" t="s">
        <v>429</v>
      </c>
      <c r="F1" s="34" t="s">
        <v>431</v>
      </c>
      <c r="G1" s="35" t="s">
        <v>432</v>
      </c>
      <c r="H1" s="34" t="s">
        <v>433</v>
      </c>
      <c r="I1" s="35" t="s">
        <v>434</v>
      </c>
      <c r="J1" s="36" t="s">
        <v>426</v>
      </c>
      <c r="K1" s="35" t="s">
        <v>543</v>
      </c>
      <c r="L1" s="35" t="s">
        <v>427</v>
      </c>
      <c r="M1" s="34" t="s">
        <v>428</v>
      </c>
      <c r="N1" s="15" t="s">
        <v>435</v>
      </c>
      <c r="O1" s="33" t="s">
        <v>496</v>
      </c>
    </row>
    <row r="2" spans="1:15" x14ac:dyDescent="0.25">
      <c r="A2" s="24" t="s">
        <v>281</v>
      </c>
      <c r="B2" s="16" t="s">
        <v>404</v>
      </c>
      <c r="C2" s="16" t="s">
        <v>302</v>
      </c>
      <c r="D2" s="37">
        <v>0</v>
      </c>
      <c r="E2" s="41">
        <v>0</v>
      </c>
      <c r="F2" s="37">
        <v>6</v>
      </c>
      <c r="H2" s="37">
        <v>1</v>
      </c>
      <c r="J2" s="37">
        <f>SUM(D2+F2+H2)</f>
        <v>7</v>
      </c>
      <c r="K2" s="41">
        <v>100523.27</v>
      </c>
      <c r="L2" s="41" t="s">
        <v>510</v>
      </c>
      <c r="M2" s="41">
        <f>SUM(K2/J2)</f>
        <v>14360.467142857144</v>
      </c>
      <c r="N2" s="25" t="s">
        <v>505</v>
      </c>
      <c r="O2" s="25" t="s">
        <v>490</v>
      </c>
    </row>
    <row r="3" spans="1:15" x14ac:dyDescent="0.25">
      <c r="A3" s="27" t="s">
        <v>103</v>
      </c>
      <c r="B3" s="25" t="s">
        <v>413</v>
      </c>
      <c r="C3" s="25" t="s">
        <v>117</v>
      </c>
      <c r="D3" s="37">
        <v>174</v>
      </c>
      <c r="E3" s="41">
        <v>3190316.13</v>
      </c>
      <c r="F3" s="37">
        <v>146</v>
      </c>
      <c r="G3" s="41">
        <v>3885533.16</v>
      </c>
      <c r="H3" s="37">
        <v>51</v>
      </c>
      <c r="I3" s="41">
        <v>1476583.91</v>
      </c>
      <c r="J3" s="37">
        <f>SUM(D3+F3+H3)</f>
        <v>371</v>
      </c>
      <c r="K3" s="41">
        <f>SUM(E3+G3+I3)</f>
        <v>8552433.1999999993</v>
      </c>
      <c r="L3" s="41">
        <v>195462.53</v>
      </c>
      <c r="M3" s="41">
        <f>SUM(K3/J3)</f>
        <v>23052.380592991911</v>
      </c>
      <c r="N3" s="25" t="s">
        <v>476</v>
      </c>
      <c r="O3" s="47" t="s">
        <v>487</v>
      </c>
    </row>
    <row r="4" spans="1:15" x14ac:dyDescent="0.25">
      <c r="A4" s="18" t="s">
        <v>132</v>
      </c>
      <c r="B4" s="16" t="s">
        <v>407</v>
      </c>
      <c r="C4" s="16" t="s">
        <v>118</v>
      </c>
      <c r="D4" s="37">
        <v>10</v>
      </c>
      <c r="E4" s="41">
        <v>127231.56</v>
      </c>
      <c r="F4" s="37">
        <v>9</v>
      </c>
      <c r="G4" s="41">
        <v>247719.74</v>
      </c>
      <c r="H4" s="37">
        <v>5</v>
      </c>
      <c r="I4" s="41">
        <v>322041.55</v>
      </c>
      <c r="J4" s="37">
        <v>24</v>
      </c>
      <c r="K4" s="41">
        <f>SUM(I4,G4,E4)</f>
        <v>696992.85000000009</v>
      </c>
      <c r="L4" s="41">
        <v>158375.54999999999</v>
      </c>
      <c r="M4" s="41"/>
      <c r="N4" s="25" t="s">
        <v>481</v>
      </c>
      <c r="O4" s="25"/>
    </row>
    <row r="5" spans="1:15" x14ac:dyDescent="0.25">
      <c r="A5" s="18" t="s">
        <v>291</v>
      </c>
      <c r="B5" s="16" t="s">
        <v>404</v>
      </c>
      <c r="C5" s="16" t="s">
        <v>302</v>
      </c>
      <c r="D5" s="37">
        <v>2</v>
      </c>
      <c r="E5" s="41">
        <v>0</v>
      </c>
      <c r="F5" s="37">
        <v>1</v>
      </c>
      <c r="G5" s="41">
        <v>132343</v>
      </c>
      <c r="H5" s="37">
        <v>0</v>
      </c>
      <c r="I5" s="41">
        <v>0</v>
      </c>
      <c r="J5" s="37">
        <f>SUM(D5+F5+H5)</f>
        <v>3</v>
      </c>
      <c r="K5" s="41">
        <f>SUM(E5+G5+I5)</f>
        <v>132343</v>
      </c>
      <c r="L5" s="41">
        <v>132343</v>
      </c>
      <c r="M5" s="41"/>
      <c r="N5" s="25" t="s">
        <v>560</v>
      </c>
      <c r="O5" s="25"/>
    </row>
    <row r="6" spans="1:15" x14ac:dyDescent="0.25">
      <c r="A6" s="27" t="s">
        <v>306</v>
      </c>
      <c r="B6" s="16" t="s">
        <v>409</v>
      </c>
      <c r="C6" s="16" t="s">
        <v>116</v>
      </c>
      <c r="D6" s="37" t="s">
        <v>514</v>
      </c>
      <c r="E6" s="41" t="s">
        <v>514</v>
      </c>
      <c r="F6" s="37" t="s">
        <v>514</v>
      </c>
      <c r="G6" s="41" t="s">
        <v>514</v>
      </c>
      <c r="H6" s="37">
        <v>13</v>
      </c>
      <c r="I6" s="41">
        <v>516151.48</v>
      </c>
      <c r="J6" s="37">
        <v>13</v>
      </c>
      <c r="K6" s="41">
        <v>516151.48</v>
      </c>
      <c r="L6" s="41">
        <v>103984</v>
      </c>
      <c r="M6" s="41">
        <f t="shared" ref="M6:M13" si="0">SUM(K6/J6)</f>
        <v>39703.96</v>
      </c>
      <c r="N6" s="25" t="s">
        <v>524</v>
      </c>
      <c r="O6" s="48"/>
    </row>
    <row r="7" spans="1:15" x14ac:dyDescent="0.25">
      <c r="A7" s="18" t="s">
        <v>284</v>
      </c>
      <c r="B7" s="16" t="s">
        <v>408</v>
      </c>
      <c r="C7" s="16" t="s">
        <v>302</v>
      </c>
      <c r="D7" s="37">
        <v>1</v>
      </c>
      <c r="E7" s="41">
        <v>25257.279999999999</v>
      </c>
      <c r="F7" s="37">
        <v>7</v>
      </c>
      <c r="G7" s="41">
        <v>156934.88</v>
      </c>
      <c r="H7" s="37">
        <v>1</v>
      </c>
      <c r="I7" s="41">
        <v>2479.11</v>
      </c>
      <c r="J7" s="37">
        <f t="shared" ref="J7:K9" si="1">SUM(D7+F7+H7)</f>
        <v>9</v>
      </c>
      <c r="K7" s="41">
        <f t="shared" si="1"/>
        <v>184671.27</v>
      </c>
      <c r="L7" s="41">
        <v>80180</v>
      </c>
      <c r="M7" s="41">
        <f t="shared" si="0"/>
        <v>20519.03</v>
      </c>
      <c r="N7" s="25"/>
      <c r="O7" s="48"/>
    </row>
    <row r="8" spans="1:15" x14ac:dyDescent="0.25">
      <c r="A8" s="18" t="s">
        <v>225</v>
      </c>
      <c r="B8" s="16" t="s">
        <v>405</v>
      </c>
      <c r="C8" s="16" t="s">
        <v>302</v>
      </c>
      <c r="D8" s="37">
        <v>0</v>
      </c>
      <c r="E8" s="41">
        <v>0</v>
      </c>
      <c r="F8" s="37">
        <v>5</v>
      </c>
      <c r="G8" s="41">
        <v>25262</v>
      </c>
      <c r="H8" s="37">
        <v>13</v>
      </c>
      <c r="I8" s="41">
        <v>232192</v>
      </c>
      <c r="J8" s="37">
        <f t="shared" si="1"/>
        <v>18</v>
      </c>
      <c r="K8" s="41">
        <f t="shared" si="1"/>
        <v>257454</v>
      </c>
      <c r="L8" s="41">
        <v>74000</v>
      </c>
      <c r="M8" s="41">
        <f t="shared" si="0"/>
        <v>14303</v>
      </c>
      <c r="N8" s="25"/>
      <c r="O8" s="25"/>
    </row>
    <row r="9" spans="1:15" x14ac:dyDescent="0.25">
      <c r="A9" s="18" t="s">
        <v>394</v>
      </c>
      <c r="B9" s="16" t="s">
        <v>381</v>
      </c>
      <c r="C9" s="16" t="s">
        <v>117</v>
      </c>
      <c r="D9" s="37">
        <v>9</v>
      </c>
      <c r="E9" s="41">
        <v>224996.43</v>
      </c>
      <c r="F9" s="37">
        <v>7</v>
      </c>
      <c r="G9" s="41">
        <v>160106.85999999999</v>
      </c>
      <c r="H9" s="37">
        <v>11</v>
      </c>
      <c r="I9" s="41">
        <v>145349.04</v>
      </c>
      <c r="J9" s="37">
        <f t="shared" si="1"/>
        <v>27</v>
      </c>
      <c r="K9" s="41">
        <f t="shared" si="1"/>
        <v>530452.32999999996</v>
      </c>
      <c r="L9" s="41">
        <v>70000</v>
      </c>
      <c r="M9" s="41">
        <f t="shared" si="0"/>
        <v>19646.382592592592</v>
      </c>
      <c r="N9" s="25" t="s">
        <v>477</v>
      </c>
      <c r="O9" s="49"/>
    </row>
    <row r="10" spans="1:15" x14ac:dyDescent="0.25">
      <c r="A10" s="18" t="s">
        <v>112</v>
      </c>
      <c r="B10" s="16" t="s">
        <v>404</v>
      </c>
      <c r="C10" s="16" t="s">
        <v>117</v>
      </c>
      <c r="D10" s="37">
        <v>4</v>
      </c>
      <c r="F10" s="37">
        <v>4</v>
      </c>
      <c r="H10" s="37">
        <v>1</v>
      </c>
      <c r="J10" s="37">
        <f t="shared" ref="J10:J57" si="2">SUM(D10+F10+H10)</f>
        <v>9</v>
      </c>
      <c r="K10" s="41">
        <v>220177</v>
      </c>
      <c r="L10" s="41">
        <v>60833</v>
      </c>
      <c r="M10" s="41">
        <f t="shared" si="0"/>
        <v>24464.111111111109</v>
      </c>
      <c r="N10" s="25" t="s">
        <v>436</v>
      </c>
      <c r="O10" s="48"/>
    </row>
    <row r="11" spans="1:15" x14ac:dyDescent="0.25">
      <c r="A11" s="18" t="s">
        <v>96</v>
      </c>
      <c r="B11" s="25" t="s">
        <v>404</v>
      </c>
      <c r="C11" s="25" t="s">
        <v>117</v>
      </c>
      <c r="D11" s="37">
        <v>2</v>
      </c>
      <c r="E11" s="41">
        <v>11229</v>
      </c>
      <c r="F11" s="37">
        <v>7</v>
      </c>
      <c r="G11" s="41">
        <v>88914</v>
      </c>
      <c r="H11" s="37">
        <v>14</v>
      </c>
      <c r="I11" s="41">
        <v>205609</v>
      </c>
      <c r="J11" s="37">
        <f t="shared" si="2"/>
        <v>23</v>
      </c>
      <c r="K11" s="41">
        <f t="shared" ref="K11:K18" si="3">SUM(E11+G11+I11)</f>
        <v>305752</v>
      </c>
      <c r="L11" s="41">
        <v>60005</v>
      </c>
      <c r="M11" s="41">
        <f t="shared" si="0"/>
        <v>13293.565217391304</v>
      </c>
      <c r="N11" s="25"/>
      <c r="O11" s="48"/>
    </row>
    <row r="12" spans="1:15" x14ac:dyDescent="0.25">
      <c r="A12" s="27" t="s">
        <v>169</v>
      </c>
      <c r="B12" s="16" t="s">
        <v>404</v>
      </c>
      <c r="C12" s="16" t="s">
        <v>302</v>
      </c>
      <c r="D12" s="37">
        <v>2</v>
      </c>
      <c r="E12" s="41">
        <v>62286</v>
      </c>
      <c r="F12" s="37">
        <v>3</v>
      </c>
      <c r="G12" s="41">
        <v>47253.55</v>
      </c>
      <c r="H12" s="37">
        <v>2</v>
      </c>
      <c r="I12" s="41">
        <v>29749.5</v>
      </c>
      <c r="J12" s="37">
        <f t="shared" si="2"/>
        <v>7</v>
      </c>
      <c r="K12" s="41">
        <f t="shared" si="3"/>
        <v>139289.04999999999</v>
      </c>
      <c r="L12" s="41">
        <v>60000</v>
      </c>
      <c r="M12" s="41">
        <f t="shared" si="0"/>
        <v>19898.435714285712</v>
      </c>
      <c r="N12" s="25" t="s">
        <v>450</v>
      </c>
      <c r="O12" s="50" t="s">
        <v>519</v>
      </c>
    </row>
    <row r="13" spans="1:15" s="6" customFormat="1" x14ac:dyDescent="0.25">
      <c r="A13" s="27" t="s">
        <v>385</v>
      </c>
      <c r="B13" s="25" t="s">
        <v>381</v>
      </c>
      <c r="C13" s="25" t="s">
        <v>117</v>
      </c>
      <c r="D13" s="37">
        <v>7</v>
      </c>
      <c r="E13" s="41">
        <f>(28000+60000+5000+8000+4000+2400+27667)</f>
        <v>135067</v>
      </c>
      <c r="F13" s="37">
        <v>13</v>
      </c>
      <c r="G13" s="41">
        <f>(3000+12250+12250+10000+3962+7504+14000+15143+1500+15000+400+12789.75+15529)</f>
        <v>123327.75</v>
      </c>
      <c r="H13" s="37">
        <v>7</v>
      </c>
      <c r="I13" s="41">
        <v>88632</v>
      </c>
      <c r="J13" s="37">
        <f t="shared" si="2"/>
        <v>27</v>
      </c>
      <c r="K13" s="41">
        <f t="shared" si="3"/>
        <v>347026.75</v>
      </c>
      <c r="L13" s="41">
        <v>60000</v>
      </c>
      <c r="M13" s="41">
        <f t="shared" si="0"/>
        <v>12852.842592592593</v>
      </c>
      <c r="N13" s="25"/>
      <c r="O13" s="25"/>
    </row>
    <row r="14" spans="1:15" x14ac:dyDescent="0.25">
      <c r="A14" s="18" t="s">
        <v>420</v>
      </c>
      <c r="B14" s="16" t="s">
        <v>413</v>
      </c>
      <c r="C14" s="16" t="s">
        <v>302</v>
      </c>
      <c r="D14" s="37">
        <v>0</v>
      </c>
      <c r="E14" s="41">
        <v>0</v>
      </c>
      <c r="F14" s="37">
        <v>0</v>
      </c>
      <c r="G14" s="41">
        <v>0</v>
      </c>
      <c r="H14" s="37">
        <v>1</v>
      </c>
      <c r="I14" s="41">
        <v>59209</v>
      </c>
      <c r="J14" s="37">
        <f t="shared" si="2"/>
        <v>1</v>
      </c>
      <c r="K14" s="41">
        <f t="shared" si="3"/>
        <v>59209</v>
      </c>
      <c r="L14" s="41">
        <f>SUM(K14/J14)</f>
        <v>59209</v>
      </c>
      <c r="N14" s="25" t="s">
        <v>475</v>
      </c>
      <c r="O14" s="25"/>
    </row>
    <row r="15" spans="1:15" x14ac:dyDescent="0.25">
      <c r="A15" s="18" t="s">
        <v>178</v>
      </c>
      <c r="B15" s="16" t="s">
        <v>405</v>
      </c>
      <c r="C15" s="16" t="s">
        <v>302</v>
      </c>
      <c r="D15" s="37">
        <v>1</v>
      </c>
      <c r="E15" s="41">
        <v>32368</v>
      </c>
      <c r="F15" s="37">
        <v>3</v>
      </c>
      <c r="G15" s="41">
        <v>61511</v>
      </c>
      <c r="H15" s="37">
        <v>3</v>
      </c>
      <c r="I15" s="41">
        <v>120540</v>
      </c>
      <c r="J15" s="37">
        <f t="shared" si="2"/>
        <v>7</v>
      </c>
      <c r="K15" s="41">
        <f t="shared" si="3"/>
        <v>214419</v>
      </c>
      <c r="L15" s="41">
        <v>58500</v>
      </c>
      <c r="M15" s="41">
        <f>SUM(K15/J15)</f>
        <v>30631.285714285714</v>
      </c>
      <c r="N15" s="28" t="s">
        <v>466</v>
      </c>
      <c r="O15" s="49" t="s">
        <v>488</v>
      </c>
    </row>
    <row r="16" spans="1:15" x14ac:dyDescent="0.25">
      <c r="A16" s="18" t="s">
        <v>416</v>
      </c>
      <c r="B16" s="16" t="s">
        <v>404</v>
      </c>
      <c r="C16" s="16" t="s">
        <v>302</v>
      </c>
      <c r="D16" s="37">
        <v>0</v>
      </c>
      <c r="E16" s="41">
        <v>0</v>
      </c>
      <c r="F16" s="37">
        <v>0</v>
      </c>
      <c r="G16" s="41">
        <v>0</v>
      </c>
      <c r="H16" s="37">
        <v>1</v>
      </c>
      <c r="I16" s="41">
        <v>57023.64</v>
      </c>
      <c r="J16" s="37">
        <f t="shared" si="2"/>
        <v>1</v>
      </c>
      <c r="K16" s="41">
        <f t="shared" si="3"/>
        <v>57023.64</v>
      </c>
      <c r="L16" s="41">
        <f>SUM(K16/J16)</f>
        <v>57023.64</v>
      </c>
      <c r="N16" s="25" t="s">
        <v>568</v>
      </c>
      <c r="O16" s="25"/>
    </row>
    <row r="17" spans="1:19" x14ac:dyDescent="0.25">
      <c r="A17" s="18" t="s">
        <v>207</v>
      </c>
      <c r="B17" s="16" t="s">
        <v>407</v>
      </c>
      <c r="C17" s="16" t="s">
        <v>302</v>
      </c>
      <c r="D17" s="37">
        <v>0</v>
      </c>
      <c r="E17" s="41">
        <v>0</v>
      </c>
      <c r="F17" s="37">
        <v>1</v>
      </c>
      <c r="G17" s="41">
        <v>56831</v>
      </c>
      <c r="H17" s="37">
        <v>0</v>
      </c>
      <c r="I17" s="41">
        <v>0</v>
      </c>
      <c r="J17" s="37">
        <f t="shared" si="2"/>
        <v>1</v>
      </c>
      <c r="K17" s="41">
        <f t="shared" si="3"/>
        <v>56831</v>
      </c>
      <c r="L17" s="41">
        <v>56831</v>
      </c>
      <c r="M17" s="41"/>
      <c r="N17" s="25"/>
      <c r="O17" s="25"/>
    </row>
    <row r="18" spans="1:19" x14ac:dyDescent="0.25">
      <c r="A18" s="27" t="s">
        <v>11</v>
      </c>
      <c r="B18" s="16" t="s">
        <v>413</v>
      </c>
      <c r="C18" s="16" t="s">
        <v>302</v>
      </c>
      <c r="D18" s="37">
        <v>11</v>
      </c>
      <c r="E18" s="41">
        <v>54500</v>
      </c>
      <c r="F18" s="37">
        <v>5</v>
      </c>
      <c r="G18" s="41">
        <v>104193</v>
      </c>
      <c r="H18" s="37">
        <v>1</v>
      </c>
      <c r="I18" s="41">
        <v>2000</v>
      </c>
      <c r="J18" s="37">
        <f t="shared" si="2"/>
        <v>17</v>
      </c>
      <c r="K18" s="41">
        <f t="shared" si="3"/>
        <v>160693</v>
      </c>
      <c r="L18" s="41">
        <v>54500</v>
      </c>
      <c r="M18" s="41">
        <f t="shared" ref="M18:M57" si="4">SUM(K18/J18)</f>
        <v>9452.5294117647063</v>
      </c>
      <c r="N18" s="25" t="s">
        <v>440</v>
      </c>
      <c r="O18" s="25"/>
    </row>
    <row r="19" spans="1:19" x14ac:dyDescent="0.25">
      <c r="A19" s="18" t="s">
        <v>298</v>
      </c>
      <c r="B19" s="16" t="s">
        <v>413</v>
      </c>
      <c r="C19" s="16" t="s">
        <v>302</v>
      </c>
      <c r="D19" s="37">
        <v>1</v>
      </c>
      <c r="F19" s="37">
        <v>3</v>
      </c>
      <c r="H19" s="37">
        <v>0</v>
      </c>
      <c r="I19" s="41">
        <v>0</v>
      </c>
      <c r="J19" s="37">
        <f t="shared" si="2"/>
        <v>4</v>
      </c>
      <c r="K19" s="41">
        <v>16825.5</v>
      </c>
      <c r="L19" s="41">
        <v>54000</v>
      </c>
      <c r="M19" s="41">
        <f t="shared" si="4"/>
        <v>4206.375</v>
      </c>
      <c r="N19" s="25"/>
      <c r="O19" s="25" t="s">
        <v>489</v>
      </c>
    </row>
    <row r="20" spans="1:19" x14ac:dyDescent="0.25">
      <c r="A20" s="18" t="s">
        <v>97</v>
      </c>
      <c r="B20" s="16" t="s">
        <v>407</v>
      </c>
      <c r="C20" s="16" t="s">
        <v>117</v>
      </c>
      <c r="D20" s="37">
        <v>0</v>
      </c>
      <c r="E20" s="41">
        <v>0</v>
      </c>
      <c r="F20" s="37">
        <v>2</v>
      </c>
      <c r="G20" s="41">
        <v>28870</v>
      </c>
      <c r="H20" s="37">
        <v>1</v>
      </c>
      <c r="I20" s="41">
        <v>48472</v>
      </c>
      <c r="J20" s="37">
        <f t="shared" si="2"/>
        <v>3</v>
      </c>
      <c r="K20" s="41">
        <f>SUM(E20+G20+I20)</f>
        <v>77342</v>
      </c>
      <c r="L20" s="41">
        <v>48472</v>
      </c>
      <c r="M20" s="41">
        <f t="shared" si="4"/>
        <v>25780.666666666668</v>
      </c>
      <c r="N20" s="25" t="s">
        <v>448</v>
      </c>
      <c r="O20" s="25"/>
    </row>
    <row r="21" spans="1:19" x14ac:dyDescent="0.25">
      <c r="A21" s="18" t="s">
        <v>135</v>
      </c>
      <c r="B21" s="25" t="s">
        <v>407</v>
      </c>
      <c r="C21" s="25" t="s">
        <v>118</v>
      </c>
      <c r="D21" s="37">
        <v>1</v>
      </c>
      <c r="E21" s="41">
        <v>45000</v>
      </c>
      <c r="F21" s="37">
        <v>5</v>
      </c>
      <c r="G21" s="41">
        <v>197055.88</v>
      </c>
      <c r="H21" s="37">
        <v>0</v>
      </c>
      <c r="I21" s="41">
        <v>0</v>
      </c>
      <c r="J21" s="37">
        <f t="shared" si="2"/>
        <v>6</v>
      </c>
      <c r="K21" s="41">
        <f>SUM(G21,E21)</f>
        <v>242055.88</v>
      </c>
      <c r="L21" s="41">
        <v>45000</v>
      </c>
      <c r="M21" s="41">
        <f t="shared" si="4"/>
        <v>40342.646666666667</v>
      </c>
      <c r="N21" s="25"/>
      <c r="O21" s="25"/>
    </row>
    <row r="22" spans="1:19" x14ac:dyDescent="0.25">
      <c r="A22" s="18" t="s">
        <v>197</v>
      </c>
      <c r="B22" s="16" t="s">
        <v>404</v>
      </c>
      <c r="C22" s="16" t="s">
        <v>302</v>
      </c>
      <c r="D22" s="37">
        <v>2</v>
      </c>
      <c r="E22" s="41">
        <v>12850</v>
      </c>
      <c r="F22" s="37">
        <v>1</v>
      </c>
      <c r="G22" s="41">
        <v>43350</v>
      </c>
      <c r="H22" s="37">
        <v>2</v>
      </c>
      <c r="I22" s="41">
        <v>10680</v>
      </c>
      <c r="J22" s="37">
        <f t="shared" si="2"/>
        <v>5</v>
      </c>
      <c r="K22" s="41">
        <f t="shared" ref="K22:K57" si="5">SUM(E22+G22+I22)</f>
        <v>66880</v>
      </c>
      <c r="L22" s="41">
        <v>43350</v>
      </c>
      <c r="M22" s="41">
        <f t="shared" si="4"/>
        <v>13376</v>
      </c>
      <c r="N22" s="25" t="s">
        <v>520</v>
      </c>
      <c r="O22" s="25"/>
    </row>
    <row r="23" spans="1:19" x14ac:dyDescent="0.25">
      <c r="A23" s="18" t="s">
        <v>57</v>
      </c>
      <c r="B23" s="25" t="s">
        <v>405</v>
      </c>
      <c r="C23" s="25" t="s">
        <v>115</v>
      </c>
      <c r="D23" s="37">
        <v>20</v>
      </c>
      <c r="E23" s="41">
        <v>171060</v>
      </c>
      <c r="F23" s="37">
        <v>8</v>
      </c>
      <c r="G23" s="41">
        <v>108300</v>
      </c>
      <c r="H23" s="37">
        <v>16</v>
      </c>
      <c r="I23" s="41">
        <v>92100</v>
      </c>
      <c r="J23" s="37">
        <f t="shared" si="2"/>
        <v>44</v>
      </c>
      <c r="K23" s="41">
        <f t="shared" si="5"/>
        <v>371460</v>
      </c>
      <c r="L23" s="41">
        <v>40000</v>
      </c>
      <c r="M23" s="41">
        <f t="shared" si="4"/>
        <v>8442.2727272727279</v>
      </c>
      <c r="N23" s="25"/>
      <c r="O23" s="25"/>
    </row>
    <row r="24" spans="1:19" x14ac:dyDescent="0.25">
      <c r="A24" s="18" t="s">
        <v>421</v>
      </c>
      <c r="B24" s="16" t="s">
        <v>413</v>
      </c>
      <c r="C24" s="16" t="s">
        <v>302</v>
      </c>
      <c r="D24" s="37">
        <v>1</v>
      </c>
      <c r="E24" s="41">
        <v>40000</v>
      </c>
      <c r="F24" s="37">
        <v>0</v>
      </c>
      <c r="G24" s="41">
        <v>0</v>
      </c>
      <c r="H24" s="37">
        <v>3</v>
      </c>
      <c r="I24" s="41">
        <v>15488.88</v>
      </c>
      <c r="J24" s="37">
        <f t="shared" si="2"/>
        <v>4</v>
      </c>
      <c r="K24" s="41">
        <f t="shared" si="5"/>
        <v>55488.88</v>
      </c>
      <c r="L24" s="41">
        <v>40000</v>
      </c>
      <c r="M24" s="41">
        <f t="shared" si="4"/>
        <v>13872.22</v>
      </c>
      <c r="N24" s="25"/>
      <c r="O24" s="25"/>
    </row>
    <row r="25" spans="1:19" x14ac:dyDescent="0.25">
      <c r="A25" s="18" t="s">
        <v>113</v>
      </c>
      <c r="B25" s="16" t="s">
        <v>410</v>
      </c>
      <c r="C25" s="16" t="s">
        <v>117</v>
      </c>
      <c r="D25" s="37">
        <v>9</v>
      </c>
      <c r="E25" s="41">
        <f>(18402+10000+18900+13591+38000+11700+22708+9300+6000)</f>
        <v>148601</v>
      </c>
      <c r="F25" s="37">
        <v>7</v>
      </c>
      <c r="G25" s="41">
        <f>(13271+11149+7200+3000+7000+11278+10000)</f>
        <v>62898</v>
      </c>
      <c r="H25" s="37">
        <v>7</v>
      </c>
      <c r="I25" s="41">
        <f>(3000+9600+19510+4160+19956+2930+1300)</f>
        <v>60456</v>
      </c>
      <c r="J25" s="37">
        <f t="shared" si="2"/>
        <v>23</v>
      </c>
      <c r="K25" s="41">
        <f t="shared" si="5"/>
        <v>271955</v>
      </c>
      <c r="L25" s="41">
        <v>38000</v>
      </c>
      <c r="M25" s="41">
        <f t="shared" si="4"/>
        <v>11824.130434782608</v>
      </c>
      <c r="N25" s="25" t="s">
        <v>478</v>
      </c>
      <c r="O25" s="25"/>
    </row>
    <row r="26" spans="1:19" x14ac:dyDescent="0.25">
      <c r="A26" s="18" t="s">
        <v>393</v>
      </c>
      <c r="B26" s="16" t="s">
        <v>381</v>
      </c>
      <c r="C26" s="16" t="s">
        <v>117</v>
      </c>
      <c r="F26" s="37">
        <v>5</v>
      </c>
      <c r="G26" s="41">
        <v>26333</v>
      </c>
      <c r="H26" s="37">
        <v>2</v>
      </c>
      <c r="I26" s="41">
        <v>54472</v>
      </c>
      <c r="J26" s="37">
        <f t="shared" si="2"/>
        <v>7</v>
      </c>
      <c r="K26" s="41">
        <f t="shared" si="5"/>
        <v>80805</v>
      </c>
      <c r="L26" s="41">
        <v>36123</v>
      </c>
      <c r="M26" s="41">
        <f t="shared" si="4"/>
        <v>11543.571428571429</v>
      </c>
      <c r="N26" s="25"/>
      <c r="O26" s="25"/>
    </row>
    <row r="27" spans="1:19" x14ac:dyDescent="0.25">
      <c r="A27" s="18" t="s">
        <v>47</v>
      </c>
      <c r="B27" s="16" t="s">
        <v>410</v>
      </c>
      <c r="C27" s="16" t="s">
        <v>115</v>
      </c>
      <c r="D27" s="37">
        <v>1</v>
      </c>
      <c r="E27" s="41">
        <v>18998</v>
      </c>
      <c r="F27" s="37">
        <v>5</v>
      </c>
      <c r="G27" s="41">
        <v>91627</v>
      </c>
      <c r="H27" s="37">
        <v>5</v>
      </c>
      <c r="I27" s="41">
        <v>89354</v>
      </c>
      <c r="J27" s="37">
        <f t="shared" si="2"/>
        <v>11</v>
      </c>
      <c r="K27" s="41">
        <f t="shared" si="5"/>
        <v>199979</v>
      </c>
      <c r="L27" s="41">
        <v>32638</v>
      </c>
      <c r="M27" s="41">
        <f t="shared" si="4"/>
        <v>18179.909090909092</v>
      </c>
      <c r="N27" s="25" t="s">
        <v>504</v>
      </c>
      <c r="O27" s="25"/>
    </row>
    <row r="28" spans="1:19" s="7" customFormat="1" x14ac:dyDescent="0.25">
      <c r="A28" s="18" t="s">
        <v>265</v>
      </c>
      <c r="B28" s="25" t="s">
        <v>412</v>
      </c>
      <c r="C28" s="25" t="s">
        <v>302</v>
      </c>
      <c r="D28" s="37">
        <v>1</v>
      </c>
      <c r="E28" s="41">
        <v>31459.34</v>
      </c>
      <c r="F28" s="37">
        <v>4</v>
      </c>
      <c r="G28" s="41">
        <v>274051.86</v>
      </c>
      <c r="H28" s="37">
        <v>8</v>
      </c>
      <c r="I28" s="41">
        <v>269815.75</v>
      </c>
      <c r="J28" s="37">
        <f t="shared" si="2"/>
        <v>13</v>
      </c>
      <c r="K28" s="41">
        <f t="shared" si="5"/>
        <v>575326.94999999995</v>
      </c>
      <c r="L28" s="41">
        <v>31459.34</v>
      </c>
      <c r="M28" s="41">
        <f t="shared" si="4"/>
        <v>44255.919230769228</v>
      </c>
      <c r="N28" s="25"/>
      <c r="O28" s="25"/>
      <c r="P28" s="6"/>
      <c r="Q28" s="6"/>
      <c r="R28" s="6"/>
      <c r="S28" s="6"/>
    </row>
    <row r="29" spans="1:19" x14ac:dyDescent="0.25">
      <c r="A29" s="18" t="s">
        <v>29</v>
      </c>
      <c r="B29" s="16" t="s">
        <v>410</v>
      </c>
      <c r="C29" s="16" t="s">
        <v>115</v>
      </c>
      <c r="D29" s="37">
        <v>6</v>
      </c>
      <c r="E29" s="41">
        <v>104470</v>
      </c>
      <c r="F29" s="37">
        <v>7</v>
      </c>
      <c r="G29" s="41">
        <v>91360</v>
      </c>
      <c r="H29" s="37">
        <v>7</v>
      </c>
      <c r="I29" s="41">
        <v>121615.5</v>
      </c>
      <c r="J29" s="37">
        <f t="shared" si="2"/>
        <v>20</v>
      </c>
      <c r="K29" s="41">
        <f t="shared" si="5"/>
        <v>317445.5</v>
      </c>
      <c r="L29" s="41">
        <v>31268.639999999999</v>
      </c>
      <c r="M29" s="41">
        <f t="shared" si="4"/>
        <v>15872.275</v>
      </c>
      <c r="N29" s="25" t="s">
        <v>511</v>
      </c>
      <c r="O29" s="25"/>
    </row>
    <row r="30" spans="1:19" x14ac:dyDescent="0.25">
      <c r="A30" s="18" t="s">
        <v>131</v>
      </c>
      <c r="B30" s="16" t="s">
        <v>407</v>
      </c>
      <c r="C30" s="16" t="s">
        <v>118</v>
      </c>
      <c r="D30" s="37">
        <v>15</v>
      </c>
      <c r="E30" s="41">
        <v>85162.91</v>
      </c>
      <c r="F30" s="37">
        <v>14</v>
      </c>
      <c r="G30" s="41">
        <v>118573.26</v>
      </c>
      <c r="H30" s="37">
        <v>5</v>
      </c>
      <c r="I30" s="41">
        <v>51769.39</v>
      </c>
      <c r="J30" s="37">
        <f t="shared" si="2"/>
        <v>34</v>
      </c>
      <c r="K30" s="41">
        <f t="shared" si="5"/>
        <v>255505.56</v>
      </c>
      <c r="L30" s="41">
        <v>30000</v>
      </c>
      <c r="M30" s="41">
        <f t="shared" si="4"/>
        <v>7514.8694117647055</v>
      </c>
      <c r="N30" s="28" t="s">
        <v>517</v>
      </c>
      <c r="O30" s="29"/>
    </row>
    <row r="31" spans="1:19" x14ac:dyDescent="0.25">
      <c r="A31" s="18" t="s">
        <v>136</v>
      </c>
      <c r="B31" s="16" t="s">
        <v>408</v>
      </c>
      <c r="C31" s="16" t="s">
        <v>118</v>
      </c>
      <c r="D31" s="37">
        <v>2</v>
      </c>
      <c r="E31" s="41">
        <v>12320.81</v>
      </c>
      <c r="F31" s="37">
        <v>2</v>
      </c>
      <c r="G31" s="41">
        <v>11500</v>
      </c>
      <c r="H31" s="37">
        <v>1</v>
      </c>
      <c r="I31" s="41">
        <v>30000</v>
      </c>
      <c r="J31" s="37">
        <f t="shared" si="2"/>
        <v>5</v>
      </c>
      <c r="K31" s="41">
        <f t="shared" si="5"/>
        <v>53820.81</v>
      </c>
      <c r="L31" s="41">
        <v>30000</v>
      </c>
      <c r="M31" s="41">
        <f t="shared" si="4"/>
        <v>10764.162</v>
      </c>
      <c r="N31" s="25" t="s">
        <v>449</v>
      </c>
      <c r="O31" s="25"/>
    </row>
    <row r="32" spans="1:19" x14ac:dyDescent="0.25">
      <c r="A32" s="18" t="s">
        <v>352</v>
      </c>
      <c r="B32" s="16" t="s">
        <v>349</v>
      </c>
      <c r="C32" s="16" t="s">
        <v>117</v>
      </c>
      <c r="D32" s="37">
        <v>1</v>
      </c>
      <c r="E32" s="41">
        <v>30000</v>
      </c>
      <c r="F32" s="37">
        <v>2</v>
      </c>
      <c r="G32" s="41">
        <v>29367.74</v>
      </c>
      <c r="H32" s="37">
        <v>0</v>
      </c>
      <c r="I32" s="41">
        <v>0</v>
      </c>
      <c r="J32" s="37">
        <f t="shared" si="2"/>
        <v>3</v>
      </c>
      <c r="K32" s="41">
        <f t="shared" si="5"/>
        <v>59367.740000000005</v>
      </c>
      <c r="L32" s="41">
        <v>30000</v>
      </c>
      <c r="M32" s="41">
        <f t="shared" si="4"/>
        <v>19789.24666666667</v>
      </c>
      <c r="N32" s="25" t="s">
        <v>521</v>
      </c>
      <c r="O32" s="25"/>
    </row>
    <row r="33" spans="1:15" x14ac:dyDescent="0.25">
      <c r="A33" s="18" t="s">
        <v>259</v>
      </c>
      <c r="B33" s="16" t="s">
        <v>410</v>
      </c>
      <c r="C33" s="16" t="s">
        <v>302</v>
      </c>
      <c r="D33" s="37">
        <v>2</v>
      </c>
      <c r="E33" s="41">
        <v>14000</v>
      </c>
      <c r="F33" s="37">
        <v>3</v>
      </c>
      <c r="G33" s="41">
        <v>39116.25</v>
      </c>
      <c r="H33" s="37">
        <v>2</v>
      </c>
      <c r="I33" s="41">
        <v>53507.4</v>
      </c>
      <c r="J33" s="37">
        <f t="shared" si="2"/>
        <v>7</v>
      </c>
      <c r="K33" s="41">
        <f t="shared" si="5"/>
        <v>106623.65</v>
      </c>
      <c r="L33" s="41">
        <v>30000</v>
      </c>
      <c r="M33" s="41">
        <f t="shared" si="4"/>
        <v>15231.949999999999</v>
      </c>
      <c r="N33" s="25"/>
      <c r="O33" s="25"/>
    </row>
    <row r="34" spans="1:15" x14ac:dyDescent="0.25">
      <c r="A34" s="18" t="s">
        <v>254</v>
      </c>
      <c r="B34" s="16" t="s">
        <v>404</v>
      </c>
      <c r="C34" s="16" t="s">
        <v>302</v>
      </c>
      <c r="D34" s="37">
        <v>1</v>
      </c>
      <c r="E34" s="41">
        <v>63750</v>
      </c>
      <c r="F34" s="37">
        <v>1</v>
      </c>
      <c r="G34" s="41">
        <v>14479</v>
      </c>
      <c r="H34" s="37">
        <v>2</v>
      </c>
      <c r="I34" s="41">
        <v>26218.5</v>
      </c>
      <c r="J34" s="37">
        <f t="shared" si="2"/>
        <v>4</v>
      </c>
      <c r="K34" s="41">
        <f t="shared" si="5"/>
        <v>104447.5</v>
      </c>
      <c r="L34" s="41">
        <v>26218.5</v>
      </c>
      <c r="M34" s="41">
        <f t="shared" si="4"/>
        <v>26111.875</v>
      </c>
      <c r="N34" s="25"/>
      <c r="O34" s="25"/>
    </row>
    <row r="35" spans="1:15" x14ac:dyDescent="0.25">
      <c r="A35" s="18" t="s">
        <v>389</v>
      </c>
      <c r="B35" s="16" t="s">
        <v>381</v>
      </c>
      <c r="C35" s="16" t="s">
        <v>117</v>
      </c>
      <c r="D35" s="37">
        <v>4</v>
      </c>
      <c r="E35" s="41">
        <f>6500+3700+20270.38+15000</f>
        <v>45470.380000000005</v>
      </c>
      <c r="F35" s="37">
        <v>4</v>
      </c>
      <c r="G35" s="41">
        <f>5850+20000+24718+1500</f>
        <v>52068</v>
      </c>
      <c r="H35" s="37">
        <v>3</v>
      </c>
      <c r="I35" s="41">
        <f>8757.18+15318.53+25000</f>
        <v>49075.71</v>
      </c>
      <c r="J35" s="37">
        <f t="shared" si="2"/>
        <v>11</v>
      </c>
      <c r="K35" s="41">
        <f t="shared" si="5"/>
        <v>146614.09</v>
      </c>
      <c r="L35" s="41">
        <v>25000</v>
      </c>
      <c r="M35" s="41">
        <f t="shared" si="4"/>
        <v>13328.553636363637</v>
      </c>
      <c r="N35" s="25"/>
      <c r="O35" s="25"/>
    </row>
    <row r="36" spans="1:15" x14ac:dyDescent="0.25">
      <c r="A36" s="18" t="s">
        <v>6</v>
      </c>
      <c r="B36" s="16" t="s">
        <v>412</v>
      </c>
      <c r="C36" s="16" t="s">
        <v>302</v>
      </c>
      <c r="D36" s="37">
        <v>2</v>
      </c>
      <c r="E36" s="41">
        <v>11000</v>
      </c>
      <c r="F36" s="37">
        <v>2</v>
      </c>
      <c r="G36" s="41">
        <v>32537</v>
      </c>
      <c r="H36" s="37">
        <v>1</v>
      </c>
      <c r="I36" s="41">
        <v>22349</v>
      </c>
      <c r="J36" s="37">
        <f t="shared" si="2"/>
        <v>5</v>
      </c>
      <c r="K36" s="41">
        <f t="shared" si="5"/>
        <v>65886</v>
      </c>
      <c r="L36" s="41">
        <v>22349</v>
      </c>
      <c r="M36" s="41">
        <f t="shared" si="4"/>
        <v>13177.2</v>
      </c>
      <c r="N36" s="25"/>
      <c r="O36" s="25"/>
    </row>
    <row r="37" spans="1:15" x14ac:dyDescent="0.25">
      <c r="A37" s="18" t="s">
        <v>223</v>
      </c>
      <c r="B37" s="16" t="s">
        <v>407</v>
      </c>
      <c r="C37" s="16" t="s">
        <v>302</v>
      </c>
      <c r="D37" s="37">
        <v>2</v>
      </c>
      <c r="E37" s="41">
        <f>9480+3908.38</f>
        <v>13388.380000000001</v>
      </c>
      <c r="F37" s="37">
        <v>2</v>
      </c>
      <c r="G37" s="41">
        <f>13546+9750</f>
        <v>23296</v>
      </c>
      <c r="H37" s="37">
        <v>2</v>
      </c>
      <c r="I37" s="41">
        <f>22190+7055.25</f>
        <v>29245.25</v>
      </c>
      <c r="J37" s="37">
        <f t="shared" si="2"/>
        <v>6</v>
      </c>
      <c r="K37" s="41">
        <f t="shared" si="5"/>
        <v>65929.63</v>
      </c>
      <c r="L37" s="41">
        <v>22190</v>
      </c>
      <c r="M37" s="41">
        <f t="shared" si="4"/>
        <v>10988.271666666667</v>
      </c>
      <c r="N37" s="25" t="s">
        <v>445</v>
      </c>
      <c r="O37" s="25"/>
    </row>
    <row r="38" spans="1:15" x14ac:dyDescent="0.25">
      <c r="A38" s="18" t="s">
        <v>190</v>
      </c>
      <c r="B38" s="16" t="s">
        <v>407</v>
      </c>
      <c r="C38" s="16" t="s">
        <v>302</v>
      </c>
      <c r="D38" s="37">
        <v>1</v>
      </c>
      <c r="E38" s="41">
        <v>4000</v>
      </c>
      <c r="F38" s="37">
        <v>1</v>
      </c>
      <c r="G38" s="41">
        <v>20000</v>
      </c>
      <c r="H38" s="37">
        <v>1</v>
      </c>
      <c r="I38" s="41">
        <v>10000</v>
      </c>
      <c r="J38" s="37">
        <f t="shared" si="2"/>
        <v>3</v>
      </c>
      <c r="K38" s="41">
        <f t="shared" si="5"/>
        <v>34000</v>
      </c>
      <c r="L38" s="41">
        <v>20000</v>
      </c>
      <c r="M38" s="41">
        <f t="shared" si="4"/>
        <v>11333.333333333334</v>
      </c>
      <c r="N38" s="25"/>
      <c r="O38" s="25"/>
    </row>
    <row r="39" spans="1:15" x14ac:dyDescent="0.25">
      <c r="A39" s="18" t="s">
        <v>234</v>
      </c>
      <c r="B39" s="16" t="s">
        <v>404</v>
      </c>
      <c r="C39" s="16" t="s">
        <v>302</v>
      </c>
      <c r="D39" s="37">
        <v>6</v>
      </c>
      <c r="E39" s="41">
        <v>130000</v>
      </c>
      <c r="F39" s="37">
        <v>13</v>
      </c>
      <c r="G39" s="41">
        <v>66000</v>
      </c>
      <c r="H39" s="37">
        <v>10</v>
      </c>
      <c r="I39" s="41">
        <v>47000</v>
      </c>
      <c r="J39" s="37">
        <f t="shared" si="2"/>
        <v>29</v>
      </c>
      <c r="K39" s="41">
        <f t="shared" si="5"/>
        <v>243000</v>
      </c>
      <c r="L39" s="41">
        <v>18388</v>
      </c>
      <c r="M39" s="41">
        <f t="shared" si="4"/>
        <v>8379.310344827587</v>
      </c>
      <c r="N39" s="25" t="s">
        <v>522</v>
      </c>
      <c r="O39" s="25"/>
    </row>
    <row r="40" spans="1:15" x14ac:dyDescent="0.25">
      <c r="A40" s="27" t="s">
        <v>236</v>
      </c>
      <c r="B40" s="16" t="s">
        <v>404</v>
      </c>
      <c r="C40" s="16" t="s">
        <v>302</v>
      </c>
      <c r="D40" s="37">
        <v>8</v>
      </c>
      <c r="E40" s="41">
        <v>242029.33</v>
      </c>
      <c r="F40" s="37">
        <v>3</v>
      </c>
      <c r="G40" s="41">
        <v>103087.95</v>
      </c>
      <c r="H40" s="37">
        <v>3</v>
      </c>
      <c r="I40" s="41">
        <v>120000</v>
      </c>
      <c r="J40" s="37">
        <f t="shared" si="2"/>
        <v>14</v>
      </c>
      <c r="K40" s="41">
        <f t="shared" si="5"/>
        <v>465117.27999999997</v>
      </c>
      <c r="L40" s="41">
        <v>18000</v>
      </c>
      <c r="M40" s="41">
        <f t="shared" si="4"/>
        <v>33222.662857142852</v>
      </c>
      <c r="N40" s="25"/>
      <c r="O40" s="25"/>
    </row>
    <row r="41" spans="1:15" x14ac:dyDescent="0.25">
      <c r="A41" s="27" t="s">
        <v>338</v>
      </c>
      <c r="B41" s="16" t="s">
        <v>405</v>
      </c>
      <c r="C41" s="16" t="s">
        <v>117</v>
      </c>
      <c r="D41" s="37">
        <v>0</v>
      </c>
      <c r="E41" s="41">
        <v>0</v>
      </c>
      <c r="F41" s="37">
        <v>1</v>
      </c>
      <c r="G41" s="41">
        <v>16500</v>
      </c>
      <c r="H41" s="37">
        <v>0</v>
      </c>
      <c r="I41" s="41">
        <v>0</v>
      </c>
      <c r="J41" s="37">
        <f t="shared" si="2"/>
        <v>1</v>
      </c>
      <c r="K41" s="41">
        <f t="shared" si="5"/>
        <v>16500</v>
      </c>
      <c r="L41" s="41">
        <v>16500</v>
      </c>
      <c r="M41" s="41">
        <f t="shared" si="4"/>
        <v>16500</v>
      </c>
      <c r="N41" s="25"/>
      <c r="O41" s="25"/>
    </row>
    <row r="42" spans="1:15" x14ac:dyDescent="0.25">
      <c r="A42" s="27" t="s">
        <v>235</v>
      </c>
      <c r="B42" s="16" t="s">
        <v>408</v>
      </c>
      <c r="C42" s="16" t="s">
        <v>302</v>
      </c>
      <c r="D42" s="37">
        <v>0</v>
      </c>
      <c r="E42" s="41">
        <v>0</v>
      </c>
      <c r="F42" s="37">
        <v>1</v>
      </c>
      <c r="G42" s="41">
        <v>15000</v>
      </c>
      <c r="H42" s="37">
        <v>1</v>
      </c>
      <c r="I42" s="41">
        <v>5750</v>
      </c>
      <c r="J42" s="37">
        <f t="shared" si="2"/>
        <v>2</v>
      </c>
      <c r="K42" s="41">
        <f t="shared" si="5"/>
        <v>20750</v>
      </c>
      <c r="L42" s="41">
        <v>15000</v>
      </c>
      <c r="M42" s="41">
        <f t="shared" si="4"/>
        <v>10375</v>
      </c>
      <c r="N42" s="25"/>
      <c r="O42" s="25"/>
    </row>
    <row r="43" spans="1:15" x14ac:dyDescent="0.25">
      <c r="A43" s="27" t="s">
        <v>16</v>
      </c>
      <c r="B43" s="16" t="s">
        <v>407</v>
      </c>
      <c r="C43" s="16" t="s">
        <v>302</v>
      </c>
      <c r="D43" s="37">
        <v>1</v>
      </c>
      <c r="E43" s="41">
        <v>13814.34</v>
      </c>
      <c r="F43" s="37">
        <v>1</v>
      </c>
      <c r="G43" s="41">
        <v>14863</v>
      </c>
      <c r="H43" s="37">
        <v>0</v>
      </c>
      <c r="I43" s="41">
        <v>0</v>
      </c>
      <c r="J43" s="37">
        <f t="shared" si="2"/>
        <v>2</v>
      </c>
      <c r="K43" s="41">
        <f t="shared" si="5"/>
        <v>28677.34</v>
      </c>
      <c r="L43" s="41">
        <v>14863</v>
      </c>
      <c r="M43" s="41">
        <f t="shared" si="4"/>
        <v>14338.67</v>
      </c>
      <c r="N43" s="25"/>
      <c r="O43" s="25"/>
    </row>
    <row r="44" spans="1:15" x14ac:dyDescent="0.25">
      <c r="A44" s="18" t="s">
        <v>5</v>
      </c>
      <c r="B44" s="16" t="s">
        <v>408</v>
      </c>
      <c r="C44" s="16" t="s">
        <v>302</v>
      </c>
      <c r="D44" s="37">
        <v>3</v>
      </c>
      <c r="E44" s="41">
        <v>77594</v>
      </c>
      <c r="F44" s="37">
        <v>1</v>
      </c>
      <c r="G44" s="41">
        <v>4575</v>
      </c>
      <c r="H44" s="37">
        <v>1</v>
      </c>
      <c r="I44" s="41">
        <v>13572</v>
      </c>
      <c r="J44" s="37">
        <f t="shared" si="2"/>
        <v>5</v>
      </c>
      <c r="K44" s="41">
        <f t="shared" si="5"/>
        <v>95741</v>
      </c>
      <c r="L44" s="41">
        <v>13572</v>
      </c>
      <c r="M44" s="41">
        <f t="shared" si="4"/>
        <v>19148.2</v>
      </c>
      <c r="N44" s="25" t="s">
        <v>515</v>
      </c>
      <c r="O44" s="25"/>
    </row>
    <row r="45" spans="1:15" x14ac:dyDescent="0.25">
      <c r="A45" s="18" t="s">
        <v>219</v>
      </c>
      <c r="B45" s="16" t="s">
        <v>407</v>
      </c>
      <c r="C45" s="16" t="s">
        <v>302</v>
      </c>
      <c r="D45" s="37">
        <v>2</v>
      </c>
      <c r="E45" s="41">
        <v>54165</v>
      </c>
      <c r="F45" s="37">
        <v>2</v>
      </c>
      <c r="G45" s="41">
        <v>12082</v>
      </c>
      <c r="H45" s="37">
        <v>1</v>
      </c>
      <c r="I45" s="41">
        <v>12177</v>
      </c>
      <c r="J45" s="37">
        <f t="shared" si="2"/>
        <v>5</v>
      </c>
      <c r="K45" s="41">
        <f t="shared" si="5"/>
        <v>78424</v>
      </c>
      <c r="L45" s="41">
        <v>12177</v>
      </c>
      <c r="M45" s="41">
        <f t="shared" si="4"/>
        <v>15684.8</v>
      </c>
      <c r="N45" s="25"/>
      <c r="O45" s="25"/>
    </row>
    <row r="46" spans="1:15" x14ac:dyDescent="0.25">
      <c r="A46" s="18" t="s">
        <v>358</v>
      </c>
      <c r="B46" s="16" t="s">
        <v>349</v>
      </c>
      <c r="C46" s="16" t="s">
        <v>117</v>
      </c>
      <c r="D46" s="37">
        <v>3</v>
      </c>
      <c r="E46" s="41">
        <v>22000</v>
      </c>
      <c r="F46" s="37">
        <v>3</v>
      </c>
      <c r="G46" s="41">
        <v>21699.72</v>
      </c>
      <c r="H46" s="37">
        <v>3</v>
      </c>
      <c r="I46" s="41">
        <v>15550</v>
      </c>
      <c r="J46" s="37">
        <f t="shared" si="2"/>
        <v>9</v>
      </c>
      <c r="K46" s="41">
        <f t="shared" si="5"/>
        <v>59249.72</v>
      </c>
      <c r="L46" s="41">
        <v>12000</v>
      </c>
      <c r="M46" s="41">
        <f t="shared" si="4"/>
        <v>6583.3022222222226</v>
      </c>
      <c r="N46" s="25" t="s">
        <v>512</v>
      </c>
      <c r="O46" s="25"/>
    </row>
    <row r="47" spans="1:15" x14ac:dyDescent="0.25">
      <c r="A47" s="18" t="s">
        <v>177</v>
      </c>
      <c r="B47" s="16" t="s">
        <v>404</v>
      </c>
      <c r="C47" s="16" t="s">
        <v>302</v>
      </c>
      <c r="D47" s="37">
        <v>1</v>
      </c>
      <c r="E47" s="41">
        <v>12000</v>
      </c>
      <c r="F47" s="37">
        <v>0</v>
      </c>
      <c r="G47" s="41">
        <v>0</v>
      </c>
      <c r="H47" s="37">
        <v>0</v>
      </c>
      <c r="I47" s="41">
        <v>0</v>
      </c>
      <c r="J47" s="37">
        <f t="shared" si="2"/>
        <v>1</v>
      </c>
      <c r="K47" s="41">
        <f t="shared" si="5"/>
        <v>12000</v>
      </c>
      <c r="L47" s="41">
        <v>12000</v>
      </c>
      <c r="M47" s="41">
        <f t="shared" si="4"/>
        <v>12000</v>
      </c>
      <c r="N47" s="25"/>
      <c r="O47" s="25"/>
    </row>
    <row r="48" spans="1:15" x14ac:dyDescent="0.25">
      <c r="A48" s="18" t="s">
        <v>344</v>
      </c>
      <c r="B48" s="16" t="s">
        <v>339</v>
      </c>
      <c r="C48" s="16"/>
      <c r="D48" s="37">
        <v>1</v>
      </c>
      <c r="E48" s="41">
        <v>10750</v>
      </c>
      <c r="F48" s="37">
        <v>0</v>
      </c>
      <c r="G48" s="41">
        <v>0</v>
      </c>
      <c r="H48" s="37">
        <v>1</v>
      </c>
      <c r="I48" s="41">
        <v>11500</v>
      </c>
      <c r="J48" s="37">
        <f t="shared" si="2"/>
        <v>2</v>
      </c>
      <c r="K48" s="41">
        <f t="shared" si="5"/>
        <v>22250</v>
      </c>
      <c r="L48" s="41">
        <v>11500</v>
      </c>
      <c r="M48" s="41">
        <f t="shared" si="4"/>
        <v>11125</v>
      </c>
      <c r="N48" s="25"/>
      <c r="O48" s="25"/>
    </row>
    <row r="49" spans="1:15" x14ac:dyDescent="0.25">
      <c r="A49" s="18" t="s">
        <v>310</v>
      </c>
      <c r="B49" s="16" t="s">
        <v>409</v>
      </c>
      <c r="C49" s="16" t="s">
        <v>116</v>
      </c>
      <c r="D49" s="37">
        <v>0</v>
      </c>
      <c r="E49" s="41">
        <v>0</v>
      </c>
      <c r="F49" s="37">
        <v>1</v>
      </c>
      <c r="G49" s="41">
        <v>10500</v>
      </c>
      <c r="H49" s="37">
        <v>0</v>
      </c>
      <c r="I49" s="41">
        <v>0</v>
      </c>
      <c r="J49" s="37">
        <f t="shared" si="2"/>
        <v>1</v>
      </c>
      <c r="K49" s="41">
        <f t="shared" si="5"/>
        <v>10500</v>
      </c>
      <c r="L49" s="41">
        <v>10500</v>
      </c>
      <c r="M49" s="41">
        <f t="shared" si="4"/>
        <v>10500</v>
      </c>
      <c r="N49" s="25"/>
      <c r="O49" s="25"/>
    </row>
    <row r="50" spans="1:15" x14ac:dyDescent="0.25">
      <c r="A50" s="18" t="s">
        <v>257</v>
      </c>
      <c r="B50" s="16" t="s">
        <v>407</v>
      </c>
      <c r="C50" s="16" t="s">
        <v>302</v>
      </c>
      <c r="D50" s="37">
        <v>1</v>
      </c>
      <c r="E50" s="41">
        <v>31906</v>
      </c>
      <c r="F50" s="37">
        <v>1</v>
      </c>
      <c r="G50" s="41">
        <v>10000</v>
      </c>
      <c r="H50" s="37">
        <v>0</v>
      </c>
      <c r="I50" s="41">
        <v>0</v>
      </c>
      <c r="J50" s="37">
        <f t="shared" si="2"/>
        <v>2</v>
      </c>
      <c r="K50" s="41">
        <f t="shared" si="5"/>
        <v>41906</v>
      </c>
      <c r="L50" s="41">
        <v>10000</v>
      </c>
      <c r="M50" s="41">
        <f t="shared" si="4"/>
        <v>20953</v>
      </c>
      <c r="N50" s="25"/>
      <c r="O50" s="25"/>
    </row>
    <row r="51" spans="1:15" x14ac:dyDescent="0.25">
      <c r="A51" s="18" t="s">
        <v>188</v>
      </c>
      <c r="B51" s="16" t="s">
        <v>412</v>
      </c>
      <c r="C51" s="16" t="s">
        <v>302</v>
      </c>
      <c r="D51" s="37">
        <v>3</v>
      </c>
      <c r="E51" s="41">
        <v>67830.210000000006</v>
      </c>
      <c r="F51" s="37">
        <v>2</v>
      </c>
      <c r="G51" s="41">
        <v>18900</v>
      </c>
      <c r="H51" s="37">
        <v>1</v>
      </c>
      <c r="I51" s="41">
        <v>9695</v>
      </c>
      <c r="J51" s="37">
        <f t="shared" si="2"/>
        <v>6</v>
      </c>
      <c r="K51" s="41">
        <f t="shared" si="5"/>
        <v>96425.21</v>
      </c>
      <c r="L51" s="41">
        <v>9695</v>
      </c>
      <c r="M51" s="41">
        <f t="shared" si="4"/>
        <v>16070.868333333334</v>
      </c>
      <c r="N51" s="25"/>
      <c r="O51" s="25"/>
    </row>
    <row r="52" spans="1:15" x14ac:dyDescent="0.25">
      <c r="A52" s="18" t="s">
        <v>227</v>
      </c>
      <c r="B52" s="16" t="s">
        <v>413</v>
      </c>
      <c r="C52" s="16" t="s">
        <v>302</v>
      </c>
      <c r="D52" s="37">
        <v>1</v>
      </c>
      <c r="E52" s="41">
        <v>4975.66</v>
      </c>
      <c r="F52" s="37">
        <v>1</v>
      </c>
      <c r="G52" s="41">
        <v>9500</v>
      </c>
      <c r="H52" s="37">
        <v>2</v>
      </c>
      <c r="I52" s="41">
        <v>15983.84</v>
      </c>
      <c r="J52" s="37">
        <f t="shared" si="2"/>
        <v>4</v>
      </c>
      <c r="K52" s="41">
        <f t="shared" si="5"/>
        <v>30459.5</v>
      </c>
      <c r="L52" s="41">
        <v>9500</v>
      </c>
      <c r="M52" s="41">
        <f t="shared" si="4"/>
        <v>7614.875</v>
      </c>
      <c r="N52" s="25" t="s">
        <v>449</v>
      </c>
      <c r="O52" s="25"/>
    </row>
    <row r="53" spans="1:15" x14ac:dyDescent="0.25">
      <c r="A53" s="18" t="s">
        <v>214</v>
      </c>
      <c r="B53" s="25" t="s">
        <v>410</v>
      </c>
      <c r="C53" s="25" t="s">
        <v>302</v>
      </c>
      <c r="D53" s="37">
        <v>0</v>
      </c>
      <c r="E53" s="41">
        <v>0</v>
      </c>
      <c r="F53" s="37">
        <v>1</v>
      </c>
      <c r="G53" s="41">
        <v>6870.48</v>
      </c>
      <c r="H53" s="37">
        <v>1</v>
      </c>
      <c r="I53" s="41">
        <v>8500</v>
      </c>
      <c r="J53" s="37">
        <f t="shared" si="2"/>
        <v>2</v>
      </c>
      <c r="K53" s="41">
        <f t="shared" si="5"/>
        <v>15370.48</v>
      </c>
      <c r="L53" s="41">
        <v>8500</v>
      </c>
      <c r="M53" s="41">
        <f t="shared" si="4"/>
        <v>7685.24</v>
      </c>
      <c r="N53" s="25"/>
      <c r="O53" s="25"/>
    </row>
    <row r="54" spans="1:15" x14ac:dyDescent="0.25">
      <c r="A54" s="18" t="s">
        <v>171</v>
      </c>
      <c r="B54" s="25" t="s">
        <v>408</v>
      </c>
      <c r="C54" s="25" t="s">
        <v>302</v>
      </c>
      <c r="D54" s="37">
        <v>2</v>
      </c>
      <c r="E54" s="41">
        <v>7156.8</v>
      </c>
      <c r="F54" s="37">
        <v>0</v>
      </c>
      <c r="G54" s="41">
        <v>0</v>
      </c>
      <c r="H54" s="37">
        <v>0</v>
      </c>
      <c r="I54" s="41">
        <v>0</v>
      </c>
      <c r="J54" s="37">
        <f t="shared" si="2"/>
        <v>2</v>
      </c>
      <c r="K54" s="41">
        <f t="shared" si="5"/>
        <v>7156.8</v>
      </c>
      <c r="L54" s="41">
        <v>5500</v>
      </c>
      <c r="M54" s="41">
        <f t="shared" si="4"/>
        <v>3578.4</v>
      </c>
      <c r="N54" s="25"/>
      <c r="O54" s="25"/>
    </row>
    <row r="55" spans="1:15" x14ac:dyDescent="0.25">
      <c r="A55" s="18" t="s">
        <v>471</v>
      </c>
      <c r="B55" s="16" t="s">
        <v>412</v>
      </c>
      <c r="C55" s="16" t="s">
        <v>302</v>
      </c>
      <c r="D55" s="37">
        <v>0</v>
      </c>
      <c r="E55" s="41">
        <v>0</v>
      </c>
      <c r="F55" s="37">
        <v>0</v>
      </c>
      <c r="G55" s="41">
        <v>0</v>
      </c>
      <c r="H55" s="37">
        <v>1</v>
      </c>
      <c r="I55" s="41">
        <v>2436</v>
      </c>
      <c r="J55" s="37">
        <f t="shared" si="2"/>
        <v>1</v>
      </c>
      <c r="K55" s="41">
        <f t="shared" si="5"/>
        <v>2436</v>
      </c>
      <c r="L55" s="41">
        <v>2436</v>
      </c>
      <c r="M55" s="41">
        <f t="shared" si="4"/>
        <v>2436</v>
      </c>
      <c r="N55" s="25"/>
      <c r="O55" s="25"/>
    </row>
    <row r="56" spans="1:15" x14ac:dyDescent="0.25">
      <c r="A56" s="18" t="s">
        <v>242</v>
      </c>
      <c r="B56" s="16" t="s">
        <v>413</v>
      </c>
      <c r="C56" s="16" t="s">
        <v>302</v>
      </c>
      <c r="D56" s="37">
        <v>1</v>
      </c>
      <c r="E56" s="41">
        <v>834.05</v>
      </c>
      <c r="F56" s="37">
        <v>0</v>
      </c>
      <c r="G56" s="41">
        <v>0</v>
      </c>
      <c r="H56" s="37">
        <v>0</v>
      </c>
      <c r="I56" s="41">
        <v>0</v>
      </c>
      <c r="J56" s="37">
        <f t="shared" si="2"/>
        <v>1</v>
      </c>
      <c r="K56" s="41">
        <f t="shared" si="5"/>
        <v>834.05</v>
      </c>
      <c r="L56" s="41">
        <v>834.05</v>
      </c>
      <c r="M56" s="41">
        <f t="shared" si="4"/>
        <v>834.05</v>
      </c>
      <c r="N56" s="25" t="s">
        <v>524</v>
      </c>
      <c r="O56" s="25"/>
    </row>
    <row r="57" spans="1:15" x14ac:dyDescent="0.25">
      <c r="A57" s="27" t="s">
        <v>147</v>
      </c>
      <c r="B57" s="16" t="s">
        <v>406</v>
      </c>
      <c r="C57" s="16" t="s">
        <v>302</v>
      </c>
      <c r="D57" s="37">
        <v>1</v>
      </c>
      <c r="E57" s="41">
        <v>420</v>
      </c>
      <c r="F57" s="37">
        <v>4</v>
      </c>
      <c r="G57" s="41">
        <f>(420*4)</f>
        <v>1680</v>
      </c>
      <c r="H57" s="37">
        <v>0</v>
      </c>
      <c r="I57" s="41">
        <v>0</v>
      </c>
      <c r="J57" s="37">
        <f t="shared" si="2"/>
        <v>5</v>
      </c>
      <c r="K57" s="41">
        <f t="shared" si="5"/>
        <v>2100</v>
      </c>
      <c r="L57" s="41">
        <v>420</v>
      </c>
      <c r="M57" s="41">
        <f t="shared" si="4"/>
        <v>420</v>
      </c>
      <c r="N57" s="25"/>
      <c r="O57" s="25"/>
    </row>
    <row r="58" spans="1:15" x14ac:dyDescent="0.25">
      <c r="A58" s="18" t="s">
        <v>187</v>
      </c>
      <c r="B58" s="16" t="s">
        <v>407</v>
      </c>
      <c r="C58" s="16" t="s">
        <v>302</v>
      </c>
      <c r="D58" s="37">
        <v>0</v>
      </c>
      <c r="E58" s="41">
        <v>0</v>
      </c>
      <c r="F58" s="37">
        <v>0</v>
      </c>
      <c r="G58" s="41">
        <v>0</v>
      </c>
      <c r="H58" s="37">
        <v>0</v>
      </c>
      <c r="I58" s="41">
        <v>0</v>
      </c>
      <c r="J58" s="37">
        <v>0</v>
      </c>
      <c r="K58" s="41">
        <v>0</v>
      </c>
      <c r="L58" s="41">
        <v>0</v>
      </c>
      <c r="M58" s="41"/>
      <c r="N58" s="25"/>
      <c r="O58" s="25"/>
    </row>
    <row r="59" spans="1:15" x14ac:dyDescent="0.25">
      <c r="A59" s="18" t="s">
        <v>152</v>
      </c>
      <c r="B59" s="16" t="s">
        <v>408</v>
      </c>
      <c r="C59" s="16" t="s">
        <v>302</v>
      </c>
      <c r="D59" s="37">
        <v>0</v>
      </c>
      <c r="E59" s="41">
        <v>0</v>
      </c>
      <c r="F59" s="37">
        <v>0</v>
      </c>
      <c r="G59" s="41">
        <v>0</v>
      </c>
      <c r="H59" s="37">
        <v>0</v>
      </c>
      <c r="I59" s="41">
        <v>0</v>
      </c>
      <c r="J59" s="37">
        <v>0</v>
      </c>
      <c r="K59" s="41">
        <v>0</v>
      </c>
      <c r="L59" s="41">
        <v>0</v>
      </c>
      <c r="M59" s="41"/>
      <c r="N59" s="25"/>
      <c r="O59" s="25"/>
    </row>
    <row r="60" spans="1:15" x14ac:dyDescent="0.25">
      <c r="A60" s="18" t="s">
        <v>159</v>
      </c>
      <c r="B60" s="16" t="s">
        <v>408</v>
      </c>
      <c r="C60" s="16" t="s">
        <v>302</v>
      </c>
      <c r="D60" s="37">
        <v>0</v>
      </c>
      <c r="E60" s="41">
        <v>0</v>
      </c>
      <c r="F60" s="37">
        <v>0</v>
      </c>
      <c r="G60" s="41">
        <v>0</v>
      </c>
      <c r="H60" s="37">
        <v>0</v>
      </c>
      <c r="I60" s="41">
        <v>0</v>
      </c>
      <c r="J60" s="37">
        <v>0</v>
      </c>
      <c r="K60" s="41">
        <v>0</v>
      </c>
      <c r="L60" s="41">
        <v>0</v>
      </c>
      <c r="M60" s="41">
        <v>0</v>
      </c>
      <c r="N60" s="25"/>
      <c r="O60" s="25"/>
    </row>
    <row r="61" spans="1:15" x14ac:dyDescent="0.25">
      <c r="A61" s="18" t="s">
        <v>253</v>
      </c>
      <c r="B61" s="16" t="s">
        <v>408</v>
      </c>
      <c r="C61" s="16" t="s">
        <v>302</v>
      </c>
      <c r="D61" s="37">
        <v>0</v>
      </c>
      <c r="E61" s="41">
        <v>0</v>
      </c>
      <c r="F61" s="37">
        <v>0</v>
      </c>
      <c r="G61" s="41">
        <v>0</v>
      </c>
      <c r="H61" s="37">
        <v>0</v>
      </c>
      <c r="I61" s="41">
        <v>0</v>
      </c>
      <c r="J61" s="37">
        <v>0</v>
      </c>
      <c r="K61" s="41">
        <v>0</v>
      </c>
      <c r="L61" s="41">
        <v>0</v>
      </c>
      <c r="M61" s="41">
        <v>0</v>
      </c>
      <c r="N61" s="25"/>
      <c r="O61" s="25"/>
    </row>
    <row r="62" spans="1:15" x14ac:dyDescent="0.25">
      <c r="A62" s="18" t="s">
        <v>300</v>
      </c>
      <c r="B62" s="16" t="s">
        <v>405</v>
      </c>
      <c r="C62" s="16" t="s">
        <v>302</v>
      </c>
      <c r="J62" s="37">
        <v>5</v>
      </c>
      <c r="K62" s="41">
        <v>53378.85</v>
      </c>
      <c r="L62" s="41">
        <v>0</v>
      </c>
      <c r="M62" s="41">
        <f>SUM(K62/J62)</f>
        <v>10675.77</v>
      </c>
      <c r="N62" s="25"/>
      <c r="O62" s="25"/>
    </row>
    <row r="63" spans="1:15" x14ac:dyDescent="0.25">
      <c r="A63" s="18" t="s">
        <v>153</v>
      </c>
      <c r="B63" s="16" t="s">
        <v>405</v>
      </c>
      <c r="C63" s="16" t="s">
        <v>302</v>
      </c>
      <c r="D63" s="37">
        <v>0</v>
      </c>
      <c r="E63" s="41">
        <v>0</v>
      </c>
      <c r="F63" s="37">
        <v>0</v>
      </c>
      <c r="G63" s="41">
        <v>0</v>
      </c>
      <c r="H63" s="37">
        <v>0</v>
      </c>
      <c r="I63" s="41">
        <v>0</v>
      </c>
      <c r="J63" s="37">
        <v>0</v>
      </c>
      <c r="K63" s="41">
        <v>0</v>
      </c>
      <c r="L63" s="41">
        <v>0</v>
      </c>
      <c r="M63" s="41">
        <v>0</v>
      </c>
      <c r="N63" s="25"/>
      <c r="O63" s="25"/>
    </row>
    <row r="64" spans="1:15" x14ac:dyDescent="0.25">
      <c r="A64" s="18" t="s">
        <v>41</v>
      </c>
      <c r="B64" s="16" t="s">
        <v>405</v>
      </c>
      <c r="C64" s="16" t="s">
        <v>115</v>
      </c>
      <c r="D64" s="37">
        <v>0</v>
      </c>
      <c r="E64" s="41">
        <v>0</v>
      </c>
      <c r="F64" s="37">
        <v>0</v>
      </c>
      <c r="G64" s="41">
        <v>0</v>
      </c>
      <c r="H64" s="37">
        <v>0</v>
      </c>
      <c r="I64" s="41">
        <v>0</v>
      </c>
      <c r="J64" s="37">
        <v>0</v>
      </c>
      <c r="K64" s="41">
        <v>0</v>
      </c>
      <c r="L64" s="41">
        <v>0</v>
      </c>
      <c r="M64" s="41">
        <v>0</v>
      </c>
      <c r="N64" s="25" t="s">
        <v>438</v>
      </c>
      <c r="O64" s="25"/>
    </row>
    <row r="65" spans="1:15" x14ac:dyDescent="0.25">
      <c r="A65" s="18" t="s">
        <v>252</v>
      </c>
      <c r="B65" s="16" t="s">
        <v>405</v>
      </c>
      <c r="C65" s="16" t="s">
        <v>302</v>
      </c>
      <c r="D65" s="37">
        <v>0</v>
      </c>
      <c r="E65" s="41">
        <v>0</v>
      </c>
      <c r="F65" s="37">
        <v>0</v>
      </c>
      <c r="G65" s="41">
        <v>0</v>
      </c>
      <c r="H65" s="37">
        <v>0</v>
      </c>
      <c r="I65" s="41">
        <v>0</v>
      </c>
      <c r="J65" s="37">
        <v>0</v>
      </c>
      <c r="K65" s="41">
        <v>0</v>
      </c>
      <c r="L65" s="41">
        <v>0</v>
      </c>
      <c r="M65" s="41"/>
      <c r="N65" s="25"/>
      <c r="O65" s="25"/>
    </row>
    <row r="66" spans="1:15" x14ac:dyDescent="0.25">
      <c r="A66" s="18" t="s">
        <v>347</v>
      </c>
      <c r="B66" s="16" t="s">
        <v>339</v>
      </c>
      <c r="C66" s="16"/>
      <c r="D66" s="37">
        <v>0</v>
      </c>
      <c r="E66" s="41">
        <v>0</v>
      </c>
      <c r="F66" s="37">
        <v>0</v>
      </c>
      <c r="G66" s="41">
        <v>0</v>
      </c>
      <c r="H66" s="37">
        <v>0</v>
      </c>
      <c r="I66" s="41">
        <v>0</v>
      </c>
      <c r="J66" s="37">
        <v>0</v>
      </c>
      <c r="K66" s="41">
        <v>0</v>
      </c>
      <c r="L66" s="41">
        <v>0</v>
      </c>
      <c r="M66" s="41">
        <v>0</v>
      </c>
      <c r="N66" s="25"/>
      <c r="O66" s="25"/>
    </row>
    <row r="67" spans="1:15" x14ac:dyDescent="0.25">
      <c r="A67" s="18" t="s">
        <v>355</v>
      </c>
      <c r="B67" s="16" t="s">
        <v>349</v>
      </c>
      <c r="C67" s="16" t="s">
        <v>117</v>
      </c>
      <c r="D67" s="37">
        <v>0</v>
      </c>
      <c r="E67" s="41">
        <v>0</v>
      </c>
      <c r="F67" s="37">
        <v>0</v>
      </c>
      <c r="G67" s="41">
        <v>0</v>
      </c>
      <c r="H67" s="37">
        <v>0</v>
      </c>
      <c r="I67" s="41">
        <v>0</v>
      </c>
      <c r="J67" s="37">
        <v>0</v>
      </c>
      <c r="K67" s="41">
        <v>0</v>
      </c>
      <c r="L67" s="41">
        <v>0</v>
      </c>
      <c r="M67" s="41">
        <v>0</v>
      </c>
      <c r="N67" s="25"/>
      <c r="O67" s="25"/>
    </row>
    <row r="68" spans="1:15" x14ac:dyDescent="0.25">
      <c r="A68" s="18" t="s">
        <v>371</v>
      </c>
      <c r="B68" s="16" t="s">
        <v>349</v>
      </c>
      <c r="C68" s="16" t="s">
        <v>117</v>
      </c>
      <c r="D68" s="37">
        <v>0</v>
      </c>
      <c r="E68" s="41">
        <v>0</v>
      </c>
      <c r="F68" s="37">
        <v>0</v>
      </c>
      <c r="G68" s="41">
        <v>0</v>
      </c>
      <c r="H68" s="37">
        <v>0</v>
      </c>
      <c r="I68" s="41">
        <v>0</v>
      </c>
      <c r="J68" s="37">
        <v>0</v>
      </c>
      <c r="K68" s="41">
        <v>0</v>
      </c>
      <c r="L68" s="41">
        <v>0</v>
      </c>
      <c r="M68" s="41"/>
      <c r="N68" s="25"/>
      <c r="O68" s="25"/>
    </row>
    <row r="69" spans="1:15" x14ac:dyDescent="0.25">
      <c r="A69" s="18" t="s">
        <v>24</v>
      </c>
      <c r="B69" s="16" t="s">
        <v>349</v>
      </c>
      <c r="C69" s="16" t="s">
        <v>117</v>
      </c>
      <c r="D69" s="37">
        <v>0</v>
      </c>
      <c r="E69" s="41">
        <v>0</v>
      </c>
      <c r="F69" s="37">
        <v>0</v>
      </c>
      <c r="G69" s="41">
        <v>0</v>
      </c>
      <c r="H69" s="37">
        <v>0</v>
      </c>
      <c r="I69" s="41">
        <v>0</v>
      </c>
      <c r="J69" s="37">
        <v>0</v>
      </c>
      <c r="K69" s="41">
        <v>0</v>
      </c>
      <c r="L69" s="41">
        <v>0</v>
      </c>
      <c r="M69" s="41"/>
      <c r="N69" s="25"/>
      <c r="O69" s="25"/>
    </row>
    <row r="70" spans="1:15" x14ac:dyDescent="0.25">
      <c r="A70" s="18" t="s">
        <v>119</v>
      </c>
      <c r="B70" s="16" t="s">
        <v>404</v>
      </c>
      <c r="C70" s="16" t="s">
        <v>118</v>
      </c>
      <c r="D70" s="37">
        <v>0</v>
      </c>
      <c r="E70" s="41">
        <v>0</v>
      </c>
      <c r="F70" s="37">
        <v>0</v>
      </c>
      <c r="G70" s="41">
        <v>0</v>
      </c>
      <c r="H70" s="37">
        <v>0</v>
      </c>
      <c r="I70" s="41">
        <v>0</v>
      </c>
      <c r="J70" s="37">
        <v>0</v>
      </c>
      <c r="K70" s="41">
        <v>0</v>
      </c>
      <c r="L70" s="41">
        <v>0</v>
      </c>
      <c r="M70" s="41">
        <v>0</v>
      </c>
      <c r="N70" s="25" t="s">
        <v>474</v>
      </c>
      <c r="O70" s="25"/>
    </row>
    <row r="71" spans="1:15" x14ac:dyDescent="0.25">
      <c r="A71" s="27" t="s">
        <v>176</v>
      </c>
      <c r="B71" s="16" t="s">
        <v>404</v>
      </c>
      <c r="C71" s="16" t="s">
        <v>302</v>
      </c>
      <c r="D71" s="37">
        <v>0</v>
      </c>
      <c r="E71" s="41">
        <v>0</v>
      </c>
      <c r="F71" s="37">
        <v>0</v>
      </c>
      <c r="G71" s="41">
        <v>0</v>
      </c>
      <c r="H71" s="37">
        <v>0</v>
      </c>
      <c r="I71" s="41">
        <v>0</v>
      </c>
      <c r="J71" s="37">
        <v>0</v>
      </c>
      <c r="K71" s="41">
        <v>0</v>
      </c>
      <c r="L71" s="41">
        <v>0</v>
      </c>
      <c r="M71" s="41"/>
      <c r="N71" s="25" t="s">
        <v>438</v>
      </c>
      <c r="O71" s="25"/>
    </row>
    <row r="72" spans="1:15" x14ac:dyDescent="0.25">
      <c r="A72" s="27" t="s">
        <v>182</v>
      </c>
      <c r="B72" s="16" t="s">
        <v>404</v>
      </c>
      <c r="C72" s="16" t="s">
        <v>302</v>
      </c>
      <c r="D72" s="37">
        <v>0</v>
      </c>
      <c r="E72" s="41">
        <v>0</v>
      </c>
      <c r="F72" s="37">
        <v>0</v>
      </c>
      <c r="G72" s="41">
        <v>0</v>
      </c>
      <c r="H72" s="37">
        <v>0</v>
      </c>
      <c r="I72" s="41">
        <v>0</v>
      </c>
      <c r="J72" s="37">
        <v>0</v>
      </c>
      <c r="K72" s="41">
        <v>0</v>
      </c>
      <c r="L72" s="41">
        <v>0</v>
      </c>
      <c r="M72" s="41">
        <v>0</v>
      </c>
      <c r="N72" s="25"/>
      <c r="O72" s="25"/>
    </row>
    <row r="73" spans="1:15" x14ac:dyDescent="0.25">
      <c r="A73" s="18" t="s">
        <v>220</v>
      </c>
      <c r="B73" s="16" t="s">
        <v>404</v>
      </c>
      <c r="C73" s="16" t="s">
        <v>302</v>
      </c>
      <c r="D73" s="37">
        <v>0</v>
      </c>
      <c r="E73" s="41">
        <v>0</v>
      </c>
      <c r="F73" s="37">
        <v>0</v>
      </c>
      <c r="G73" s="41">
        <v>0</v>
      </c>
      <c r="H73" s="37">
        <v>0</v>
      </c>
      <c r="I73" s="41">
        <v>0</v>
      </c>
      <c r="J73" s="37">
        <v>0</v>
      </c>
      <c r="K73" s="41">
        <v>0</v>
      </c>
      <c r="L73" s="41">
        <v>0</v>
      </c>
      <c r="M73" s="41"/>
      <c r="N73" s="25"/>
      <c r="O73" s="25"/>
    </row>
    <row r="74" spans="1:15" x14ac:dyDescent="0.25">
      <c r="A74" s="18" t="s">
        <v>418</v>
      </c>
      <c r="B74" s="16" t="s">
        <v>404</v>
      </c>
      <c r="C74" s="16" t="s">
        <v>302</v>
      </c>
      <c r="D74" s="37">
        <v>0</v>
      </c>
      <c r="E74" s="41">
        <v>0</v>
      </c>
      <c r="F74" s="37">
        <v>0</v>
      </c>
      <c r="G74" s="41">
        <v>0</v>
      </c>
      <c r="H74" s="37">
        <v>0</v>
      </c>
      <c r="I74" s="41">
        <v>0</v>
      </c>
      <c r="J74" s="37">
        <v>0</v>
      </c>
      <c r="K74" s="41">
        <v>0</v>
      </c>
      <c r="L74" s="41">
        <v>0</v>
      </c>
      <c r="M74" s="41"/>
      <c r="N74" s="25" t="s">
        <v>492</v>
      </c>
      <c r="O74" s="25"/>
    </row>
    <row r="75" spans="1:15" x14ac:dyDescent="0.25">
      <c r="A75" s="18" t="s">
        <v>285</v>
      </c>
      <c r="B75" s="16" t="s">
        <v>404</v>
      </c>
      <c r="C75" s="16" t="s">
        <v>302</v>
      </c>
      <c r="D75" s="37">
        <v>0</v>
      </c>
      <c r="E75" s="41">
        <v>0</v>
      </c>
      <c r="F75" s="37">
        <v>0</v>
      </c>
      <c r="G75" s="41">
        <v>0</v>
      </c>
      <c r="H75" s="37">
        <v>0</v>
      </c>
      <c r="I75" s="41">
        <v>0</v>
      </c>
      <c r="J75" s="37">
        <v>0</v>
      </c>
      <c r="K75" s="41">
        <v>0</v>
      </c>
      <c r="L75" s="41">
        <v>0</v>
      </c>
      <c r="M75" s="41"/>
      <c r="N75" s="25" t="s">
        <v>485</v>
      </c>
      <c r="O75" s="25"/>
    </row>
    <row r="76" spans="1:15" x14ac:dyDescent="0.25">
      <c r="A76" s="18" t="s">
        <v>292</v>
      </c>
      <c r="B76" s="16" t="s">
        <v>404</v>
      </c>
      <c r="C76" s="16" t="s">
        <v>302</v>
      </c>
      <c r="D76" s="37">
        <v>0</v>
      </c>
      <c r="E76" s="41">
        <v>0</v>
      </c>
      <c r="F76" s="37">
        <v>0</v>
      </c>
      <c r="G76" s="41">
        <v>0</v>
      </c>
      <c r="H76" s="37">
        <v>0</v>
      </c>
      <c r="I76" s="41">
        <v>0</v>
      </c>
      <c r="J76" s="37">
        <v>0</v>
      </c>
      <c r="K76" s="41">
        <v>0</v>
      </c>
      <c r="L76" s="41">
        <v>0</v>
      </c>
      <c r="M76" s="41">
        <v>0</v>
      </c>
      <c r="N76" s="25"/>
      <c r="O76" s="25"/>
    </row>
    <row r="77" spans="1:15" x14ac:dyDescent="0.25">
      <c r="A77" s="18" t="s">
        <v>26</v>
      </c>
      <c r="B77" s="16" t="s">
        <v>404</v>
      </c>
      <c r="C77" s="16" t="s">
        <v>302</v>
      </c>
      <c r="D77" s="37">
        <v>0</v>
      </c>
      <c r="E77" s="41">
        <v>0</v>
      </c>
      <c r="F77" s="37">
        <v>0</v>
      </c>
      <c r="G77" s="41">
        <v>0</v>
      </c>
      <c r="H77" s="37">
        <v>0</v>
      </c>
      <c r="I77" s="41">
        <v>0</v>
      </c>
      <c r="J77" s="37">
        <v>0</v>
      </c>
      <c r="K77" s="41">
        <v>0</v>
      </c>
      <c r="L77" s="41">
        <v>0</v>
      </c>
      <c r="M77" s="41">
        <v>0</v>
      </c>
      <c r="N77" s="25"/>
      <c r="O77" s="25"/>
    </row>
    <row r="78" spans="1:15" x14ac:dyDescent="0.25">
      <c r="A78" s="18" t="s">
        <v>274</v>
      </c>
      <c r="B78" s="16" t="s">
        <v>412</v>
      </c>
      <c r="C78" s="16" t="s">
        <v>302</v>
      </c>
      <c r="D78" s="37">
        <v>0</v>
      </c>
      <c r="E78" s="41">
        <v>0</v>
      </c>
      <c r="F78" s="37">
        <v>0</v>
      </c>
      <c r="G78" s="41">
        <v>0</v>
      </c>
      <c r="H78" s="37">
        <v>0</v>
      </c>
      <c r="I78" s="41">
        <v>0</v>
      </c>
      <c r="J78" s="37">
        <v>0</v>
      </c>
      <c r="K78" s="41">
        <v>0</v>
      </c>
      <c r="L78" s="41">
        <v>0</v>
      </c>
      <c r="M78" s="41">
        <v>0</v>
      </c>
      <c r="N78" s="25"/>
      <c r="O78" s="25"/>
    </row>
    <row r="79" spans="1:15" x14ac:dyDescent="0.25">
      <c r="A79" s="18" t="s">
        <v>294</v>
      </c>
      <c r="B79" s="16" t="s">
        <v>412</v>
      </c>
      <c r="C79" s="16" t="s">
        <v>302</v>
      </c>
      <c r="D79" s="37">
        <v>0</v>
      </c>
      <c r="E79" s="41">
        <v>0</v>
      </c>
      <c r="F79" s="37">
        <v>0</v>
      </c>
      <c r="G79" s="41">
        <v>0</v>
      </c>
      <c r="H79" s="37">
        <v>0</v>
      </c>
      <c r="I79" s="41">
        <v>0</v>
      </c>
      <c r="J79" s="37">
        <v>0</v>
      </c>
      <c r="K79" s="41">
        <v>0</v>
      </c>
      <c r="L79" s="41">
        <v>0</v>
      </c>
      <c r="M79" s="41"/>
      <c r="N79" s="25" t="s">
        <v>511</v>
      </c>
      <c r="O79" s="25"/>
    </row>
    <row r="80" spans="1:15" x14ac:dyDescent="0.25">
      <c r="A80" s="18" t="s">
        <v>399</v>
      </c>
      <c r="B80" s="16" t="s">
        <v>381</v>
      </c>
      <c r="C80" s="16" t="s">
        <v>117</v>
      </c>
      <c r="D80" s="37">
        <v>0</v>
      </c>
      <c r="E80" s="41">
        <v>0</v>
      </c>
      <c r="F80" s="37">
        <v>0</v>
      </c>
      <c r="G80" s="41">
        <v>0</v>
      </c>
      <c r="H80" s="37">
        <v>0</v>
      </c>
      <c r="I80" s="41">
        <v>0</v>
      </c>
      <c r="J80" s="37">
        <v>0</v>
      </c>
      <c r="K80" s="41">
        <v>0</v>
      </c>
      <c r="L80" s="41">
        <v>0</v>
      </c>
      <c r="M80" s="41">
        <v>0</v>
      </c>
      <c r="N80" s="25"/>
      <c r="O80" s="25"/>
    </row>
    <row r="81" spans="1:15" x14ac:dyDescent="0.25">
      <c r="A81" s="18" t="s">
        <v>21</v>
      </c>
      <c r="B81" s="16" t="s">
        <v>413</v>
      </c>
      <c r="C81" s="16" t="s">
        <v>302</v>
      </c>
      <c r="D81" s="37">
        <v>3</v>
      </c>
      <c r="E81" s="41">
        <v>93000</v>
      </c>
      <c r="F81" s="37">
        <v>2</v>
      </c>
      <c r="G81" s="41">
        <v>73000</v>
      </c>
      <c r="H81" s="37">
        <v>2</v>
      </c>
      <c r="I81" s="41">
        <v>95000</v>
      </c>
      <c r="J81" s="37">
        <f>SUM(D81+F81+H81)</f>
        <v>7</v>
      </c>
      <c r="K81" s="41">
        <f>SUM(E81+G81+I81)</f>
        <v>261000</v>
      </c>
      <c r="L81" s="41">
        <v>0</v>
      </c>
      <c r="M81" s="41">
        <v>0</v>
      </c>
      <c r="N81" s="25" t="s">
        <v>495</v>
      </c>
      <c r="O81" s="25"/>
    </row>
    <row r="82" spans="1:15" x14ac:dyDescent="0.25">
      <c r="A82" s="18" t="s">
        <v>14</v>
      </c>
      <c r="B82" s="16" t="s">
        <v>410</v>
      </c>
      <c r="C82" s="16" t="s">
        <v>302</v>
      </c>
      <c r="D82" s="37">
        <v>0</v>
      </c>
      <c r="E82" s="41">
        <v>0</v>
      </c>
      <c r="F82" s="37">
        <v>0</v>
      </c>
      <c r="G82" s="41">
        <v>0</v>
      </c>
      <c r="H82" s="37">
        <v>0</v>
      </c>
      <c r="I82" s="41">
        <v>0</v>
      </c>
      <c r="J82" s="37">
        <v>0</v>
      </c>
      <c r="K82" s="41">
        <v>0</v>
      </c>
      <c r="L82" s="41">
        <v>0</v>
      </c>
      <c r="M82" s="41">
        <v>0</v>
      </c>
      <c r="N82" s="25" t="s">
        <v>523</v>
      </c>
      <c r="O82" s="26"/>
    </row>
    <row r="83" spans="1:15" x14ac:dyDescent="0.25">
      <c r="A83" s="18" t="s">
        <v>83</v>
      </c>
      <c r="B83" s="16" t="s">
        <v>407</v>
      </c>
      <c r="C83" s="16" t="s">
        <v>117</v>
      </c>
      <c r="D83" s="37">
        <v>16</v>
      </c>
      <c r="E83" s="41">
        <v>291093</v>
      </c>
      <c r="F83" s="37">
        <v>20</v>
      </c>
      <c r="G83" s="41">
        <v>281092</v>
      </c>
      <c r="H83" s="37">
        <v>3</v>
      </c>
      <c r="I83" s="41">
        <v>75371</v>
      </c>
      <c r="J83" s="37">
        <f>SUM(D83+F83+H83)</f>
        <v>39</v>
      </c>
      <c r="K83" s="41">
        <f>SUM(E83+G83+I83)</f>
        <v>647556</v>
      </c>
      <c r="M83" s="41">
        <f t="shared" ref="M83:M108" si="6">SUM(K83/J83)</f>
        <v>16604</v>
      </c>
      <c r="N83" s="25"/>
      <c r="O83" s="26"/>
    </row>
    <row r="84" spans="1:15" x14ac:dyDescent="0.25">
      <c r="A84" s="27" t="s">
        <v>89</v>
      </c>
      <c r="B84" s="16" t="s">
        <v>407</v>
      </c>
      <c r="C84" s="16" t="s">
        <v>117</v>
      </c>
      <c r="D84" s="37">
        <v>14</v>
      </c>
      <c r="F84" s="37">
        <v>14</v>
      </c>
      <c r="H84" s="37">
        <v>11</v>
      </c>
      <c r="J84" s="37">
        <f>SUM(D84+F84+H84)</f>
        <v>39</v>
      </c>
      <c r="K84" s="41">
        <v>447113</v>
      </c>
      <c r="M84" s="41">
        <f t="shared" si="6"/>
        <v>11464.435897435897</v>
      </c>
      <c r="N84" s="25"/>
      <c r="O84" s="25"/>
    </row>
    <row r="85" spans="1:15" x14ac:dyDescent="0.25">
      <c r="A85" s="27" t="s">
        <v>88</v>
      </c>
      <c r="B85" s="16" t="s">
        <v>407</v>
      </c>
      <c r="C85" s="16" t="s">
        <v>117</v>
      </c>
      <c r="D85" s="37">
        <v>18</v>
      </c>
      <c r="E85" s="41">
        <v>230900.11</v>
      </c>
      <c r="F85" s="37">
        <v>12</v>
      </c>
      <c r="G85" s="41">
        <v>100927.91</v>
      </c>
      <c r="H85" s="37">
        <v>3</v>
      </c>
      <c r="I85" s="41">
        <v>11322.17</v>
      </c>
      <c r="J85" s="37">
        <f>SUM(D85+F85+H85)</f>
        <v>33</v>
      </c>
      <c r="K85" s="41">
        <f>SUM(E85+G85+I85)</f>
        <v>343150.19</v>
      </c>
      <c r="M85" s="41">
        <f t="shared" si="6"/>
        <v>10398.490606060606</v>
      </c>
      <c r="N85" s="25"/>
      <c r="O85" s="25"/>
    </row>
    <row r="86" spans="1:15" x14ac:dyDescent="0.25">
      <c r="A86" s="27" t="s">
        <v>157</v>
      </c>
      <c r="B86" s="16" t="s">
        <v>407</v>
      </c>
      <c r="C86" s="16" t="s">
        <v>302</v>
      </c>
      <c r="D86" s="37">
        <v>5</v>
      </c>
      <c r="E86" s="41">
        <v>68417</v>
      </c>
      <c r="F86" s="37">
        <v>6</v>
      </c>
      <c r="G86" s="41">
        <v>100841</v>
      </c>
      <c r="H86" s="37">
        <v>4</v>
      </c>
      <c r="I86" s="41">
        <v>51663</v>
      </c>
      <c r="J86" s="37">
        <f>SUM(D86+F86+H86)</f>
        <v>15</v>
      </c>
      <c r="K86" s="41">
        <f>SUM(E86+G86+I86)</f>
        <v>220921</v>
      </c>
      <c r="M86" s="41">
        <f t="shared" si="6"/>
        <v>14728.066666666668</v>
      </c>
      <c r="N86" s="25" t="s">
        <v>561</v>
      </c>
      <c r="O86" s="48"/>
    </row>
    <row r="87" spans="1:15" x14ac:dyDescent="0.25">
      <c r="A87" s="18" t="s">
        <v>20</v>
      </c>
      <c r="B87" s="16" t="s">
        <v>407</v>
      </c>
      <c r="C87" s="16" t="s">
        <v>302</v>
      </c>
      <c r="D87" s="37">
        <v>1</v>
      </c>
      <c r="E87" s="41">
        <v>69087</v>
      </c>
      <c r="F87" s="37">
        <f>9+1</f>
        <v>10</v>
      </c>
      <c r="G87" s="41">
        <f>334000+23000</f>
        <v>357000</v>
      </c>
      <c r="H87" s="37">
        <v>3</v>
      </c>
      <c r="I87" s="41">
        <v>119000</v>
      </c>
      <c r="J87" s="37">
        <f>H87+F87+D87</f>
        <v>14</v>
      </c>
      <c r="K87" s="41">
        <f>E87+G87+I87</f>
        <v>545087</v>
      </c>
      <c r="M87" s="41">
        <f t="shared" si="6"/>
        <v>38934.785714285717</v>
      </c>
      <c r="N87" s="25"/>
      <c r="O87" s="25"/>
    </row>
    <row r="88" spans="1:15" x14ac:dyDescent="0.25">
      <c r="A88" s="18" t="s">
        <v>9</v>
      </c>
      <c r="B88" s="16" t="s">
        <v>407</v>
      </c>
      <c r="C88" s="16" t="s">
        <v>302</v>
      </c>
      <c r="D88" s="37">
        <v>4</v>
      </c>
      <c r="E88" s="41">
        <v>104722</v>
      </c>
      <c r="F88" s="37">
        <v>5</v>
      </c>
      <c r="G88" s="41">
        <v>53282</v>
      </c>
      <c r="H88" s="37">
        <v>5</v>
      </c>
      <c r="I88" s="41">
        <v>59000</v>
      </c>
      <c r="J88" s="37">
        <f>SUM(D88+F88+H88)</f>
        <v>14</v>
      </c>
      <c r="K88" s="41">
        <f>SUM(E88+G88+I88)</f>
        <v>217004</v>
      </c>
      <c r="M88" s="41">
        <f t="shared" si="6"/>
        <v>15500.285714285714</v>
      </c>
      <c r="N88" s="25"/>
      <c r="O88" s="25"/>
    </row>
    <row r="89" spans="1:15" x14ac:dyDescent="0.25">
      <c r="A89" s="27" t="s">
        <v>240</v>
      </c>
      <c r="B89" s="16" t="s">
        <v>407</v>
      </c>
      <c r="C89" s="16" t="s">
        <v>302</v>
      </c>
      <c r="D89" s="37">
        <v>3</v>
      </c>
      <c r="E89" s="41">
        <v>22900</v>
      </c>
      <c r="F89" s="37">
        <v>3</v>
      </c>
      <c r="G89" s="41">
        <v>17680</v>
      </c>
      <c r="H89" s="37">
        <v>3</v>
      </c>
      <c r="I89" s="41">
        <v>42250</v>
      </c>
      <c r="J89" s="37">
        <v>12</v>
      </c>
      <c r="K89" s="41">
        <f>SUM(E89+G89+I89)</f>
        <v>82830</v>
      </c>
      <c r="M89" s="41">
        <f t="shared" si="6"/>
        <v>6902.5</v>
      </c>
      <c r="N89" s="25" t="s">
        <v>437</v>
      </c>
      <c r="O89" s="25"/>
    </row>
    <row r="90" spans="1:15" x14ac:dyDescent="0.25">
      <c r="A90" s="18" t="s">
        <v>149</v>
      </c>
      <c r="B90" s="28" t="s">
        <v>407</v>
      </c>
      <c r="C90" s="28" t="s">
        <v>302</v>
      </c>
      <c r="D90" s="38">
        <v>2</v>
      </c>
      <c r="E90" s="42"/>
      <c r="F90" s="38">
        <v>7</v>
      </c>
      <c r="G90" s="42"/>
      <c r="H90" s="38">
        <v>2</v>
      </c>
      <c r="I90" s="42"/>
      <c r="J90" s="38">
        <v>11</v>
      </c>
      <c r="K90" s="42">
        <v>259415.11</v>
      </c>
      <c r="L90" s="42"/>
      <c r="M90" s="42">
        <f t="shared" si="6"/>
        <v>23583.191818181818</v>
      </c>
      <c r="N90" s="25" t="s">
        <v>524</v>
      </c>
      <c r="O90" s="25"/>
    </row>
    <row r="91" spans="1:15" x14ac:dyDescent="0.25">
      <c r="A91" s="18" t="s">
        <v>165</v>
      </c>
      <c r="B91" s="16" t="s">
        <v>407</v>
      </c>
      <c r="C91" s="16" t="s">
        <v>302</v>
      </c>
      <c r="D91" s="37">
        <v>5</v>
      </c>
      <c r="E91" s="41">
        <v>30976</v>
      </c>
      <c r="F91" s="37">
        <v>5</v>
      </c>
      <c r="G91" s="41">
        <v>68139</v>
      </c>
      <c r="H91" s="37">
        <v>0</v>
      </c>
      <c r="I91" s="41">
        <v>0</v>
      </c>
      <c r="J91" s="37">
        <f t="shared" ref="J91:K93" si="7">SUM(D91+F91+H91)</f>
        <v>10</v>
      </c>
      <c r="K91" s="41">
        <f t="shared" si="7"/>
        <v>99115</v>
      </c>
      <c r="M91" s="41">
        <f t="shared" si="6"/>
        <v>9911.5</v>
      </c>
      <c r="N91" s="25"/>
      <c r="O91" s="25"/>
    </row>
    <row r="92" spans="1:15" x14ac:dyDescent="0.25">
      <c r="A92" s="18" t="s">
        <v>181</v>
      </c>
      <c r="B92" s="16" t="s">
        <v>407</v>
      </c>
      <c r="C92" s="16" t="s">
        <v>302</v>
      </c>
      <c r="D92" s="37">
        <v>2</v>
      </c>
      <c r="E92" s="41">
        <v>8098.39</v>
      </c>
      <c r="F92" s="37">
        <v>7</v>
      </c>
      <c r="G92" s="41">
        <v>76959</v>
      </c>
      <c r="H92" s="37">
        <v>1</v>
      </c>
      <c r="I92" s="41">
        <v>2054.1</v>
      </c>
      <c r="J92" s="37">
        <f t="shared" si="7"/>
        <v>10</v>
      </c>
      <c r="K92" s="41">
        <f t="shared" si="7"/>
        <v>87111.49</v>
      </c>
      <c r="M92" s="41">
        <f t="shared" si="6"/>
        <v>8711.1490000000013</v>
      </c>
      <c r="N92" s="25"/>
      <c r="O92" s="25"/>
    </row>
    <row r="93" spans="1:15" x14ac:dyDescent="0.25">
      <c r="A93" s="18" t="s">
        <v>18</v>
      </c>
      <c r="B93" s="16" t="s">
        <v>407</v>
      </c>
      <c r="C93" s="16" t="s">
        <v>302</v>
      </c>
      <c r="D93" s="37">
        <v>3</v>
      </c>
      <c r="E93" s="41">
        <v>22900</v>
      </c>
      <c r="F93" s="37">
        <v>3</v>
      </c>
      <c r="G93" s="41">
        <v>17680</v>
      </c>
      <c r="H93" s="37">
        <v>3</v>
      </c>
      <c r="I93" s="41">
        <v>42250</v>
      </c>
      <c r="J93" s="37">
        <f t="shared" si="7"/>
        <v>9</v>
      </c>
      <c r="K93" s="41">
        <f t="shared" si="7"/>
        <v>82830</v>
      </c>
      <c r="M93" s="41">
        <f t="shared" si="6"/>
        <v>9203.3333333333339</v>
      </c>
      <c r="N93" s="25"/>
      <c r="O93" s="25"/>
    </row>
    <row r="94" spans="1:15" x14ac:dyDescent="0.25">
      <c r="A94" s="27" t="s">
        <v>200</v>
      </c>
      <c r="B94" s="16" t="s">
        <v>407</v>
      </c>
      <c r="C94" s="16" t="s">
        <v>302</v>
      </c>
      <c r="D94" s="37">
        <v>8</v>
      </c>
      <c r="E94" s="41">
        <v>25322.09</v>
      </c>
      <c r="F94" s="37">
        <v>0</v>
      </c>
      <c r="G94" s="41">
        <v>0</v>
      </c>
      <c r="H94" s="37">
        <v>1</v>
      </c>
      <c r="J94" s="37">
        <f t="shared" ref="J94:J103" si="8">SUM(D94+F94+H94)</f>
        <v>9</v>
      </c>
      <c r="K94" s="41">
        <v>25322.09</v>
      </c>
      <c r="M94" s="41">
        <f t="shared" si="6"/>
        <v>2813.5655555555554</v>
      </c>
      <c r="N94" s="25" t="s">
        <v>456</v>
      </c>
      <c r="O94" s="25"/>
    </row>
    <row r="95" spans="1:15" x14ac:dyDescent="0.25">
      <c r="A95" s="18" t="s">
        <v>25</v>
      </c>
      <c r="B95" s="25" t="s">
        <v>407</v>
      </c>
      <c r="C95" s="25" t="s">
        <v>302</v>
      </c>
      <c r="D95" s="37">
        <v>4</v>
      </c>
      <c r="E95" s="41">
        <f>12928+18000+25250+17176</f>
        <v>73354</v>
      </c>
      <c r="F95" s="37">
        <v>1</v>
      </c>
      <c r="G95" s="41">
        <v>28977</v>
      </c>
      <c r="H95" s="37">
        <v>2</v>
      </c>
      <c r="I95" s="41">
        <v>25863</v>
      </c>
      <c r="J95" s="37">
        <f t="shared" si="8"/>
        <v>7</v>
      </c>
      <c r="K95" s="41">
        <f>SUM(E95+G95+I95)</f>
        <v>128194</v>
      </c>
      <c r="M95" s="41">
        <f t="shared" si="6"/>
        <v>18313.428571428572</v>
      </c>
      <c r="N95" s="25"/>
      <c r="O95" s="25"/>
    </row>
    <row r="96" spans="1:15" x14ac:dyDescent="0.25">
      <c r="A96" s="27" t="s">
        <v>469</v>
      </c>
      <c r="B96" s="16" t="s">
        <v>407</v>
      </c>
      <c r="C96" s="16" t="s">
        <v>302</v>
      </c>
      <c r="D96" s="37">
        <v>2</v>
      </c>
      <c r="E96" s="41">
        <v>43905.78</v>
      </c>
      <c r="F96" s="37">
        <v>1</v>
      </c>
      <c r="G96" s="41">
        <v>7099.2</v>
      </c>
      <c r="H96" s="37">
        <v>4</v>
      </c>
      <c r="I96" s="41">
        <v>50530.32</v>
      </c>
      <c r="J96" s="37">
        <f t="shared" si="8"/>
        <v>7</v>
      </c>
      <c r="K96" s="41">
        <f>SUM(E96+G96+I96)</f>
        <v>101535.29999999999</v>
      </c>
      <c r="M96" s="41">
        <f t="shared" si="6"/>
        <v>14505.042857142855</v>
      </c>
      <c r="N96" s="25"/>
      <c r="O96" s="25"/>
    </row>
    <row r="97" spans="1:15" x14ac:dyDescent="0.25">
      <c r="A97" s="27" t="s">
        <v>17</v>
      </c>
      <c r="B97" s="16" t="s">
        <v>407</v>
      </c>
      <c r="C97" s="16" t="s">
        <v>302</v>
      </c>
      <c r="D97" s="37">
        <v>0</v>
      </c>
      <c r="E97" s="41">
        <v>0</v>
      </c>
      <c r="F97" s="37">
        <v>2</v>
      </c>
      <c r="G97" s="41">
        <v>24400</v>
      </c>
      <c r="H97" s="37">
        <v>4</v>
      </c>
      <c r="I97" s="41">
        <v>21301</v>
      </c>
      <c r="J97" s="37">
        <f t="shared" si="8"/>
        <v>6</v>
      </c>
      <c r="K97" s="41">
        <f>SUM(E97+G97+I97)</f>
        <v>45701</v>
      </c>
      <c r="M97" s="41">
        <f t="shared" si="6"/>
        <v>7616.833333333333</v>
      </c>
      <c r="N97" s="25"/>
      <c r="O97" s="25"/>
    </row>
    <row r="98" spans="1:15" x14ac:dyDescent="0.25">
      <c r="A98" s="18" t="s">
        <v>244</v>
      </c>
      <c r="B98" s="16" t="s">
        <v>407</v>
      </c>
      <c r="C98" s="16" t="s">
        <v>302</v>
      </c>
      <c r="D98" s="37">
        <v>1</v>
      </c>
      <c r="E98" s="41">
        <v>41101.78</v>
      </c>
      <c r="F98" s="37">
        <v>1</v>
      </c>
      <c r="G98" s="41">
        <v>20852</v>
      </c>
      <c r="H98" s="37">
        <v>3</v>
      </c>
      <c r="I98" s="41">
        <v>132597.79999999999</v>
      </c>
      <c r="J98" s="37">
        <f t="shared" si="8"/>
        <v>5</v>
      </c>
      <c r="K98" s="41">
        <f>SUM(E98+G98+I98)</f>
        <v>194551.58</v>
      </c>
      <c r="M98" s="41">
        <f t="shared" si="6"/>
        <v>38910.315999999999</v>
      </c>
      <c r="N98" s="25" t="s">
        <v>536</v>
      </c>
      <c r="O98" s="25"/>
    </row>
    <row r="99" spans="1:15" x14ac:dyDescent="0.25">
      <c r="A99" s="18" t="s">
        <v>156</v>
      </c>
      <c r="B99" s="16" t="s">
        <v>407</v>
      </c>
      <c r="C99" s="16" t="s">
        <v>302</v>
      </c>
      <c r="D99" s="37">
        <v>1</v>
      </c>
      <c r="F99" s="37">
        <v>2</v>
      </c>
      <c r="H99" s="37">
        <v>2</v>
      </c>
      <c r="J99" s="37">
        <f t="shared" si="8"/>
        <v>5</v>
      </c>
      <c r="K99" s="41">
        <v>59431.97</v>
      </c>
      <c r="M99" s="41">
        <f t="shared" si="6"/>
        <v>11886.394</v>
      </c>
      <c r="N99" s="25" t="s">
        <v>444</v>
      </c>
      <c r="O99" s="25"/>
    </row>
    <row r="100" spans="1:15" x14ac:dyDescent="0.25">
      <c r="A100" s="18" t="s">
        <v>212</v>
      </c>
      <c r="B100" s="16" t="s">
        <v>407</v>
      </c>
      <c r="C100" s="16" t="s">
        <v>302</v>
      </c>
      <c r="D100" s="37">
        <v>2</v>
      </c>
      <c r="E100" s="41">
        <v>9020.44</v>
      </c>
      <c r="F100" s="37">
        <v>2</v>
      </c>
      <c r="G100" s="41">
        <v>39970.43</v>
      </c>
      <c r="H100" s="37">
        <v>0</v>
      </c>
      <c r="I100" s="41">
        <v>0</v>
      </c>
      <c r="J100" s="37">
        <f t="shared" si="8"/>
        <v>4</v>
      </c>
      <c r="K100" s="41">
        <f>SUM(E100+G100+I100)</f>
        <v>48990.87</v>
      </c>
      <c r="M100" s="41">
        <f t="shared" si="6"/>
        <v>12247.717500000001</v>
      </c>
      <c r="N100" s="25"/>
      <c r="O100" s="25"/>
    </row>
    <row r="101" spans="1:15" x14ac:dyDescent="0.25">
      <c r="A101" s="18" t="s">
        <v>158</v>
      </c>
      <c r="B101" s="16" t="s">
        <v>407</v>
      </c>
      <c r="C101" s="16" t="s">
        <v>302</v>
      </c>
      <c r="D101" s="37">
        <v>2</v>
      </c>
      <c r="E101" s="41">
        <v>17500</v>
      </c>
      <c r="F101" s="37">
        <v>0</v>
      </c>
      <c r="G101" s="41">
        <v>0</v>
      </c>
      <c r="H101" s="37">
        <v>2</v>
      </c>
      <c r="I101" s="41">
        <v>9391.26</v>
      </c>
      <c r="J101" s="37">
        <f t="shared" si="8"/>
        <v>4</v>
      </c>
      <c r="K101" s="41">
        <f>SUM(E101+G101+I101)</f>
        <v>26891.260000000002</v>
      </c>
      <c r="M101" s="41">
        <f t="shared" si="6"/>
        <v>6722.8150000000005</v>
      </c>
      <c r="N101" s="25"/>
      <c r="O101" s="25"/>
    </row>
    <row r="102" spans="1:15" x14ac:dyDescent="0.25">
      <c r="A102" s="18" t="s">
        <v>218</v>
      </c>
      <c r="B102" s="16" t="s">
        <v>407</v>
      </c>
      <c r="C102" s="16" t="s">
        <v>302</v>
      </c>
      <c r="D102" s="37">
        <v>0</v>
      </c>
      <c r="E102" s="41">
        <v>0</v>
      </c>
      <c r="F102" s="37">
        <v>0</v>
      </c>
      <c r="G102" s="41">
        <v>0</v>
      </c>
      <c r="H102" s="37">
        <v>3</v>
      </c>
      <c r="I102" s="41">
        <v>106894</v>
      </c>
      <c r="J102" s="37">
        <f t="shared" si="8"/>
        <v>3</v>
      </c>
      <c r="K102" s="41">
        <f>SUM(E102+G102+I102)</f>
        <v>106894</v>
      </c>
      <c r="M102" s="41">
        <f t="shared" si="6"/>
        <v>35631.333333333336</v>
      </c>
      <c r="N102" s="25"/>
      <c r="O102" s="25"/>
    </row>
    <row r="103" spans="1:15" x14ac:dyDescent="0.25">
      <c r="A103" s="18" t="s">
        <v>155</v>
      </c>
      <c r="B103" s="16" t="s">
        <v>407</v>
      </c>
      <c r="C103" s="16" t="s">
        <v>302</v>
      </c>
      <c r="D103" s="37">
        <v>2</v>
      </c>
      <c r="E103" s="41">
        <v>14354</v>
      </c>
      <c r="F103" s="37">
        <v>1</v>
      </c>
      <c r="G103" s="41">
        <v>25601</v>
      </c>
      <c r="H103" s="37">
        <v>0</v>
      </c>
      <c r="I103" s="41">
        <v>0</v>
      </c>
      <c r="J103" s="37">
        <f t="shared" si="8"/>
        <v>3</v>
      </c>
      <c r="K103" s="41">
        <f>SUM(E103+G103+I103)</f>
        <v>39955</v>
      </c>
      <c r="M103" s="41">
        <f t="shared" si="6"/>
        <v>13318.333333333334</v>
      </c>
      <c r="N103" s="25"/>
      <c r="O103" s="25"/>
    </row>
    <row r="104" spans="1:15" x14ac:dyDescent="0.25">
      <c r="A104" s="18" t="s">
        <v>231</v>
      </c>
      <c r="B104" s="16" t="s">
        <v>407</v>
      </c>
      <c r="C104" s="16" t="s">
        <v>302</v>
      </c>
      <c r="J104" s="37">
        <v>3</v>
      </c>
      <c r="K104" s="41">
        <v>38493.39</v>
      </c>
      <c r="M104" s="41">
        <f t="shared" si="6"/>
        <v>12831.13</v>
      </c>
      <c r="N104" s="25"/>
      <c r="O104" s="25"/>
    </row>
    <row r="105" spans="1:15" x14ac:dyDescent="0.25">
      <c r="A105" s="18" t="s">
        <v>175</v>
      </c>
      <c r="B105" s="16" t="s">
        <v>407</v>
      </c>
      <c r="C105" s="16" t="s">
        <v>302</v>
      </c>
      <c r="D105" s="37">
        <v>1</v>
      </c>
      <c r="E105" s="41">
        <v>9812</v>
      </c>
      <c r="F105" s="37">
        <v>1</v>
      </c>
      <c r="G105" s="41">
        <v>1000</v>
      </c>
      <c r="H105" s="37">
        <v>1</v>
      </c>
      <c r="I105" s="41">
        <v>1500</v>
      </c>
      <c r="J105" s="37">
        <f t="shared" ref="J105:K108" si="9">SUM(D105+F105+H105)</f>
        <v>3</v>
      </c>
      <c r="K105" s="41">
        <f t="shared" si="9"/>
        <v>12312</v>
      </c>
      <c r="M105" s="41">
        <f t="shared" si="6"/>
        <v>4104</v>
      </c>
      <c r="N105" s="25" t="s">
        <v>462</v>
      </c>
      <c r="O105" s="25"/>
    </row>
    <row r="106" spans="1:15" x14ac:dyDescent="0.25">
      <c r="A106" s="18" t="s">
        <v>10</v>
      </c>
      <c r="B106" s="16" t="s">
        <v>407</v>
      </c>
      <c r="C106" s="16" t="s">
        <v>302</v>
      </c>
      <c r="D106" s="37">
        <v>2</v>
      </c>
      <c r="E106" s="41">
        <v>40251</v>
      </c>
      <c r="F106" s="37">
        <v>0</v>
      </c>
      <c r="G106" s="41">
        <v>0</v>
      </c>
      <c r="H106" s="37">
        <v>0</v>
      </c>
      <c r="I106" s="41">
        <v>0</v>
      </c>
      <c r="J106" s="37">
        <f t="shared" si="9"/>
        <v>2</v>
      </c>
      <c r="K106" s="41">
        <f t="shared" si="9"/>
        <v>40251</v>
      </c>
      <c r="M106" s="41">
        <f t="shared" si="6"/>
        <v>20125.5</v>
      </c>
      <c r="N106" s="25" t="s">
        <v>501</v>
      </c>
      <c r="O106" s="25"/>
    </row>
    <row r="107" spans="1:15" x14ac:dyDescent="0.25">
      <c r="A107" s="18" t="s">
        <v>247</v>
      </c>
      <c r="B107" s="25" t="s">
        <v>407</v>
      </c>
      <c r="C107" s="25" t="s">
        <v>302</v>
      </c>
      <c r="D107" s="37">
        <v>0</v>
      </c>
      <c r="E107" s="41">
        <v>0</v>
      </c>
      <c r="F107" s="37">
        <v>0</v>
      </c>
      <c r="G107" s="41">
        <v>0</v>
      </c>
      <c r="H107" s="37">
        <v>1</v>
      </c>
      <c r="I107" s="41">
        <v>17092.25</v>
      </c>
      <c r="J107" s="37">
        <f t="shared" si="9"/>
        <v>1</v>
      </c>
      <c r="K107" s="41">
        <f t="shared" si="9"/>
        <v>17092.25</v>
      </c>
      <c r="M107" s="41">
        <f t="shared" si="6"/>
        <v>17092.25</v>
      </c>
      <c r="N107" s="25"/>
      <c r="O107" s="25"/>
    </row>
    <row r="108" spans="1:15" x14ac:dyDescent="0.25">
      <c r="A108" s="18" t="s">
        <v>4</v>
      </c>
      <c r="B108" s="16" t="s">
        <v>407</v>
      </c>
      <c r="C108" s="16" t="s">
        <v>302</v>
      </c>
      <c r="D108" s="37">
        <v>0</v>
      </c>
      <c r="E108" s="41">
        <v>0</v>
      </c>
      <c r="F108" s="37">
        <v>1</v>
      </c>
      <c r="G108" s="41">
        <v>987</v>
      </c>
      <c r="H108" s="37">
        <v>0</v>
      </c>
      <c r="I108" s="41">
        <v>0</v>
      </c>
      <c r="J108" s="37">
        <f t="shared" si="9"/>
        <v>1</v>
      </c>
      <c r="K108" s="41">
        <f t="shared" si="9"/>
        <v>987</v>
      </c>
      <c r="M108" s="41">
        <f t="shared" si="6"/>
        <v>987</v>
      </c>
      <c r="N108" s="25"/>
      <c r="O108" s="25"/>
    </row>
    <row r="109" spans="1:15" x14ac:dyDescent="0.25">
      <c r="A109" s="18" t="s">
        <v>23</v>
      </c>
      <c r="B109" s="16" t="s">
        <v>407</v>
      </c>
      <c r="C109" s="16" t="s">
        <v>302</v>
      </c>
      <c r="D109" s="37">
        <v>0</v>
      </c>
      <c r="E109" s="41">
        <v>0</v>
      </c>
      <c r="F109" s="37">
        <v>0</v>
      </c>
      <c r="G109" s="41">
        <v>0</v>
      </c>
      <c r="H109" s="37">
        <v>0</v>
      </c>
      <c r="I109" s="41">
        <v>0</v>
      </c>
      <c r="J109" s="37">
        <v>0</v>
      </c>
      <c r="K109" s="41">
        <v>0</v>
      </c>
      <c r="M109" s="41"/>
      <c r="N109" s="25"/>
      <c r="O109" s="25"/>
    </row>
    <row r="110" spans="1:15" x14ac:dyDescent="0.25">
      <c r="A110" s="27" t="s">
        <v>191</v>
      </c>
      <c r="B110" s="16" t="s">
        <v>407</v>
      </c>
      <c r="C110" s="16" t="s">
        <v>302</v>
      </c>
      <c r="M110" s="41"/>
      <c r="N110" s="25" t="s">
        <v>554</v>
      </c>
      <c r="O110" s="25"/>
    </row>
    <row r="111" spans="1:15" x14ac:dyDescent="0.25">
      <c r="A111" s="27" t="s">
        <v>417</v>
      </c>
      <c r="B111" s="16" t="s">
        <v>407</v>
      </c>
      <c r="C111" s="16" t="s">
        <v>302</v>
      </c>
      <c r="M111" s="41"/>
      <c r="N111" s="25" t="s">
        <v>500</v>
      </c>
      <c r="O111" s="25"/>
    </row>
    <row r="112" spans="1:15" x14ac:dyDescent="0.25">
      <c r="A112" s="18" t="s">
        <v>120</v>
      </c>
      <c r="B112" s="16" t="s">
        <v>408</v>
      </c>
      <c r="C112" s="16" t="s">
        <v>118</v>
      </c>
      <c r="D112" s="37">
        <v>11</v>
      </c>
      <c r="E112" s="41">
        <v>88811</v>
      </c>
      <c r="F112" s="37">
        <v>11</v>
      </c>
      <c r="G112" s="41">
        <v>161263.79999999999</v>
      </c>
      <c r="H112" s="37">
        <v>18</v>
      </c>
      <c r="I112" s="41">
        <v>167082</v>
      </c>
      <c r="J112" s="37">
        <f t="shared" ref="J112:J124" si="10">SUM(D112+F112+H112)</f>
        <v>40</v>
      </c>
      <c r="K112" s="41">
        <f t="shared" ref="K112:K124" si="11">SUM(E112+G112+I112)</f>
        <v>417156.8</v>
      </c>
      <c r="M112" s="41">
        <f t="shared" ref="M112:M135" si="12">SUM(K112/J112)</f>
        <v>10428.92</v>
      </c>
      <c r="N112" s="25"/>
      <c r="O112" s="25"/>
    </row>
    <row r="113" spans="1:15" x14ac:dyDescent="0.25">
      <c r="A113" s="18" t="s">
        <v>140</v>
      </c>
      <c r="B113" s="16" t="s">
        <v>408</v>
      </c>
      <c r="C113" s="16" t="s">
        <v>118</v>
      </c>
      <c r="D113" s="37">
        <v>11</v>
      </c>
      <c r="E113" s="41">
        <v>187878.91</v>
      </c>
      <c r="F113" s="37">
        <v>10</v>
      </c>
      <c r="G113" s="41">
        <v>183886.82</v>
      </c>
      <c r="H113" s="37">
        <v>8</v>
      </c>
      <c r="I113" s="41">
        <v>237891.32</v>
      </c>
      <c r="J113" s="37">
        <f t="shared" si="10"/>
        <v>29</v>
      </c>
      <c r="K113" s="41">
        <f t="shared" si="11"/>
        <v>609657.05000000005</v>
      </c>
      <c r="M113" s="41">
        <f t="shared" si="12"/>
        <v>21022.656896551725</v>
      </c>
      <c r="N113" s="25" t="s">
        <v>539</v>
      </c>
      <c r="O113" s="25"/>
    </row>
    <row r="114" spans="1:15" x14ac:dyDescent="0.25">
      <c r="A114" s="27" t="s">
        <v>106</v>
      </c>
      <c r="B114" s="25" t="s">
        <v>408</v>
      </c>
      <c r="C114" s="25" t="s">
        <v>117</v>
      </c>
      <c r="D114" s="37">
        <v>21</v>
      </c>
      <c r="E114" s="41">
        <v>314755</v>
      </c>
      <c r="F114" s="37">
        <v>8</v>
      </c>
      <c r="H114" s="37">
        <v>0</v>
      </c>
      <c r="I114" s="41">
        <v>0</v>
      </c>
      <c r="J114" s="37">
        <f t="shared" si="10"/>
        <v>29</v>
      </c>
      <c r="K114" s="41">
        <f t="shared" si="11"/>
        <v>314755</v>
      </c>
      <c r="M114" s="41">
        <f t="shared" si="12"/>
        <v>10853.620689655172</v>
      </c>
      <c r="N114" s="25"/>
      <c r="O114" s="25"/>
    </row>
    <row r="115" spans="1:15" x14ac:dyDescent="0.25">
      <c r="A115" s="18" t="s">
        <v>154</v>
      </c>
      <c r="B115" s="25" t="s">
        <v>408</v>
      </c>
      <c r="C115" s="25" t="s">
        <v>302</v>
      </c>
      <c r="D115" s="37">
        <v>3</v>
      </c>
      <c r="E115" s="41">
        <v>6163</v>
      </c>
      <c r="F115" s="37">
        <v>22</v>
      </c>
      <c r="G115" s="41">
        <v>132133</v>
      </c>
      <c r="H115" s="37">
        <v>4</v>
      </c>
      <c r="I115" s="41">
        <v>28626</v>
      </c>
      <c r="J115" s="37">
        <f t="shared" si="10"/>
        <v>29</v>
      </c>
      <c r="K115" s="41">
        <f t="shared" si="11"/>
        <v>166922</v>
      </c>
      <c r="M115" s="41">
        <f t="shared" si="12"/>
        <v>5755.9310344827591</v>
      </c>
      <c r="N115" s="25" t="s">
        <v>447</v>
      </c>
      <c r="O115" s="25"/>
    </row>
    <row r="116" spans="1:15" x14ac:dyDescent="0.25">
      <c r="A116" s="18" t="s">
        <v>133</v>
      </c>
      <c r="B116" s="25" t="s">
        <v>408</v>
      </c>
      <c r="C116" s="25" t="s">
        <v>118</v>
      </c>
      <c r="D116" s="37">
        <v>8</v>
      </c>
      <c r="E116" s="41">
        <v>265027</v>
      </c>
      <c r="F116" s="37">
        <v>12</v>
      </c>
      <c r="G116" s="41">
        <v>191507</v>
      </c>
      <c r="H116" s="37">
        <v>3</v>
      </c>
      <c r="I116" s="41">
        <v>49472</v>
      </c>
      <c r="J116" s="37">
        <f t="shared" si="10"/>
        <v>23</v>
      </c>
      <c r="K116" s="41">
        <f t="shared" si="11"/>
        <v>506006</v>
      </c>
      <c r="M116" s="41">
        <f t="shared" si="12"/>
        <v>22000.260869565216</v>
      </c>
      <c r="N116" s="25"/>
      <c r="O116" s="25"/>
    </row>
    <row r="117" spans="1:15" x14ac:dyDescent="0.25">
      <c r="A117" s="18" t="s">
        <v>71</v>
      </c>
      <c r="B117" s="16" t="s">
        <v>408</v>
      </c>
      <c r="C117" s="16" t="s">
        <v>117</v>
      </c>
      <c r="D117" s="37">
        <v>9</v>
      </c>
      <c r="E117" s="41">
        <v>107012.37</v>
      </c>
      <c r="F117" s="37">
        <v>7</v>
      </c>
      <c r="G117" s="41">
        <v>142463.09</v>
      </c>
      <c r="H117" s="37">
        <v>6</v>
      </c>
      <c r="I117" s="41">
        <v>60506.9</v>
      </c>
      <c r="J117" s="37">
        <f t="shared" si="10"/>
        <v>22</v>
      </c>
      <c r="K117" s="41">
        <f t="shared" si="11"/>
        <v>309982.36</v>
      </c>
      <c r="M117" s="41">
        <f t="shared" si="12"/>
        <v>14090.107272727271</v>
      </c>
      <c r="N117" s="25" t="s">
        <v>452</v>
      </c>
      <c r="O117" s="25"/>
    </row>
    <row r="118" spans="1:15" x14ac:dyDescent="0.25">
      <c r="A118" s="27" t="s">
        <v>125</v>
      </c>
      <c r="B118" s="16" t="s">
        <v>408</v>
      </c>
      <c r="C118" s="16" t="s">
        <v>118</v>
      </c>
      <c r="D118" s="37">
        <v>7</v>
      </c>
      <c r="E118" s="41">
        <v>152126</v>
      </c>
      <c r="F118" s="37">
        <v>8</v>
      </c>
      <c r="G118" s="41">
        <v>150320.47</v>
      </c>
      <c r="H118" s="37">
        <v>5</v>
      </c>
      <c r="I118" s="41">
        <v>65146.93</v>
      </c>
      <c r="J118" s="37">
        <f t="shared" si="10"/>
        <v>20</v>
      </c>
      <c r="K118" s="41">
        <f t="shared" si="11"/>
        <v>367593.39999999997</v>
      </c>
      <c r="M118" s="41">
        <f t="shared" si="12"/>
        <v>18379.669999999998</v>
      </c>
      <c r="N118" s="25"/>
      <c r="O118" s="25"/>
    </row>
    <row r="119" spans="1:15" x14ac:dyDescent="0.25">
      <c r="A119" s="18" t="s">
        <v>128</v>
      </c>
      <c r="B119" s="16" t="s">
        <v>408</v>
      </c>
      <c r="C119" s="16" t="s">
        <v>118</v>
      </c>
      <c r="D119" s="37">
        <v>6</v>
      </c>
      <c r="E119" s="41">
        <v>56239.9</v>
      </c>
      <c r="F119" s="37">
        <v>7</v>
      </c>
      <c r="G119" s="41">
        <v>25259.09</v>
      </c>
      <c r="H119" s="37">
        <v>7</v>
      </c>
      <c r="I119" s="41">
        <v>67718.17</v>
      </c>
      <c r="J119" s="37">
        <f t="shared" si="10"/>
        <v>20</v>
      </c>
      <c r="K119" s="41">
        <f t="shared" si="11"/>
        <v>149217.16</v>
      </c>
      <c r="M119" s="41">
        <f t="shared" si="12"/>
        <v>7460.8580000000002</v>
      </c>
      <c r="N119" s="25"/>
      <c r="O119" s="25"/>
    </row>
    <row r="120" spans="1:15" x14ac:dyDescent="0.25">
      <c r="A120" s="27" t="s">
        <v>293</v>
      </c>
      <c r="B120" s="25" t="s">
        <v>408</v>
      </c>
      <c r="C120" s="25" t="s">
        <v>302</v>
      </c>
      <c r="D120" s="37">
        <v>8</v>
      </c>
      <c r="E120" s="41">
        <v>368618.89</v>
      </c>
      <c r="F120" s="37">
        <v>3</v>
      </c>
      <c r="G120" s="41">
        <v>36303.72</v>
      </c>
      <c r="H120" s="37">
        <v>7</v>
      </c>
      <c r="I120" s="41">
        <v>82227.960000000006</v>
      </c>
      <c r="J120" s="37">
        <f t="shared" si="10"/>
        <v>18</v>
      </c>
      <c r="K120" s="41">
        <f t="shared" si="11"/>
        <v>487150.57</v>
      </c>
      <c r="M120" s="41">
        <f t="shared" si="12"/>
        <v>27063.920555555556</v>
      </c>
      <c r="N120" s="25"/>
      <c r="O120" s="25"/>
    </row>
    <row r="121" spans="1:15" x14ac:dyDescent="0.25">
      <c r="A121" s="18" t="s">
        <v>65</v>
      </c>
      <c r="B121" s="16" t="s">
        <v>408</v>
      </c>
      <c r="C121" s="16" t="s">
        <v>117</v>
      </c>
      <c r="D121" s="37">
        <v>7</v>
      </c>
      <c r="E121" s="41">
        <f>(14000+664.17)</f>
        <v>14664.17</v>
      </c>
      <c r="F121" s="37">
        <v>5</v>
      </c>
      <c r="G121" s="41">
        <v>1017.27</v>
      </c>
      <c r="H121" s="37">
        <v>5</v>
      </c>
      <c r="I121" s="41">
        <f>7995+26673.37</f>
        <v>34668.369999999995</v>
      </c>
      <c r="J121" s="37">
        <f t="shared" si="10"/>
        <v>17</v>
      </c>
      <c r="K121" s="41">
        <f t="shared" si="11"/>
        <v>50349.81</v>
      </c>
      <c r="M121" s="41">
        <f t="shared" si="12"/>
        <v>2961.7535294117647</v>
      </c>
      <c r="N121" s="25"/>
      <c r="O121" s="25"/>
    </row>
    <row r="122" spans="1:15" x14ac:dyDescent="0.25">
      <c r="A122" s="18" t="s">
        <v>92</v>
      </c>
      <c r="B122" s="16" t="s">
        <v>408</v>
      </c>
      <c r="C122" s="16" t="s">
        <v>117</v>
      </c>
      <c r="D122" s="37">
        <v>9</v>
      </c>
      <c r="E122" s="41">
        <v>98340.04</v>
      </c>
      <c r="F122" s="37">
        <v>3</v>
      </c>
      <c r="G122" s="41">
        <v>76604.63</v>
      </c>
      <c r="H122" s="37">
        <v>4</v>
      </c>
      <c r="I122" s="41">
        <v>75792.320000000007</v>
      </c>
      <c r="J122" s="37">
        <f t="shared" si="10"/>
        <v>16</v>
      </c>
      <c r="K122" s="41">
        <f t="shared" si="11"/>
        <v>250736.99</v>
      </c>
      <c r="M122" s="41">
        <f t="shared" si="12"/>
        <v>15671.061874999999</v>
      </c>
      <c r="N122" s="25"/>
      <c r="O122" s="25"/>
    </row>
    <row r="123" spans="1:15" x14ac:dyDescent="0.25">
      <c r="A123" s="18" t="s">
        <v>198</v>
      </c>
      <c r="B123" s="16" t="s">
        <v>408</v>
      </c>
      <c r="C123" s="16" t="s">
        <v>302</v>
      </c>
      <c r="D123" s="37">
        <v>3</v>
      </c>
      <c r="E123" s="41">
        <v>40532.75</v>
      </c>
      <c r="F123" s="37">
        <v>6</v>
      </c>
      <c r="G123" s="41">
        <v>81000</v>
      </c>
      <c r="H123" s="37">
        <v>5</v>
      </c>
      <c r="I123" s="41">
        <v>211282.97</v>
      </c>
      <c r="J123" s="37">
        <f t="shared" si="10"/>
        <v>14</v>
      </c>
      <c r="K123" s="41">
        <f t="shared" si="11"/>
        <v>332815.71999999997</v>
      </c>
      <c r="M123" s="41">
        <f t="shared" si="12"/>
        <v>23772.551428571427</v>
      </c>
      <c r="N123" s="25"/>
      <c r="O123" s="25"/>
    </row>
    <row r="124" spans="1:15" x14ac:dyDescent="0.25">
      <c r="A124" s="27" t="s">
        <v>161</v>
      </c>
      <c r="B124" s="16" t="s">
        <v>408</v>
      </c>
      <c r="C124" s="16" t="s">
        <v>302</v>
      </c>
      <c r="D124" s="37">
        <v>9</v>
      </c>
      <c r="E124" s="41">
        <v>166137</v>
      </c>
      <c r="F124" s="37">
        <v>5</v>
      </c>
      <c r="G124" s="41">
        <v>160192</v>
      </c>
      <c r="H124" s="37">
        <v>0</v>
      </c>
      <c r="I124" s="41">
        <v>0</v>
      </c>
      <c r="J124" s="37">
        <f t="shared" si="10"/>
        <v>14</v>
      </c>
      <c r="K124" s="41">
        <f t="shared" si="11"/>
        <v>326329</v>
      </c>
      <c r="M124" s="41">
        <f t="shared" si="12"/>
        <v>23309.214285714286</v>
      </c>
      <c r="N124" s="25"/>
      <c r="O124" s="25"/>
    </row>
    <row r="125" spans="1:15" x14ac:dyDescent="0.25">
      <c r="A125" s="27" t="s">
        <v>241</v>
      </c>
      <c r="B125" s="25" t="s">
        <v>408</v>
      </c>
      <c r="C125" s="25" t="s">
        <v>302</v>
      </c>
      <c r="J125" s="37">
        <v>13</v>
      </c>
      <c r="K125" s="41">
        <v>236724.5</v>
      </c>
      <c r="M125" s="41">
        <f t="shared" si="12"/>
        <v>18209.576923076922</v>
      </c>
      <c r="N125" s="25"/>
      <c r="O125" s="25"/>
    </row>
    <row r="126" spans="1:15" x14ac:dyDescent="0.25">
      <c r="A126" s="27" t="s">
        <v>203</v>
      </c>
      <c r="B126" s="16" t="s">
        <v>408</v>
      </c>
      <c r="C126" s="16" t="s">
        <v>302</v>
      </c>
      <c r="J126" s="37">
        <v>13</v>
      </c>
      <c r="K126" s="41">
        <v>179684.55</v>
      </c>
      <c r="M126" s="41">
        <f t="shared" si="12"/>
        <v>13821.888461538461</v>
      </c>
      <c r="N126" s="25"/>
      <c r="O126" s="25"/>
    </row>
    <row r="127" spans="1:15" x14ac:dyDescent="0.25">
      <c r="A127" s="27" t="s">
        <v>280</v>
      </c>
      <c r="B127" s="16" t="s">
        <v>408</v>
      </c>
      <c r="C127" s="16" t="s">
        <v>302</v>
      </c>
      <c r="D127" s="37">
        <v>6</v>
      </c>
      <c r="F127" s="37">
        <v>5</v>
      </c>
      <c r="H127" s="37">
        <v>1</v>
      </c>
      <c r="I127" s="41">
        <v>1394</v>
      </c>
      <c r="J127" s="37">
        <f>SUM(D127+F127+H127)</f>
        <v>12</v>
      </c>
      <c r="K127" s="41">
        <f>SUM(E127+G127+I127)</f>
        <v>1394</v>
      </c>
      <c r="M127" s="41">
        <f t="shared" si="12"/>
        <v>116.16666666666667</v>
      </c>
      <c r="N127" s="25"/>
      <c r="O127" s="25"/>
    </row>
    <row r="128" spans="1:15" x14ac:dyDescent="0.25">
      <c r="A128" s="27" t="s">
        <v>229</v>
      </c>
      <c r="B128" s="16" t="s">
        <v>408</v>
      </c>
      <c r="C128" s="16" t="s">
        <v>302</v>
      </c>
      <c r="J128" s="37">
        <v>11</v>
      </c>
      <c r="K128" s="41">
        <v>270589.7</v>
      </c>
      <c r="M128" s="41">
        <f t="shared" si="12"/>
        <v>24599.063636363637</v>
      </c>
      <c r="N128" s="25" t="s">
        <v>503</v>
      </c>
      <c r="O128" s="25"/>
    </row>
    <row r="129" spans="1:15" x14ac:dyDescent="0.25">
      <c r="A129" s="18" t="s">
        <v>217</v>
      </c>
      <c r="B129" s="25" t="s">
        <v>408</v>
      </c>
      <c r="C129" s="25" t="s">
        <v>302</v>
      </c>
      <c r="D129" s="37">
        <v>5</v>
      </c>
      <c r="E129" s="41">
        <v>81166</v>
      </c>
      <c r="F129" s="37">
        <v>1</v>
      </c>
      <c r="G129" s="41">
        <v>131354</v>
      </c>
      <c r="H129" s="37">
        <v>4</v>
      </c>
      <c r="I129" s="41">
        <v>147401</v>
      </c>
      <c r="J129" s="37">
        <f>SUM(D129+F129+H129)</f>
        <v>10</v>
      </c>
      <c r="K129" s="41">
        <f>SUM(E129+G129+I129)</f>
        <v>359921</v>
      </c>
      <c r="M129" s="41">
        <f t="shared" si="12"/>
        <v>35992.1</v>
      </c>
      <c r="N129" s="25"/>
      <c r="O129" s="25"/>
    </row>
    <row r="130" spans="1:15" x14ac:dyDescent="0.25">
      <c r="A130" s="18" t="s">
        <v>290</v>
      </c>
      <c r="B130" s="16" t="s">
        <v>408</v>
      </c>
      <c r="C130" s="16" t="s">
        <v>302</v>
      </c>
      <c r="J130" s="37">
        <v>10</v>
      </c>
      <c r="K130" s="41">
        <v>109329.2</v>
      </c>
      <c r="M130" s="41">
        <f t="shared" si="12"/>
        <v>10932.92</v>
      </c>
      <c r="N130" s="25"/>
      <c r="O130" s="25"/>
    </row>
    <row r="131" spans="1:15" x14ac:dyDescent="0.25">
      <c r="A131" s="18" t="s">
        <v>232</v>
      </c>
      <c r="B131" s="16" t="s">
        <v>408</v>
      </c>
      <c r="C131" s="16" t="s">
        <v>302</v>
      </c>
      <c r="D131" s="37">
        <v>4</v>
      </c>
      <c r="E131" s="41">
        <v>71321.84</v>
      </c>
      <c r="F131" s="37">
        <v>2</v>
      </c>
      <c r="G131" s="41">
        <v>46963.42</v>
      </c>
      <c r="H131" s="37">
        <v>3</v>
      </c>
      <c r="I131" s="41">
        <v>52614.77</v>
      </c>
      <c r="J131" s="37">
        <f t="shared" ref="J131:K134" si="13">SUM(D131+F131+H131)</f>
        <v>9</v>
      </c>
      <c r="K131" s="41">
        <f t="shared" si="13"/>
        <v>170900.03</v>
      </c>
      <c r="M131" s="41">
        <f t="shared" si="12"/>
        <v>18988.892222222221</v>
      </c>
      <c r="N131" s="25"/>
      <c r="O131" s="25"/>
    </row>
    <row r="132" spans="1:15" x14ac:dyDescent="0.25">
      <c r="A132" s="18" t="s">
        <v>193</v>
      </c>
      <c r="B132" s="16" t="s">
        <v>408</v>
      </c>
      <c r="C132" s="16" t="s">
        <v>302</v>
      </c>
      <c r="D132" s="37">
        <v>2</v>
      </c>
      <c r="E132" s="41">
        <v>19719.2</v>
      </c>
      <c r="F132" s="37">
        <v>4</v>
      </c>
      <c r="G132" s="41">
        <v>71243.89</v>
      </c>
      <c r="H132" s="37">
        <v>3</v>
      </c>
      <c r="I132" s="41">
        <v>60648.6</v>
      </c>
      <c r="J132" s="37">
        <f t="shared" si="13"/>
        <v>9</v>
      </c>
      <c r="K132" s="41">
        <f t="shared" si="13"/>
        <v>151611.69</v>
      </c>
      <c r="M132" s="41">
        <f t="shared" si="12"/>
        <v>16845.743333333332</v>
      </c>
      <c r="N132" s="25"/>
      <c r="O132" s="25"/>
    </row>
    <row r="133" spans="1:15" x14ac:dyDescent="0.25">
      <c r="A133" s="18" t="s">
        <v>172</v>
      </c>
      <c r="B133" s="16" t="s">
        <v>408</v>
      </c>
      <c r="C133" s="16" t="s">
        <v>302</v>
      </c>
      <c r="D133" s="37">
        <v>3</v>
      </c>
      <c r="E133" s="41">
        <v>21052</v>
      </c>
      <c r="F133" s="37">
        <v>3</v>
      </c>
      <c r="G133" s="41">
        <v>39804</v>
      </c>
      <c r="H133" s="37">
        <v>3</v>
      </c>
      <c r="I133" s="41">
        <v>23931</v>
      </c>
      <c r="J133" s="37">
        <f t="shared" si="13"/>
        <v>9</v>
      </c>
      <c r="K133" s="41">
        <f t="shared" si="13"/>
        <v>84787</v>
      </c>
      <c r="M133" s="41">
        <f t="shared" si="12"/>
        <v>9420.7777777777774</v>
      </c>
      <c r="N133" s="25" t="s">
        <v>453</v>
      </c>
      <c r="O133" s="25"/>
    </row>
    <row r="134" spans="1:15" x14ac:dyDescent="0.25">
      <c r="A134" s="27" t="s">
        <v>179</v>
      </c>
      <c r="B134" s="16" t="s">
        <v>408</v>
      </c>
      <c r="C134" s="16" t="s">
        <v>302</v>
      </c>
      <c r="D134" s="37">
        <v>2</v>
      </c>
      <c r="E134" s="41">
        <v>12687</v>
      </c>
      <c r="F134" s="37">
        <v>3</v>
      </c>
      <c r="G134" s="41">
        <f>18390+7306+10054</f>
        <v>35750</v>
      </c>
      <c r="H134" s="37">
        <v>3</v>
      </c>
      <c r="I134" s="41">
        <f>4533+20217+46650</f>
        <v>71400</v>
      </c>
      <c r="J134" s="37">
        <f t="shared" si="13"/>
        <v>8</v>
      </c>
      <c r="K134" s="41">
        <f t="shared" si="13"/>
        <v>119837</v>
      </c>
      <c r="M134" s="41">
        <f t="shared" si="12"/>
        <v>14979.625</v>
      </c>
      <c r="N134" s="25" t="s">
        <v>454</v>
      </c>
      <c r="O134" s="25"/>
    </row>
    <row r="135" spans="1:15" x14ac:dyDescent="0.25">
      <c r="A135" s="18" t="s">
        <v>246</v>
      </c>
      <c r="B135" s="16" t="s">
        <v>408</v>
      </c>
      <c r="C135" s="16" t="s">
        <v>302</v>
      </c>
      <c r="D135" s="37">
        <v>3</v>
      </c>
      <c r="E135" s="41">
        <v>18100</v>
      </c>
      <c r="F135" s="37">
        <v>2</v>
      </c>
      <c r="G135" s="41">
        <v>33868</v>
      </c>
      <c r="H135" s="37">
        <v>3</v>
      </c>
      <c r="I135" s="41">
        <v>18236</v>
      </c>
      <c r="J135" s="37">
        <v>8</v>
      </c>
      <c r="K135" s="41">
        <f>SUM(I135,G135,E135)</f>
        <v>70204</v>
      </c>
      <c r="M135" s="41">
        <f t="shared" si="12"/>
        <v>8775.5</v>
      </c>
      <c r="N135" s="25" t="s">
        <v>460</v>
      </c>
      <c r="O135" s="25"/>
    </row>
    <row r="136" spans="1:15" x14ac:dyDescent="0.25">
      <c r="A136" s="18" t="s">
        <v>93</v>
      </c>
      <c r="B136" s="16" t="s">
        <v>408</v>
      </c>
      <c r="C136" s="16" t="s">
        <v>117</v>
      </c>
      <c r="H136" s="37">
        <v>6</v>
      </c>
      <c r="I136" s="41">
        <v>1115940.07</v>
      </c>
      <c r="J136" s="37">
        <v>6</v>
      </c>
      <c r="K136" s="41">
        <v>1115940.07</v>
      </c>
      <c r="M136" s="41"/>
      <c r="N136" s="25" t="s">
        <v>576</v>
      </c>
      <c r="O136" s="25"/>
    </row>
    <row r="137" spans="1:15" x14ac:dyDescent="0.25">
      <c r="A137" s="18" t="s">
        <v>160</v>
      </c>
      <c r="B137" s="16" t="s">
        <v>408</v>
      </c>
      <c r="C137" s="16" t="s">
        <v>302</v>
      </c>
      <c r="D137" s="37">
        <v>0</v>
      </c>
      <c r="E137" s="41">
        <v>0</v>
      </c>
      <c r="F137" s="37">
        <v>2</v>
      </c>
      <c r="G137" s="41">
        <v>24400</v>
      </c>
      <c r="H137" s="37">
        <v>4</v>
      </c>
      <c r="I137" s="41">
        <v>21301</v>
      </c>
      <c r="J137" s="37">
        <f>SUM(D137+F137+H137)</f>
        <v>6</v>
      </c>
      <c r="K137" s="41">
        <f>SUM(E137+G137+I137)</f>
        <v>45701</v>
      </c>
      <c r="M137" s="41">
        <f t="shared" ref="M137:M148" si="14">SUM(K137/J137)</f>
        <v>7616.833333333333</v>
      </c>
      <c r="N137" s="25" t="s">
        <v>491</v>
      </c>
      <c r="O137" s="25"/>
    </row>
    <row r="138" spans="1:15" x14ac:dyDescent="0.25">
      <c r="A138" s="27" t="s">
        <v>422</v>
      </c>
      <c r="B138" s="16" t="s">
        <v>408</v>
      </c>
      <c r="C138" s="16" t="s">
        <v>302</v>
      </c>
      <c r="J138" s="37">
        <v>5</v>
      </c>
      <c r="K138" s="41">
        <v>64647.75</v>
      </c>
      <c r="M138" s="41">
        <f t="shared" si="14"/>
        <v>12929.55</v>
      </c>
      <c r="N138" s="25"/>
      <c r="O138" s="25"/>
    </row>
    <row r="139" spans="1:15" x14ac:dyDescent="0.25">
      <c r="A139" s="18" t="s">
        <v>19</v>
      </c>
      <c r="B139" s="16" t="s">
        <v>408</v>
      </c>
      <c r="C139" s="16" t="s">
        <v>302</v>
      </c>
      <c r="J139" s="37">
        <v>5</v>
      </c>
      <c r="K139" s="41">
        <v>29820</v>
      </c>
      <c r="M139" s="41">
        <f t="shared" si="14"/>
        <v>5964</v>
      </c>
      <c r="N139" s="25"/>
      <c r="O139" s="25"/>
    </row>
    <row r="140" spans="1:15" x14ac:dyDescent="0.25">
      <c r="A140" s="27" t="s">
        <v>222</v>
      </c>
      <c r="B140" s="16" t="s">
        <v>408</v>
      </c>
      <c r="C140" s="16" t="s">
        <v>302</v>
      </c>
      <c r="D140" s="37">
        <v>1</v>
      </c>
      <c r="E140" s="41">
        <v>24552.14</v>
      </c>
      <c r="F140" s="37">
        <v>1</v>
      </c>
      <c r="G140" s="41">
        <v>3955.37</v>
      </c>
      <c r="H140" s="37">
        <v>2</v>
      </c>
      <c r="I140" s="41">
        <v>36277.01</v>
      </c>
      <c r="J140" s="37">
        <f t="shared" ref="J140:K142" si="15">SUM(D140+F140+H140)</f>
        <v>4</v>
      </c>
      <c r="K140" s="41">
        <f t="shared" si="15"/>
        <v>64784.520000000004</v>
      </c>
      <c r="M140" s="41">
        <f t="shared" si="14"/>
        <v>16196.130000000001</v>
      </c>
      <c r="N140" s="25" t="s">
        <v>438</v>
      </c>
      <c r="O140" s="25"/>
    </row>
    <row r="141" spans="1:15" x14ac:dyDescent="0.25">
      <c r="A141" s="27" t="s">
        <v>224</v>
      </c>
      <c r="B141" s="16" t="s">
        <v>408</v>
      </c>
      <c r="C141" s="16" t="s">
        <v>302</v>
      </c>
      <c r="D141" s="37">
        <v>0</v>
      </c>
      <c r="E141" s="41">
        <v>0</v>
      </c>
      <c r="F141" s="37">
        <v>4</v>
      </c>
      <c r="G141" s="41">
        <v>64707.54</v>
      </c>
      <c r="H141" s="37">
        <v>0</v>
      </c>
      <c r="I141" s="41">
        <v>0</v>
      </c>
      <c r="J141" s="37">
        <f t="shared" si="15"/>
        <v>4</v>
      </c>
      <c r="K141" s="41">
        <f t="shared" si="15"/>
        <v>64707.54</v>
      </c>
      <c r="M141" s="41">
        <f t="shared" si="14"/>
        <v>16176.885</v>
      </c>
      <c r="N141" s="25"/>
      <c r="O141" s="25"/>
    </row>
    <row r="142" spans="1:15" x14ac:dyDescent="0.25">
      <c r="A142" s="18" t="s">
        <v>270</v>
      </c>
      <c r="B142" s="16" t="s">
        <v>408</v>
      </c>
      <c r="C142" s="16" t="s">
        <v>302</v>
      </c>
      <c r="D142" s="37">
        <v>1</v>
      </c>
      <c r="E142" s="41">
        <v>9557</v>
      </c>
      <c r="F142" s="37">
        <v>2</v>
      </c>
      <c r="G142" s="41">
        <v>24932.33</v>
      </c>
      <c r="H142" s="37">
        <v>1</v>
      </c>
      <c r="I142" s="41">
        <v>13162.5</v>
      </c>
      <c r="J142" s="37">
        <f t="shared" si="15"/>
        <v>4</v>
      </c>
      <c r="K142" s="41">
        <f t="shared" si="15"/>
        <v>47651.83</v>
      </c>
      <c r="M142" s="41">
        <f t="shared" si="14"/>
        <v>11912.9575</v>
      </c>
      <c r="N142" s="25" t="s">
        <v>447</v>
      </c>
      <c r="O142" s="25"/>
    </row>
    <row r="143" spans="1:15" x14ac:dyDescent="0.25">
      <c r="A143" s="27" t="s">
        <v>167</v>
      </c>
      <c r="B143" s="16" t="s">
        <v>408</v>
      </c>
      <c r="C143" s="16" t="s">
        <v>302</v>
      </c>
      <c r="D143" s="37">
        <v>1</v>
      </c>
      <c r="F143" s="37">
        <v>2</v>
      </c>
      <c r="H143" s="37">
        <v>1</v>
      </c>
      <c r="J143" s="37">
        <f>SUM(D143+F143+H143)</f>
        <v>4</v>
      </c>
      <c r="K143" s="41">
        <v>21500</v>
      </c>
      <c r="M143" s="41">
        <f t="shared" si="14"/>
        <v>5375</v>
      </c>
      <c r="N143" s="25"/>
      <c r="O143" s="25"/>
    </row>
    <row r="144" spans="1:15" x14ac:dyDescent="0.25">
      <c r="A144" s="27" t="s">
        <v>7</v>
      </c>
      <c r="B144" s="16" t="s">
        <v>408</v>
      </c>
      <c r="C144" s="16" t="s">
        <v>302</v>
      </c>
      <c r="D144" s="37">
        <v>0</v>
      </c>
      <c r="E144" s="41">
        <v>0</v>
      </c>
      <c r="F144" s="37">
        <v>2</v>
      </c>
      <c r="H144" s="37">
        <v>1</v>
      </c>
      <c r="J144" s="37">
        <f>SUM(D144+F144+H144)</f>
        <v>3</v>
      </c>
      <c r="K144" s="41">
        <v>84733.65</v>
      </c>
      <c r="M144" s="41">
        <f t="shared" si="14"/>
        <v>28244.55</v>
      </c>
      <c r="N144" s="25" t="s">
        <v>455</v>
      </c>
      <c r="O144" s="25"/>
    </row>
    <row r="145" spans="1:15" x14ac:dyDescent="0.25">
      <c r="A145" s="27" t="s">
        <v>185</v>
      </c>
      <c r="B145" s="16" t="s">
        <v>408</v>
      </c>
      <c r="C145" s="16" t="s">
        <v>302</v>
      </c>
      <c r="D145" s="37">
        <v>0</v>
      </c>
      <c r="E145" s="41">
        <v>0</v>
      </c>
      <c r="F145" s="37">
        <v>3</v>
      </c>
      <c r="G145" s="41">
        <v>18500</v>
      </c>
      <c r="H145" s="37">
        <v>0</v>
      </c>
      <c r="I145" s="41">
        <v>0</v>
      </c>
      <c r="J145" s="37">
        <f>SUM(D145+F145+H145)</f>
        <v>3</v>
      </c>
      <c r="K145" s="41">
        <f>SUM(E145+G145+I145)</f>
        <v>18500</v>
      </c>
      <c r="M145" s="41">
        <f t="shared" si="14"/>
        <v>6166.666666666667</v>
      </c>
      <c r="N145" s="25"/>
      <c r="O145" s="25"/>
    </row>
    <row r="146" spans="1:15" x14ac:dyDescent="0.25">
      <c r="A146" s="18" t="s">
        <v>1</v>
      </c>
      <c r="B146" s="16" t="s">
        <v>408</v>
      </c>
      <c r="C146" s="16" t="s">
        <v>302</v>
      </c>
      <c r="D146" s="37">
        <v>0</v>
      </c>
      <c r="E146" s="41">
        <v>0</v>
      </c>
      <c r="F146" s="37">
        <v>1</v>
      </c>
      <c r="G146" s="41">
        <v>14167</v>
      </c>
      <c r="H146" s="37">
        <v>0</v>
      </c>
      <c r="I146" s="41">
        <v>0</v>
      </c>
      <c r="J146" s="37">
        <f>SUM(D146+F146+H146)</f>
        <v>1</v>
      </c>
      <c r="K146" s="41">
        <f>SUM(E146+G146+I146)</f>
        <v>14167</v>
      </c>
      <c r="M146" s="41">
        <f t="shared" si="14"/>
        <v>14167</v>
      </c>
      <c r="N146" s="25"/>
      <c r="O146" s="25"/>
    </row>
    <row r="147" spans="1:15" x14ac:dyDescent="0.25">
      <c r="A147" s="18" t="s">
        <v>162</v>
      </c>
      <c r="B147" s="16" t="s">
        <v>408</v>
      </c>
      <c r="C147" s="16" t="s">
        <v>302</v>
      </c>
      <c r="D147" s="37">
        <v>1</v>
      </c>
      <c r="F147" s="37">
        <v>0</v>
      </c>
      <c r="H147" s="37">
        <v>0</v>
      </c>
      <c r="J147" s="37">
        <v>1</v>
      </c>
      <c r="M147" s="41">
        <f t="shared" si="14"/>
        <v>0</v>
      </c>
      <c r="N147" s="25" t="s">
        <v>438</v>
      </c>
      <c r="O147" s="25"/>
    </row>
    <row r="148" spans="1:15" x14ac:dyDescent="0.25">
      <c r="A148" s="18" t="s">
        <v>213</v>
      </c>
      <c r="B148" s="16" t="s">
        <v>408</v>
      </c>
      <c r="C148" s="16" t="s">
        <v>302</v>
      </c>
      <c r="D148" s="37">
        <v>1</v>
      </c>
      <c r="F148" s="37">
        <v>0</v>
      </c>
      <c r="H148" s="37">
        <v>0</v>
      </c>
      <c r="J148" s="37">
        <f>SUM(D148+F148+H148)</f>
        <v>1</v>
      </c>
      <c r="M148" s="41">
        <f t="shared" si="14"/>
        <v>0</v>
      </c>
      <c r="N148" s="25" t="s">
        <v>555</v>
      </c>
      <c r="O148" s="25"/>
    </row>
    <row r="149" spans="1:15" x14ac:dyDescent="0.25">
      <c r="A149" s="18" t="s">
        <v>101</v>
      </c>
      <c r="B149" s="16" t="s">
        <v>408</v>
      </c>
      <c r="C149" s="16" t="s">
        <v>117</v>
      </c>
      <c r="E149" s="41">
        <v>83494</v>
      </c>
      <c r="F149" s="44"/>
      <c r="G149" s="41">
        <v>75798</v>
      </c>
      <c r="I149" s="41">
        <v>8000</v>
      </c>
      <c r="J149" s="37">
        <f>SUM(D149+F149+H149)</f>
        <v>0</v>
      </c>
      <c r="K149" s="41">
        <f>SUM(E149+G149+I149)</f>
        <v>167292</v>
      </c>
      <c r="M149" s="41"/>
      <c r="N149" s="25"/>
      <c r="O149" s="25"/>
    </row>
    <row r="150" spans="1:15" x14ac:dyDescent="0.25">
      <c r="A150" s="27" t="s">
        <v>210</v>
      </c>
      <c r="B150" s="16" t="s">
        <v>408</v>
      </c>
      <c r="C150" s="16" t="s">
        <v>302</v>
      </c>
      <c r="D150" s="37">
        <v>0</v>
      </c>
      <c r="E150" s="41">
        <v>0</v>
      </c>
      <c r="F150" s="37">
        <v>0</v>
      </c>
      <c r="G150" s="41">
        <v>0</v>
      </c>
      <c r="H150" s="37">
        <v>0</v>
      </c>
      <c r="I150" s="41">
        <v>0</v>
      </c>
      <c r="J150" s="37">
        <v>0</v>
      </c>
      <c r="K150" s="41">
        <v>0</v>
      </c>
      <c r="M150" s="41"/>
      <c r="N150" s="25"/>
      <c r="O150" s="25"/>
    </row>
    <row r="151" spans="1:15" x14ac:dyDescent="0.25">
      <c r="A151" s="18" t="s">
        <v>288</v>
      </c>
      <c r="B151" s="16" t="s">
        <v>408</v>
      </c>
      <c r="C151" s="16" t="s">
        <v>302</v>
      </c>
      <c r="D151" s="37">
        <v>0</v>
      </c>
      <c r="E151" s="41">
        <v>0</v>
      </c>
      <c r="F151" s="37">
        <v>0</v>
      </c>
      <c r="G151" s="41">
        <v>0</v>
      </c>
      <c r="H151" s="37">
        <v>0</v>
      </c>
      <c r="I151" s="41">
        <v>0</v>
      </c>
      <c r="J151" s="37">
        <v>0</v>
      </c>
      <c r="K151" s="41">
        <v>0</v>
      </c>
      <c r="M151" s="41"/>
      <c r="N151" s="25"/>
      <c r="O151" s="25"/>
    </row>
    <row r="152" spans="1:15" x14ac:dyDescent="0.25">
      <c r="A152" s="18" t="s">
        <v>164</v>
      </c>
      <c r="B152" s="25" t="s">
        <v>408</v>
      </c>
      <c r="C152" s="25" t="s">
        <v>302</v>
      </c>
      <c r="M152" s="41"/>
      <c r="N152" s="25" t="s">
        <v>493</v>
      </c>
      <c r="O152" s="25"/>
    </row>
    <row r="153" spans="1:15" x14ac:dyDescent="0.25">
      <c r="A153" s="18" t="s">
        <v>530</v>
      </c>
      <c r="B153" s="16" t="s">
        <v>408</v>
      </c>
      <c r="C153" s="16" t="s">
        <v>302</v>
      </c>
      <c r="M153" s="41"/>
      <c r="N153" s="25" t="s">
        <v>459</v>
      </c>
      <c r="O153" s="25"/>
    </row>
    <row r="154" spans="1:15" x14ac:dyDescent="0.25">
      <c r="A154" s="18" t="s">
        <v>84</v>
      </c>
      <c r="B154" s="25" t="s">
        <v>408</v>
      </c>
      <c r="C154" s="25" t="s">
        <v>117</v>
      </c>
      <c r="M154" s="41"/>
      <c r="N154" s="25" t="s">
        <v>575</v>
      </c>
      <c r="O154" s="25"/>
    </row>
    <row r="155" spans="1:15" x14ac:dyDescent="0.25">
      <c r="A155" s="27" t="s">
        <v>15</v>
      </c>
      <c r="B155" s="25" t="s">
        <v>408</v>
      </c>
      <c r="C155" s="25" t="s">
        <v>302</v>
      </c>
      <c r="M155" s="41"/>
      <c r="N155" s="25"/>
      <c r="O155" s="25"/>
    </row>
    <row r="156" spans="1:15" x14ac:dyDescent="0.25">
      <c r="A156" s="18" t="s">
        <v>331</v>
      </c>
      <c r="B156" s="25" t="s">
        <v>409</v>
      </c>
      <c r="C156" s="25" t="s">
        <v>116</v>
      </c>
      <c r="D156" s="37">
        <v>55</v>
      </c>
      <c r="F156" s="37">
        <v>30</v>
      </c>
      <c r="H156" s="37">
        <v>79</v>
      </c>
      <c r="J156" s="37">
        <f t="shared" ref="J156:J167" si="16">SUM(D156+F156+H156)</f>
        <v>164</v>
      </c>
      <c r="M156" s="41">
        <f t="shared" ref="M156:M178" si="17">SUM(K156/J156)</f>
        <v>0</v>
      </c>
      <c r="N156" s="25" t="s">
        <v>465</v>
      </c>
      <c r="O156" s="25"/>
    </row>
    <row r="157" spans="1:15" x14ac:dyDescent="0.25">
      <c r="A157" s="27" t="s">
        <v>323</v>
      </c>
      <c r="B157" s="16" t="s">
        <v>409</v>
      </c>
      <c r="C157" s="16" t="s">
        <v>116</v>
      </c>
      <c r="D157" s="37">
        <v>48</v>
      </c>
      <c r="E157" s="41">
        <v>143171.69</v>
      </c>
      <c r="F157" s="37">
        <v>32</v>
      </c>
      <c r="G157" s="41">
        <v>253368.68</v>
      </c>
      <c r="H157" s="37">
        <v>32</v>
      </c>
      <c r="I157" s="41">
        <v>452970.12</v>
      </c>
      <c r="J157" s="37">
        <f t="shared" si="16"/>
        <v>112</v>
      </c>
      <c r="K157" s="41">
        <f t="shared" ref="K157:K167" si="18">SUM(E157+G157+I157)</f>
        <v>849510.49</v>
      </c>
      <c r="M157" s="41">
        <f t="shared" si="17"/>
        <v>7584.9150892857142</v>
      </c>
      <c r="N157" s="25"/>
      <c r="O157" s="25"/>
    </row>
    <row r="158" spans="1:15" x14ac:dyDescent="0.25">
      <c r="A158" s="18" t="s">
        <v>315</v>
      </c>
      <c r="B158" s="16" t="s">
        <v>409</v>
      </c>
      <c r="C158" s="16" t="s">
        <v>116</v>
      </c>
      <c r="D158" s="37">
        <v>41</v>
      </c>
      <c r="E158" s="41">
        <v>555834.53</v>
      </c>
      <c r="F158" s="37">
        <v>23</v>
      </c>
      <c r="G158" s="41">
        <v>217384.18</v>
      </c>
      <c r="H158" s="37">
        <v>28</v>
      </c>
      <c r="I158" s="41">
        <v>572980.30000000005</v>
      </c>
      <c r="J158" s="37">
        <f t="shared" si="16"/>
        <v>92</v>
      </c>
      <c r="K158" s="41">
        <f t="shared" si="18"/>
        <v>1346199.01</v>
      </c>
      <c r="M158" s="41">
        <f t="shared" si="17"/>
        <v>14632.597934782609</v>
      </c>
      <c r="N158" s="25"/>
      <c r="O158" s="25"/>
    </row>
    <row r="159" spans="1:15" x14ac:dyDescent="0.25">
      <c r="A159" s="18" t="s">
        <v>317</v>
      </c>
      <c r="B159" s="16" t="s">
        <v>409</v>
      </c>
      <c r="C159" s="16" t="s">
        <v>116</v>
      </c>
      <c r="D159" s="37">
        <v>36</v>
      </c>
      <c r="E159" s="41">
        <v>396942</v>
      </c>
      <c r="F159" s="37">
        <v>26</v>
      </c>
      <c r="G159" s="41">
        <v>245465</v>
      </c>
      <c r="H159" s="37">
        <v>23</v>
      </c>
      <c r="I159" s="41">
        <v>272087</v>
      </c>
      <c r="J159" s="37">
        <f t="shared" si="16"/>
        <v>85</v>
      </c>
      <c r="K159" s="41">
        <f t="shared" si="18"/>
        <v>914494</v>
      </c>
      <c r="M159" s="41">
        <f t="shared" si="17"/>
        <v>10758.75294117647</v>
      </c>
      <c r="N159" s="25"/>
      <c r="O159" s="25"/>
    </row>
    <row r="160" spans="1:15" x14ac:dyDescent="0.25">
      <c r="A160" s="27" t="s">
        <v>326</v>
      </c>
      <c r="B160" s="16" t="s">
        <v>409</v>
      </c>
      <c r="C160" s="16" t="s">
        <v>116</v>
      </c>
      <c r="D160" s="37">
        <v>15</v>
      </c>
      <c r="E160" s="41">
        <v>472000</v>
      </c>
      <c r="F160" s="37">
        <v>15</v>
      </c>
      <c r="G160" s="41">
        <v>329627</v>
      </c>
      <c r="H160" s="37">
        <v>32</v>
      </c>
      <c r="I160" s="41">
        <v>780313</v>
      </c>
      <c r="J160" s="37">
        <f t="shared" si="16"/>
        <v>62</v>
      </c>
      <c r="K160" s="41">
        <f t="shared" si="18"/>
        <v>1581940</v>
      </c>
      <c r="M160" s="41">
        <f t="shared" si="17"/>
        <v>25515.16129032258</v>
      </c>
      <c r="N160" s="25"/>
      <c r="O160" s="25"/>
    </row>
    <row r="161" spans="1:15" x14ac:dyDescent="0.25">
      <c r="A161" s="27" t="s">
        <v>334</v>
      </c>
      <c r="B161" s="16" t="s">
        <v>409</v>
      </c>
      <c r="C161" s="16" t="s">
        <v>116</v>
      </c>
      <c r="D161" s="37">
        <v>19</v>
      </c>
      <c r="E161" s="41">
        <v>525970.30000000005</v>
      </c>
      <c r="F161" s="37">
        <v>13</v>
      </c>
      <c r="G161" s="41">
        <v>379614.92</v>
      </c>
      <c r="H161" s="37">
        <v>22</v>
      </c>
      <c r="I161" s="41">
        <v>376794.43</v>
      </c>
      <c r="J161" s="37">
        <f t="shared" si="16"/>
        <v>54</v>
      </c>
      <c r="K161" s="41">
        <f t="shared" si="18"/>
        <v>1282379.6499999999</v>
      </c>
      <c r="M161" s="41">
        <f t="shared" si="17"/>
        <v>23747.771296296294</v>
      </c>
      <c r="N161" s="25"/>
      <c r="O161" s="25"/>
    </row>
    <row r="162" spans="1:15" x14ac:dyDescent="0.25">
      <c r="A162" s="27" t="s">
        <v>328</v>
      </c>
      <c r="B162" s="16" t="s">
        <v>409</v>
      </c>
      <c r="C162" s="16" t="s">
        <v>116</v>
      </c>
      <c r="D162" s="37">
        <v>2</v>
      </c>
      <c r="E162" s="41">
        <v>12031</v>
      </c>
      <c r="F162" s="37">
        <v>37</v>
      </c>
      <c r="G162" s="41">
        <v>513249</v>
      </c>
      <c r="H162" s="37">
        <v>11</v>
      </c>
      <c r="I162" s="41">
        <v>127579</v>
      </c>
      <c r="J162" s="37">
        <f t="shared" si="16"/>
        <v>50</v>
      </c>
      <c r="K162" s="41">
        <f t="shared" si="18"/>
        <v>652859</v>
      </c>
      <c r="M162" s="41">
        <f t="shared" si="17"/>
        <v>13057.18</v>
      </c>
      <c r="N162" s="25" t="s">
        <v>548</v>
      </c>
      <c r="O162" s="25"/>
    </row>
    <row r="163" spans="1:15" x14ac:dyDescent="0.25">
      <c r="A163" s="18" t="s">
        <v>313</v>
      </c>
      <c r="B163" s="16" t="s">
        <v>409</v>
      </c>
      <c r="C163" s="16" t="s">
        <v>116</v>
      </c>
      <c r="D163" s="37">
        <v>20</v>
      </c>
      <c r="E163" s="41">
        <v>564002.63</v>
      </c>
      <c r="F163" s="37">
        <v>14</v>
      </c>
      <c r="G163" s="41">
        <v>607922.51</v>
      </c>
      <c r="H163" s="37">
        <v>13</v>
      </c>
      <c r="I163" s="41">
        <v>214263.44</v>
      </c>
      <c r="J163" s="37">
        <f t="shared" si="16"/>
        <v>47</v>
      </c>
      <c r="K163" s="41">
        <f t="shared" si="18"/>
        <v>1386188.58</v>
      </c>
      <c r="M163" s="41">
        <f t="shared" si="17"/>
        <v>29493.374042553194</v>
      </c>
      <c r="N163" s="25"/>
      <c r="O163" s="25"/>
    </row>
    <row r="164" spans="1:15" x14ac:dyDescent="0.25">
      <c r="A164" s="18" t="s">
        <v>316</v>
      </c>
      <c r="B164" s="16" t="s">
        <v>409</v>
      </c>
      <c r="C164" s="16" t="s">
        <v>116</v>
      </c>
      <c r="D164" s="37">
        <v>15</v>
      </c>
      <c r="E164" s="41">
        <v>224638.45</v>
      </c>
      <c r="F164" s="37">
        <v>19</v>
      </c>
      <c r="G164" s="41">
        <v>122006.17</v>
      </c>
      <c r="H164" s="37">
        <v>12</v>
      </c>
      <c r="I164" s="41">
        <v>181610.62</v>
      </c>
      <c r="J164" s="37">
        <f t="shared" si="16"/>
        <v>46</v>
      </c>
      <c r="K164" s="41">
        <f t="shared" si="18"/>
        <v>528255.24</v>
      </c>
      <c r="M164" s="41">
        <f t="shared" si="17"/>
        <v>11483.809565217391</v>
      </c>
      <c r="N164" s="25" t="s">
        <v>498</v>
      </c>
      <c r="O164" s="25"/>
    </row>
    <row r="165" spans="1:15" x14ac:dyDescent="0.25">
      <c r="A165" s="27" t="s">
        <v>309</v>
      </c>
      <c r="B165" s="16" t="s">
        <v>409</v>
      </c>
      <c r="C165" s="16" t="s">
        <v>116</v>
      </c>
      <c r="D165" s="37">
        <v>12</v>
      </c>
      <c r="E165" s="41">
        <v>386722.68</v>
      </c>
      <c r="F165" s="37">
        <v>18</v>
      </c>
      <c r="G165" s="41">
        <v>497492.2</v>
      </c>
      <c r="H165" s="37">
        <v>15</v>
      </c>
      <c r="I165" s="41">
        <v>297050.90000000002</v>
      </c>
      <c r="J165" s="37">
        <f t="shared" si="16"/>
        <v>45</v>
      </c>
      <c r="K165" s="41">
        <f t="shared" si="18"/>
        <v>1181265.78</v>
      </c>
      <c r="M165" s="41">
        <f t="shared" si="17"/>
        <v>26250.350666666669</v>
      </c>
      <c r="N165" s="25" t="s">
        <v>446</v>
      </c>
      <c r="O165" s="25"/>
    </row>
    <row r="166" spans="1:15" x14ac:dyDescent="0.25">
      <c r="A166" s="18" t="s">
        <v>321</v>
      </c>
      <c r="B166" s="16" t="s">
        <v>409</v>
      </c>
      <c r="C166" s="16" t="s">
        <v>116</v>
      </c>
      <c r="F166" s="37">
        <v>21</v>
      </c>
      <c r="G166" s="41">
        <v>968085.59</v>
      </c>
      <c r="H166" s="37">
        <v>23</v>
      </c>
      <c r="I166" s="41">
        <v>684746.62</v>
      </c>
      <c r="J166" s="37">
        <f t="shared" si="16"/>
        <v>44</v>
      </c>
      <c r="K166" s="41">
        <f t="shared" si="18"/>
        <v>1652832.21</v>
      </c>
      <c r="M166" s="41">
        <f t="shared" si="17"/>
        <v>37564.368409090908</v>
      </c>
      <c r="N166" s="25"/>
      <c r="O166" s="25"/>
    </row>
    <row r="167" spans="1:15" x14ac:dyDescent="0.25">
      <c r="A167" s="27" t="s">
        <v>307</v>
      </c>
      <c r="B167" s="16" t="s">
        <v>409</v>
      </c>
      <c r="C167" s="16" t="s">
        <v>116</v>
      </c>
      <c r="D167" s="37">
        <v>20</v>
      </c>
      <c r="E167" s="41">
        <v>416100.92</v>
      </c>
      <c r="F167" s="37">
        <v>12</v>
      </c>
      <c r="G167" s="41">
        <v>137521.73000000001</v>
      </c>
      <c r="H167" s="37">
        <v>8</v>
      </c>
      <c r="I167" s="41">
        <v>76032.37</v>
      </c>
      <c r="J167" s="37">
        <f t="shared" si="16"/>
        <v>40</v>
      </c>
      <c r="K167" s="41">
        <f t="shared" si="18"/>
        <v>629655.02</v>
      </c>
      <c r="M167" s="41">
        <f t="shared" si="17"/>
        <v>15741.3755</v>
      </c>
      <c r="N167" s="25"/>
      <c r="O167" s="25"/>
    </row>
    <row r="168" spans="1:15" x14ac:dyDescent="0.25">
      <c r="A168" s="18" t="s">
        <v>325</v>
      </c>
      <c r="B168" s="16" t="s">
        <v>409</v>
      </c>
      <c r="C168" s="16" t="s">
        <v>116</v>
      </c>
      <c r="D168" s="37">
        <v>15</v>
      </c>
      <c r="E168" s="41">
        <v>209665</v>
      </c>
      <c r="F168" s="37">
        <v>15</v>
      </c>
      <c r="G168" s="41">
        <v>103200</v>
      </c>
      <c r="H168" s="37">
        <v>10</v>
      </c>
      <c r="I168" s="41">
        <v>104878.52</v>
      </c>
      <c r="J168" s="37">
        <v>40</v>
      </c>
      <c r="K168" s="41">
        <f>SUM(I168,E168,G168)</f>
        <v>417743.52</v>
      </c>
      <c r="M168" s="41">
        <f t="shared" si="17"/>
        <v>10443.588</v>
      </c>
      <c r="N168" s="25"/>
      <c r="O168" s="25"/>
    </row>
    <row r="169" spans="1:15" x14ac:dyDescent="0.25">
      <c r="A169" s="27" t="s">
        <v>335</v>
      </c>
      <c r="B169" s="16" t="s">
        <v>409</v>
      </c>
      <c r="C169" s="16" t="s">
        <v>116</v>
      </c>
      <c r="D169" s="37">
        <v>17</v>
      </c>
      <c r="E169" s="41">
        <v>333901.87</v>
      </c>
      <c r="F169" s="37">
        <v>11</v>
      </c>
      <c r="G169" s="41">
        <v>207279.87</v>
      </c>
      <c r="H169" s="37">
        <v>10</v>
      </c>
      <c r="I169" s="41">
        <v>178350.78</v>
      </c>
      <c r="J169" s="37">
        <f t="shared" ref="J169:K175" si="19">SUM(D169+F169+H169)</f>
        <v>38</v>
      </c>
      <c r="K169" s="41">
        <f t="shared" si="19"/>
        <v>719532.52</v>
      </c>
      <c r="M169" s="41">
        <f t="shared" si="17"/>
        <v>18935.066315789474</v>
      </c>
      <c r="N169" s="25"/>
      <c r="O169" s="25"/>
    </row>
    <row r="170" spans="1:15" x14ac:dyDescent="0.25">
      <c r="A170" s="18" t="s">
        <v>305</v>
      </c>
      <c r="B170" s="16" t="s">
        <v>409</v>
      </c>
      <c r="C170" s="16" t="s">
        <v>116</v>
      </c>
      <c r="D170" s="37">
        <v>18</v>
      </c>
      <c r="E170" s="41">
        <v>210757.55</v>
      </c>
      <c r="F170" s="37">
        <v>10</v>
      </c>
      <c r="G170" s="41">
        <v>160112.93</v>
      </c>
      <c r="H170" s="37">
        <v>7</v>
      </c>
      <c r="I170" s="41">
        <v>157702.66</v>
      </c>
      <c r="J170" s="37">
        <f t="shared" si="19"/>
        <v>35</v>
      </c>
      <c r="K170" s="41">
        <f t="shared" si="19"/>
        <v>528573.14</v>
      </c>
      <c r="M170" s="41">
        <f t="shared" si="17"/>
        <v>15102.089714285714</v>
      </c>
      <c r="N170" s="25"/>
      <c r="O170" s="25"/>
    </row>
    <row r="171" spans="1:15" x14ac:dyDescent="0.25">
      <c r="A171" s="18" t="s">
        <v>327</v>
      </c>
      <c r="B171" s="16" t="s">
        <v>409</v>
      </c>
      <c r="C171" s="16" t="s">
        <v>116</v>
      </c>
      <c r="D171" s="37">
        <v>16</v>
      </c>
      <c r="E171" s="41">
        <v>286008</v>
      </c>
      <c r="F171" s="37">
        <v>10</v>
      </c>
      <c r="G171" s="41">
        <v>189305</v>
      </c>
      <c r="H171" s="37">
        <v>5</v>
      </c>
      <c r="I171" s="41">
        <v>210316</v>
      </c>
      <c r="J171" s="37">
        <f t="shared" si="19"/>
        <v>31</v>
      </c>
      <c r="K171" s="41">
        <f t="shared" si="19"/>
        <v>685629</v>
      </c>
      <c r="M171" s="41">
        <f t="shared" si="17"/>
        <v>22117.064516129034</v>
      </c>
      <c r="N171" s="25" t="s">
        <v>443</v>
      </c>
      <c r="O171" s="25"/>
    </row>
    <row r="172" spans="1:15" x14ac:dyDescent="0.25">
      <c r="A172" s="18" t="s">
        <v>332</v>
      </c>
      <c r="B172" s="16" t="s">
        <v>409</v>
      </c>
      <c r="C172" s="16" t="s">
        <v>116</v>
      </c>
      <c r="D172" s="37">
        <v>12</v>
      </c>
      <c r="E172" s="41">
        <v>304289.40999999997</v>
      </c>
      <c r="F172" s="37">
        <v>11</v>
      </c>
      <c r="G172" s="41">
        <v>117895.18</v>
      </c>
      <c r="H172" s="37">
        <v>7</v>
      </c>
      <c r="I172" s="41">
        <v>143001.71</v>
      </c>
      <c r="J172" s="37">
        <f t="shared" si="19"/>
        <v>30</v>
      </c>
      <c r="K172" s="41">
        <f t="shared" si="19"/>
        <v>565186.29999999993</v>
      </c>
      <c r="M172" s="41">
        <f t="shared" si="17"/>
        <v>18839.543333333331</v>
      </c>
      <c r="N172" s="25"/>
      <c r="O172" s="25"/>
    </row>
    <row r="173" spans="1:15" x14ac:dyDescent="0.25">
      <c r="A173" s="18" t="s">
        <v>308</v>
      </c>
      <c r="B173" s="16" t="s">
        <v>409</v>
      </c>
      <c r="C173" s="16" t="s">
        <v>116</v>
      </c>
      <c r="D173" s="37">
        <v>9</v>
      </c>
      <c r="E173" s="41">
        <v>100539</v>
      </c>
      <c r="F173" s="37">
        <v>7</v>
      </c>
      <c r="G173" s="41">
        <v>118594.86</v>
      </c>
      <c r="J173" s="37">
        <f t="shared" si="19"/>
        <v>16</v>
      </c>
      <c r="K173" s="41">
        <f t="shared" si="19"/>
        <v>219133.86</v>
      </c>
      <c r="M173" s="41">
        <f t="shared" si="17"/>
        <v>13695.866249999999</v>
      </c>
      <c r="N173" s="25"/>
      <c r="O173" s="25"/>
    </row>
    <row r="174" spans="1:15" x14ac:dyDescent="0.25">
      <c r="A174" s="27" t="s">
        <v>322</v>
      </c>
      <c r="B174" s="16" t="s">
        <v>409</v>
      </c>
      <c r="C174" s="16" t="s">
        <v>116</v>
      </c>
      <c r="D174" s="37">
        <v>0</v>
      </c>
      <c r="F174" s="37">
        <v>5</v>
      </c>
      <c r="G174" s="41">
        <v>196472.72</v>
      </c>
      <c r="H174" s="37">
        <v>8</v>
      </c>
      <c r="I174" s="41">
        <v>275482.83</v>
      </c>
      <c r="J174" s="37">
        <f t="shared" si="19"/>
        <v>13</v>
      </c>
      <c r="K174" s="41">
        <f t="shared" si="19"/>
        <v>471955.55000000005</v>
      </c>
      <c r="M174" s="41">
        <f t="shared" si="17"/>
        <v>36304.273076923084</v>
      </c>
      <c r="N174" s="25"/>
      <c r="O174" s="25"/>
    </row>
    <row r="175" spans="1:15" x14ac:dyDescent="0.25">
      <c r="A175" s="18" t="s">
        <v>319</v>
      </c>
      <c r="B175" s="16" t="s">
        <v>409</v>
      </c>
      <c r="C175" s="16" t="s">
        <v>116</v>
      </c>
      <c r="D175" s="37">
        <v>4</v>
      </c>
      <c r="E175" s="41">
        <v>51115</v>
      </c>
      <c r="F175" s="37">
        <v>3</v>
      </c>
      <c r="G175" s="41">
        <v>37575</v>
      </c>
      <c r="H175" s="37">
        <v>5</v>
      </c>
      <c r="I175" s="41">
        <v>37428</v>
      </c>
      <c r="J175" s="37">
        <f t="shared" si="19"/>
        <v>12</v>
      </c>
      <c r="K175" s="41">
        <f t="shared" si="19"/>
        <v>126118</v>
      </c>
      <c r="M175" s="41">
        <f t="shared" si="17"/>
        <v>10509.833333333334</v>
      </c>
      <c r="N175" s="25" t="s">
        <v>533</v>
      </c>
      <c r="O175" s="25"/>
    </row>
    <row r="176" spans="1:15" x14ac:dyDescent="0.25">
      <c r="A176" s="18" t="s">
        <v>303</v>
      </c>
      <c r="B176" s="16" t="s">
        <v>409</v>
      </c>
      <c r="C176" s="16" t="s">
        <v>116</v>
      </c>
      <c r="D176" s="37">
        <v>5</v>
      </c>
      <c r="F176" s="37">
        <v>6</v>
      </c>
      <c r="J176" s="37">
        <f>SUM(D176+F176+H176)</f>
        <v>11</v>
      </c>
      <c r="K176" s="41">
        <v>164470.32999999999</v>
      </c>
      <c r="M176" s="41">
        <f t="shared" si="17"/>
        <v>14951.848181818181</v>
      </c>
      <c r="N176" s="25"/>
      <c r="O176" s="25"/>
    </row>
    <row r="177" spans="1:15" x14ac:dyDescent="0.25">
      <c r="A177" s="18" t="s">
        <v>312</v>
      </c>
      <c r="B177" s="16" t="s">
        <v>409</v>
      </c>
      <c r="C177" s="16" t="s">
        <v>116</v>
      </c>
      <c r="D177" s="37">
        <v>3</v>
      </c>
      <c r="E177" s="41">
        <v>21000</v>
      </c>
      <c r="F177" s="37">
        <v>0</v>
      </c>
      <c r="G177" s="41">
        <v>0</v>
      </c>
      <c r="H177" s="37">
        <v>3</v>
      </c>
      <c r="I177" s="41">
        <v>24000</v>
      </c>
      <c r="J177" s="37">
        <f>SUM(D177+F177+H177)</f>
        <v>6</v>
      </c>
      <c r="K177" s="41">
        <f>SUM(E177+G177+I177)</f>
        <v>45000</v>
      </c>
      <c r="M177" s="41">
        <f t="shared" si="17"/>
        <v>7500</v>
      </c>
      <c r="N177" s="25"/>
      <c r="O177" s="25"/>
    </row>
    <row r="178" spans="1:15" x14ac:dyDescent="0.25">
      <c r="A178" s="18" t="s">
        <v>311</v>
      </c>
      <c r="B178" s="16" t="s">
        <v>409</v>
      </c>
      <c r="C178" s="16" t="s">
        <v>116</v>
      </c>
      <c r="D178" s="37">
        <v>0</v>
      </c>
      <c r="E178" s="41">
        <v>0</v>
      </c>
      <c r="F178" s="37">
        <v>2</v>
      </c>
      <c r="G178" s="41">
        <v>69000</v>
      </c>
      <c r="H178" s="37">
        <v>0</v>
      </c>
      <c r="I178" s="41">
        <v>0</v>
      </c>
      <c r="J178" s="37">
        <f>SUM(D178+F178+H178)</f>
        <v>2</v>
      </c>
      <c r="K178" s="41">
        <f>SUM(E178+G178+I178)</f>
        <v>69000</v>
      </c>
      <c r="M178" s="41">
        <f t="shared" si="17"/>
        <v>34500</v>
      </c>
      <c r="N178" s="25"/>
      <c r="O178" s="25"/>
    </row>
    <row r="179" spans="1:15" x14ac:dyDescent="0.25">
      <c r="A179" s="27" t="s">
        <v>320</v>
      </c>
      <c r="B179" s="16" t="s">
        <v>409</v>
      </c>
      <c r="C179" s="16" t="s">
        <v>116</v>
      </c>
      <c r="J179" s="37">
        <v>0</v>
      </c>
      <c r="K179" s="41">
        <v>0</v>
      </c>
      <c r="M179" s="41"/>
      <c r="N179" s="25" t="s">
        <v>542</v>
      </c>
      <c r="O179" s="25"/>
    </row>
    <row r="180" spans="1:15" x14ac:dyDescent="0.25">
      <c r="A180" s="18" t="s">
        <v>304</v>
      </c>
      <c r="B180" s="16" t="s">
        <v>409</v>
      </c>
      <c r="C180" s="16" t="s">
        <v>116</v>
      </c>
      <c r="E180" s="41">
        <v>224733.93</v>
      </c>
      <c r="G180" s="41">
        <v>229175</v>
      </c>
      <c r="I180" s="41">
        <v>135780</v>
      </c>
      <c r="K180" s="41">
        <f>SUM(E180+G180+I180)</f>
        <v>589688.92999999993</v>
      </c>
      <c r="M180" s="41"/>
      <c r="N180" s="25"/>
      <c r="O180" s="25"/>
    </row>
    <row r="181" spans="1:15" x14ac:dyDescent="0.25">
      <c r="A181" s="27" t="s">
        <v>330</v>
      </c>
      <c r="B181" s="16" t="s">
        <v>409</v>
      </c>
      <c r="C181" s="16" t="s">
        <v>116</v>
      </c>
      <c r="M181" s="41"/>
      <c r="N181" s="25" t="s">
        <v>444</v>
      </c>
      <c r="O181" s="25"/>
    </row>
    <row r="182" spans="1:15" x14ac:dyDescent="0.25">
      <c r="A182" s="27" t="s">
        <v>333</v>
      </c>
      <c r="B182" s="16" t="s">
        <v>409</v>
      </c>
      <c r="C182" s="16" t="s">
        <v>116</v>
      </c>
      <c r="M182" s="41"/>
      <c r="N182" s="25" t="s">
        <v>547</v>
      </c>
      <c r="O182" s="25"/>
    </row>
    <row r="183" spans="1:15" x14ac:dyDescent="0.25">
      <c r="A183" s="27" t="s">
        <v>73</v>
      </c>
      <c r="B183" s="16" t="s">
        <v>414</v>
      </c>
      <c r="C183" s="16" t="s">
        <v>117</v>
      </c>
      <c r="D183" s="37">
        <v>56</v>
      </c>
      <c r="E183" s="41">
        <v>790036</v>
      </c>
      <c r="F183" s="37">
        <v>46</v>
      </c>
      <c r="G183" s="41">
        <v>501359</v>
      </c>
      <c r="H183" s="37">
        <v>30</v>
      </c>
      <c r="I183" s="41">
        <v>518022</v>
      </c>
      <c r="J183" s="37">
        <f>SUM(D183+F183+H183)</f>
        <v>132</v>
      </c>
      <c r="K183" s="41">
        <f>SUM(E183+G183+I183)</f>
        <v>1809417</v>
      </c>
      <c r="M183" s="41">
        <f t="shared" ref="M183:M190" si="20">SUM(K183/J183)</f>
        <v>13707.704545454546</v>
      </c>
      <c r="N183" s="25" t="s">
        <v>570</v>
      </c>
      <c r="O183" s="25"/>
    </row>
    <row r="184" spans="1:15" x14ac:dyDescent="0.25">
      <c r="A184" s="18" t="s">
        <v>48</v>
      </c>
      <c r="B184" s="16" t="s">
        <v>414</v>
      </c>
      <c r="C184" s="16" t="s">
        <v>115</v>
      </c>
      <c r="D184" s="37">
        <v>20</v>
      </c>
      <c r="E184" s="41">
        <v>349544.39</v>
      </c>
      <c r="F184" s="37">
        <v>15</v>
      </c>
      <c r="G184" s="41">
        <v>275066.99</v>
      </c>
      <c r="H184" s="37">
        <v>16</v>
      </c>
      <c r="I184" s="41">
        <v>149238.48000000001</v>
      </c>
      <c r="J184" s="37">
        <f>SUM(D184+F184+H184)</f>
        <v>51</v>
      </c>
      <c r="K184" s="41">
        <f>SUM(E184+G184+I184)</f>
        <v>773849.86</v>
      </c>
      <c r="M184" s="41">
        <f t="shared" si="20"/>
        <v>15173.526666666667</v>
      </c>
      <c r="N184" s="25" t="s">
        <v>447</v>
      </c>
      <c r="O184" s="25"/>
    </row>
    <row r="185" spans="1:15" x14ac:dyDescent="0.25">
      <c r="A185" s="27" t="s">
        <v>86</v>
      </c>
      <c r="B185" s="16" t="s">
        <v>414</v>
      </c>
      <c r="C185" s="16" t="s">
        <v>117</v>
      </c>
      <c r="D185" s="37">
        <v>16</v>
      </c>
      <c r="F185" s="37">
        <v>8</v>
      </c>
      <c r="H185" s="37">
        <v>16</v>
      </c>
      <c r="J185" s="37">
        <f t="shared" ref="J185:J190" si="21">SUM(D185+F185+H185)</f>
        <v>40</v>
      </c>
      <c r="M185" s="41">
        <f t="shared" si="20"/>
        <v>0</v>
      </c>
      <c r="N185" s="25"/>
      <c r="O185" s="25"/>
    </row>
    <row r="186" spans="1:15" x14ac:dyDescent="0.25">
      <c r="A186" s="18" t="s">
        <v>44</v>
      </c>
      <c r="B186" s="25" t="s">
        <v>414</v>
      </c>
      <c r="C186" s="25" t="s">
        <v>115</v>
      </c>
      <c r="D186" s="37">
        <v>8</v>
      </c>
      <c r="E186" s="41">
        <v>64200.02</v>
      </c>
      <c r="F186" s="37">
        <v>13</v>
      </c>
      <c r="G186" s="41">
        <v>170370.51</v>
      </c>
      <c r="H186" s="37">
        <v>9</v>
      </c>
      <c r="I186" s="41">
        <v>134890.51</v>
      </c>
      <c r="J186" s="37">
        <f t="shared" si="21"/>
        <v>30</v>
      </c>
      <c r="K186" s="41">
        <f>SUM(E186+G186+I186)</f>
        <v>369461.04000000004</v>
      </c>
      <c r="M186" s="41">
        <f t="shared" si="20"/>
        <v>12315.368</v>
      </c>
      <c r="N186" s="25" t="s">
        <v>482</v>
      </c>
      <c r="O186" s="25"/>
    </row>
    <row r="187" spans="1:15" x14ac:dyDescent="0.25">
      <c r="A187" s="18" t="s">
        <v>337</v>
      </c>
      <c r="B187" s="16" t="s">
        <v>414</v>
      </c>
      <c r="C187" s="16" t="s">
        <v>117</v>
      </c>
      <c r="D187" s="37">
        <v>12</v>
      </c>
      <c r="E187" s="41">
        <v>139510.25</v>
      </c>
      <c r="F187" s="37">
        <v>14</v>
      </c>
      <c r="G187" s="41">
        <v>138045.51</v>
      </c>
      <c r="H187" s="37">
        <v>4</v>
      </c>
      <c r="I187" s="41">
        <v>40800.04</v>
      </c>
      <c r="J187" s="37">
        <f t="shared" si="21"/>
        <v>30</v>
      </c>
      <c r="K187" s="41">
        <f>SUM(E187+G187+I187)</f>
        <v>318355.8</v>
      </c>
      <c r="M187" s="41">
        <f t="shared" si="20"/>
        <v>10611.859999999999</v>
      </c>
      <c r="N187" s="25"/>
      <c r="O187" s="25"/>
    </row>
    <row r="188" spans="1:15" x14ac:dyDescent="0.25">
      <c r="A188" s="18" t="s">
        <v>37</v>
      </c>
      <c r="B188" s="16" t="s">
        <v>414</v>
      </c>
      <c r="C188" s="16" t="s">
        <v>115</v>
      </c>
      <c r="D188" s="37">
        <v>15</v>
      </c>
      <c r="E188" s="41">
        <v>89460.9</v>
      </c>
      <c r="F188" s="37">
        <v>4</v>
      </c>
      <c r="G188" s="41">
        <v>46600</v>
      </c>
      <c r="H188" s="37">
        <v>7</v>
      </c>
      <c r="I188" s="41">
        <v>156966.6</v>
      </c>
      <c r="J188" s="37">
        <f t="shared" si="21"/>
        <v>26</v>
      </c>
      <c r="K188" s="41">
        <f>SUM(E188+G188+I188)</f>
        <v>293027.5</v>
      </c>
      <c r="M188" s="41">
        <f t="shared" si="20"/>
        <v>11270.288461538461</v>
      </c>
      <c r="N188" s="25" t="s">
        <v>516</v>
      </c>
      <c r="O188" s="25"/>
    </row>
    <row r="189" spans="1:15" x14ac:dyDescent="0.25">
      <c r="A189" s="18" t="s">
        <v>56</v>
      </c>
      <c r="B189" s="16" t="s">
        <v>414</v>
      </c>
      <c r="C189" s="16" t="s">
        <v>115</v>
      </c>
      <c r="D189" s="37">
        <v>9</v>
      </c>
      <c r="E189" s="41">
        <v>110000</v>
      </c>
      <c r="F189" s="37">
        <v>8</v>
      </c>
      <c r="G189" s="41">
        <v>147000</v>
      </c>
      <c r="H189" s="37">
        <v>7</v>
      </c>
      <c r="I189" s="41">
        <v>268000</v>
      </c>
      <c r="J189" s="37">
        <f t="shared" si="21"/>
        <v>24</v>
      </c>
      <c r="K189" s="41">
        <f>SUM(E189+G189+I189)</f>
        <v>525000</v>
      </c>
      <c r="M189" s="41">
        <f t="shared" si="20"/>
        <v>21875</v>
      </c>
      <c r="N189" s="25" t="s">
        <v>444</v>
      </c>
      <c r="O189" s="25"/>
    </row>
    <row r="190" spans="1:15" x14ac:dyDescent="0.25">
      <c r="A190" s="18" t="s">
        <v>74</v>
      </c>
      <c r="B190" s="16" t="s">
        <v>414</v>
      </c>
      <c r="C190" s="16" t="s">
        <v>117</v>
      </c>
      <c r="D190" s="37">
        <v>7</v>
      </c>
      <c r="E190" s="41">
        <v>82500</v>
      </c>
      <c r="F190" s="37">
        <v>9</v>
      </c>
      <c r="G190" s="41">
        <v>102206</v>
      </c>
      <c r="H190" s="37">
        <v>5</v>
      </c>
      <c r="I190" s="41">
        <v>55600</v>
      </c>
      <c r="J190" s="37">
        <f t="shared" si="21"/>
        <v>21</v>
      </c>
      <c r="K190" s="41">
        <f>SUM(E190+G190+I190)</f>
        <v>240306</v>
      </c>
      <c r="M190" s="41">
        <f t="shared" si="20"/>
        <v>11443.142857142857</v>
      </c>
      <c r="N190" s="25"/>
      <c r="O190" s="25"/>
    </row>
    <row r="191" spans="1:15" x14ac:dyDescent="0.25">
      <c r="A191" s="18" t="s">
        <v>43</v>
      </c>
      <c r="B191" s="16" t="s">
        <v>414</v>
      </c>
      <c r="C191" s="16" t="s">
        <v>115</v>
      </c>
      <c r="E191" s="41">
        <v>79257.259999999995</v>
      </c>
      <c r="G191" s="41" t="s">
        <v>508</v>
      </c>
      <c r="I191" s="41">
        <v>176524.11</v>
      </c>
      <c r="K191" s="41">
        <v>335921.22</v>
      </c>
      <c r="M191" s="41"/>
      <c r="N191" s="25"/>
      <c r="O191" s="25"/>
    </row>
    <row r="192" spans="1:15" x14ac:dyDescent="0.25">
      <c r="A192" s="18" t="s">
        <v>33</v>
      </c>
      <c r="B192" s="16" t="s">
        <v>405</v>
      </c>
      <c r="C192" s="16" t="s">
        <v>115</v>
      </c>
      <c r="D192" s="37">
        <v>102</v>
      </c>
      <c r="F192" s="37">
        <v>83</v>
      </c>
      <c r="H192" s="37">
        <v>78</v>
      </c>
      <c r="J192" s="37">
        <f>SUM(H192+F192+D192)</f>
        <v>263</v>
      </c>
      <c r="M192" s="41">
        <f t="shared" ref="M192:M215" si="22">SUM(K192/J192)</f>
        <v>0</v>
      </c>
      <c r="N192" s="25" t="s">
        <v>574</v>
      </c>
      <c r="O192" s="25"/>
    </row>
    <row r="193" spans="1:15" x14ac:dyDescent="0.25">
      <c r="A193" s="18" t="s">
        <v>121</v>
      </c>
      <c r="B193" s="16" t="s">
        <v>405</v>
      </c>
      <c r="C193" s="16" t="s">
        <v>118</v>
      </c>
      <c r="D193" s="37">
        <v>26</v>
      </c>
      <c r="E193" s="41">
        <v>494832.84</v>
      </c>
      <c r="F193" s="37">
        <v>32</v>
      </c>
      <c r="G193" s="41">
        <v>330276.69</v>
      </c>
      <c r="H193" s="37">
        <v>35</v>
      </c>
      <c r="I193" s="41">
        <v>541068.12</v>
      </c>
      <c r="J193" s="37">
        <v>128</v>
      </c>
      <c r="K193" s="41">
        <f>SUM(E193+G193+I193)</f>
        <v>1366177.65</v>
      </c>
      <c r="M193" s="41">
        <f t="shared" si="22"/>
        <v>10673.262890624999</v>
      </c>
      <c r="N193" s="25" t="s">
        <v>570</v>
      </c>
      <c r="O193" s="25"/>
    </row>
    <row r="194" spans="1:15" x14ac:dyDescent="0.25">
      <c r="A194" s="27" t="s">
        <v>55</v>
      </c>
      <c r="B194" s="16" t="s">
        <v>405</v>
      </c>
      <c r="C194" s="16" t="s">
        <v>115</v>
      </c>
      <c r="D194" s="37">
        <v>42</v>
      </c>
      <c r="E194" s="41">
        <v>745626.43</v>
      </c>
      <c r="F194" s="37">
        <v>12</v>
      </c>
      <c r="G194" s="41">
        <v>197246.22</v>
      </c>
      <c r="H194" s="37">
        <v>21</v>
      </c>
      <c r="I194" s="41">
        <v>430268.1</v>
      </c>
      <c r="J194" s="37">
        <f>SUM(D194+F194+H194)</f>
        <v>75</v>
      </c>
      <c r="K194" s="41">
        <f>SUM(E194+G194+I194)</f>
        <v>1373140.75</v>
      </c>
      <c r="M194" s="41">
        <f t="shared" si="22"/>
        <v>18308.543333333335</v>
      </c>
      <c r="N194" s="25"/>
      <c r="O194" s="25"/>
    </row>
    <row r="195" spans="1:15" x14ac:dyDescent="0.25">
      <c r="A195" s="27" t="s">
        <v>66</v>
      </c>
      <c r="B195" s="16" t="s">
        <v>405</v>
      </c>
      <c r="C195" s="16" t="s">
        <v>117</v>
      </c>
      <c r="D195" s="37">
        <v>18</v>
      </c>
      <c r="E195" s="41">
        <v>112044.74</v>
      </c>
      <c r="F195" s="37">
        <v>17</v>
      </c>
      <c r="G195" s="41">
        <v>151803.18</v>
      </c>
      <c r="H195" s="37">
        <v>4</v>
      </c>
      <c r="I195" s="41">
        <v>21982.32</v>
      </c>
      <c r="J195" s="37">
        <f>SUM(D195+F195+H195)</f>
        <v>39</v>
      </c>
      <c r="K195" s="41">
        <f>SUM(E195+G195+I195)</f>
        <v>285830.24</v>
      </c>
      <c r="M195" s="41">
        <f t="shared" si="22"/>
        <v>7328.9805128205126</v>
      </c>
      <c r="N195" s="25" t="s">
        <v>463</v>
      </c>
      <c r="O195" s="25"/>
    </row>
    <row r="196" spans="1:15" x14ac:dyDescent="0.25">
      <c r="A196" s="27" t="s">
        <v>166</v>
      </c>
      <c r="B196" s="16" t="s">
        <v>405</v>
      </c>
      <c r="C196" s="16" t="s">
        <v>302</v>
      </c>
      <c r="D196" s="37">
        <v>13</v>
      </c>
      <c r="E196" s="41">
        <v>219076</v>
      </c>
      <c r="F196" s="37">
        <v>8</v>
      </c>
      <c r="G196" s="41">
        <v>329470</v>
      </c>
      <c r="H196" s="37">
        <v>13</v>
      </c>
      <c r="I196" s="41">
        <v>392983</v>
      </c>
      <c r="J196" s="37">
        <f>D196+F196+H196</f>
        <v>34</v>
      </c>
      <c r="K196" s="41">
        <f>E196+G196+I196</f>
        <v>941529</v>
      </c>
      <c r="M196" s="41">
        <f t="shared" si="22"/>
        <v>27692.029411764706</v>
      </c>
      <c r="N196" s="25" t="s">
        <v>528</v>
      </c>
      <c r="O196" s="25"/>
    </row>
    <row r="197" spans="1:15" x14ac:dyDescent="0.25">
      <c r="A197" s="18" t="s">
        <v>58</v>
      </c>
      <c r="B197" s="16" t="s">
        <v>405</v>
      </c>
      <c r="C197" s="16" t="s">
        <v>115</v>
      </c>
      <c r="D197" s="37">
        <v>7</v>
      </c>
      <c r="E197" s="41">
        <v>98650</v>
      </c>
      <c r="F197" s="37">
        <v>16</v>
      </c>
      <c r="G197" s="41">
        <v>155059</v>
      </c>
      <c r="H197" s="37">
        <v>11</v>
      </c>
      <c r="I197" s="41">
        <v>153751</v>
      </c>
      <c r="J197" s="37">
        <f t="shared" ref="J197:K199" si="23">SUM(D197+F197+H197)</f>
        <v>34</v>
      </c>
      <c r="K197" s="41">
        <f t="shared" si="23"/>
        <v>407460</v>
      </c>
      <c r="M197" s="41">
        <f t="shared" si="22"/>
        <v>11984.117647058823</v>
      </c>
      <c r="N197" s="25"/>
      <c r="O197" s="25"/>
    </row>
    <row r="198" spans="1:15" x14ac:dyDescent="0.25">
      <c r="A198" s="18" t="s">
        <v>62</v>
      </c>
      <c r="B198" s="16" t="s">
        <v>405</v>
      </c>
      <c r="C198" s="16" t="s">
        <v>115</v>
      </c>
      <c r="D198" s="37">
        <v>8</v>
      </c>
      <c r="E198" s="41">
        <v>114634</v>
      </c>
      <c r="F198" s="37">
        <v>7</v>
      </c>
      <c r="G198" s="41">
        <v>107988.01</v>
      </c>
      <c r="H198" s="37">
        <v>9</v>
      </c>
      <c r="I198" s="41">
        <v>162164.70000000001</v>
      </c>
      <c r="J198" s="37">
        <f t="shared" si="23"/>
        <v>24</v>
      </c>
      <c r="K198" s="41">
        <f t="shared" si="23"/>
        <v>384786.71</v>
      </c>
      <c r="M198" s="41">
        <f t="shared" si="22"/>
        <v>16032.779583333335</v>
      </c>
      <c r="N198" s="25" t="s">
        <v>472</v>
      </c>
      <c r="O198" s="25"/>
    </row>
    <row r="199" spans="1:15" x14ac:dyDescent="0.25">
      <c r="A199" s="18" t="s">
        <v>108</v>
      </c>
      <c r="B199" s="16" t="s">
        <v>405</v>
      </c>
      <c r="C199" s="16" t="s">
        <v>117</v>
      </c>
      <c r="D199" s="37">
        <v>4</v>
      </c>
      <c r="E199" s="41">
        <v>30700</v>
      </c>
      <c r="F199" s="37">
        <v>5</v>
      </c>
      <c r="G199" s="41">
        <v>198490</v>
      </c>
      <c r="H199" s="37">
        <v>11</v>
      </c>
      <c r="I199" s="41">
        <v>163306.92000000001</v>
      </c>
      <c r="J199" s="37">
        <f t="shared" si="23"/>
        <v>20</v>
      </c>
      <c r="K199" s="41">
        <f t="shared" si="23"/>
        <v>392496.92000000004</v>
      </c>
      <c r="M199" s="41">
        <f t="shared" si="22"/>
        <v>19624.846000000001</v>
      </c>
      <c r="N199" s="25"/>
      <c r="O199" s="25"/>
    </row>
    <row r="200" spans="1:15" x14ac:dyDescent="0.25">
      <c r="A200" s="18" t="s">
        <v>264</v>
      </c>
      <c r="B200" s="16" t="s">
        <v>405</v>
      </c>
      <c r="C200" s="16" t="s">
        <v>302</v>
      </c>
      <c r="D200" s="37">
        <v>4</v>
      </c>
      <c r="F200" s="37">
        <v>9</v>
      </c>
      <c r="H200" s="37">
        <v>4</v>
      </c>
      <c r="J200" s="37">
        <v>17</v>
      </c>
      <c r="K200" s="41">
        <v>383376</v>
      </c>
      <c r="M200" s="41">
        <f t="shared" si="22"/>
        <v>22551.529411764706</v>
      </c>
      <c r="N200" s="25"/>
      <c r="O200" s="25"/>
    </row>
    <row r="201" spans="1:15" x14ac:dyDescent="0.25">
      <c r="A201" s="27" t="s">
        <v>51</v>
      </c>
      <c r="B201" s="16" t="s">
        <v>405</v>
      </c>
      <c r="C201" s="16" t="s">
        <v>115</v>
      </c>
      <c r="D201" s="37">
        <v>4</v>
      </c>
      <c r="E201" s="41">
        <v>19578.939999999999</v>
      </c>
      <c r="F201" s="37">
        <v>12</v>
      </c>
      <c r="G201" s="41">
        <v>152211.49</v>
      </c>
      <c r="H201" s="37">
        <v>1</v>
      </c>
      <c r="I201" s="41">
        <v>9742.06</v>
      </c>
      <c r="J201" s="37">
        <f>SUM(D201+F201+H201)</f>
        <v>17</v>
      </c>
      <c r="K201" s="41">
        <f>SUM(E201+G201+I201)</f>
        <v>181532.49</v>
      </c>
      <c r="M201" s="41">
        <f t="shared" si="22"/>
        <v>10678.381764705882</v>
      </c>
      <c r="N201" s="25" t="s">
        <v>447</v>
      </c>
      <c r="O201" s="25"/>
    </row>
    <row r="202" spans="1:15" x14ac:dyDescent="0.25">
      <c r="A202" s="18" t="s">
        <v>45</v>
      </c>
      <c r="B202" s="16" t="s">
        <v>405</v>
      </c>
      <c r="C202" s="16" t="s">
        <v>115</v>
      </c>
      <c r="D202" s="37">
        <v>7</v>
      </c>
      <c r="F202" s="37">
        <v>7</v>
      </c>
      <c r="H202" s="37">
        <v>3</v>
      </c>
      <c r="J202" s="37">
        <f t="shared" ref="J202:J215" si="24">SUM(D202+F202+H202)</f>
        <v>17</v>
      </c>
      <c r="M202" s="41">
        <f t="shared" si="22"/>
        <v>0</v>
      </c>
      <c r="N202" s="25"/>
      <c r="O202" s="25"/>
    </row>
    <row r="203" spans="1:15" x14ac:dyDescent="0.25">
      <c r="A203" s="27" t="s">
        <v>146</v>
      </c>
      <c r="B203" s="16" t="s">
        <v>405</v>
      </c>
      <c r="C203" s="16" t="s">
        <v>302</v>
      </c>
      <c r="D203" s="37">
        <v>2</v>
      </c>
      <c r="E203" s="41">
        <v>30873</v>
      </c>
      <c r="F203" s="37">
        <v>9</v>
      </c>
      <c r="G203" s="41">
        <v>209424</v>
      </c>
      <c r="H203" s="37">
        <v>2</v>
      </c>
      <c r="I203" s="41">
        <v>14394</v>
      </c>
      <c r="J203" s="37">
        <f t="shared" si="24"/>
        <v>13</v>
      </c>
      <c r="K203" s="41">
        <f t="shared" ref="K203:K214" si="25">SUM(E203+G203+I203)</f>
        <v>254691</v>
      </c>
      <c r="M203" s="41">
        <f t="shared" si="22"/>
        <v>19591.615384615383</v>
      </c>
      <c r="N203" s="25"/>
      <c r="O203" s="25"/>
    </row>
    <row r="204" spans="1:15" x14ac:dyDescent="0.25">
      <c r="A204" s="27" t="s">
        <v>170</v>
      </c>
      <c r="B204" s="16" t="s">
        <v>405</v>
      </c>
      <c r="C204" s="16" t="s">
        <v>302</v>
      </c>
      <c r="D204" s="37">
        <v>2</v>
      </c>
      <c r="E204" s="41">
        <v>106205.9</v>
      </c>
      <c r="F204" s="37">
        <v>3</v>
      </c>
      <c r="G204" s="41">
        <v>106205.92</v>
      </c>
      <c r="H204" s="37">
        <v>7</v>
      </c>
      <c r="I204" s="41">
        <v>177682.77</v>
      </c>
      <c r="J204" s="37">
        <f t="shared" si="24"/>
        <v>12</v>
      </c>
      <c r="K204" s="41">
        <f t="shared" si="25"/>
        <v>390094.58999999997</v>
      </c>
      <c r="M204" s="41">
        <f t="shared" si="22"/>
        <v>32507.882499999996</v>
      </c>
      <c r="N204" s="25" t="s">
        <v>565</v>
      </c>
      <c r="O204" s="25"/>
    </row>
    <row r="205" spans="1:15" x14ac:dyDescent="0.25">
      <c r="A205" s="18" t="s">
        <v>262</v>
      </c>
      <c r="B205" s="16" t="s">
        <v>405</v>
      </c>
      <c r="C205" s="16" t="s">
        <v>302</v>
      </c>
      <c r="D205" s="37">
        <v>3</v>
      </c>
      <c r="E205" s="41">
        <v>31607</v>
      </c>
      <c r="F205" s="37">
        <v>2</v>
      </c>
      <c r="G205" s="41">
        <v>40709.550000000003</v>
      </c>
      <c r="H205" s="37">
        <v>7</v>
      </c>
      <c r="I205" s="41">
        <v>272197.33</v>
      </c>
      <c r="J205" s="37">
        <f t="shared" si="24"/>
        <v>12</v>
      </c>
      <c r="K205" s="41">
        <f t="shared" si="25"/>
        <v>344513.88</v>
      </c>
      <c r="M205" s="41">
        <f t="shared" si="22"/>
        <v>28709.49</v>
      </c>
      <c r="N205" s="25" t="s">
        <v>449</v>
      </c>
      <c r="O205" s="25"/>
    </row>
    <row r="206" spans="1:15" x14ac:dyDescent="0.25">
      <c r="A206" s="18" t="s">
        <v>39</v>
      </c>
      <c r="B206" s="16" t="s">
        <v>405</v>
      </c>
      <c r="C206" s="16" t="s">
        <v>115</v>
      </c>
      <c r="D206" s="37">
        <v>5</v>
      </c>
      <c r="E206" s="41">
        <f>8295+3324+3776+4880+20000</f>
        <v>40275</v>
      </c>
      <c r="F206" s="37">
        <v>2</v>
      </c>
      <c r="G206" s="41">
        <f>8495+2933</f>
        <v>11428</v>
      </c>
      <c r="H206" s="37">
        <v>2</v>
      </c>
      <c r="I206" s="41">
        <f>2020+8108</f>
        <v>10128</v>
      </c>
      <c r="J206" s="37">
        <f t="shared" si="24"/>
        <v>9</v>
      </c>
      <c r="K206" s="41">
        <f t="shared" si="25"/>
        <v>61831</v>
      </c>
      <c r="M206" s="41">
        <f t="shared" si="22"/>
        <v>6870.1111111111113</v>
      </c>
      <c r="N206" s="25"/>
      <c r="O206" s="25"/>
    </row>
    <row r="207" spans="1:15" x14ac:dyDescent="0.25">
      <c r="A207" s="18" t="s">
        <v>46</v>
      </c>
      <c r="B207" s="16" t="s">
        <v>405</v>
      </c>
      <c r="C207" s="16" t="s">
        <v>115</v>
      </c>
      <c r="D207" s="37">
        <v>0</v>
      </c>
      <c r="E207" s="41">
        <v>0</v>
      </c>
      <c r="F207" s="37">
        <v>5</v>
      </c>
      <c r="G207" s="41">
        <v>79908.3</v>
      </c>
      <c r="H207" s="37">
        <v>1</v>
      </c>
      <c r="I207" s="41">
        <v>22521</v>
      </c>
      <c r="J207" s="37">
        <f t="shared" si="24"/>
        <v>6</v>
      </c>
      <c r="K207" s="41">
        <f t="shared" si="25"/>
        <v>102429.3</v>
      </c>
      <c r="M207" s="41">
        <f t="shared" si="22"/>
        <v>17071.55</v>
      </c>
      <c r="N207" s="25"/>
      <c r="O207" s="25"/>
    </row>
    <row r="208" spans="1:15" x14ac:dyDescent="0.25">
      <c r="A208" s="18" t="s">
        <v>196</v>
      </c>
      <c r="B208" s="16" t="s">
        <v>405</v>
      </c>
      <c r="C208" s="16" t="s">
        <v>302</v>
      </c>
      <c r="D208" s="37">
        <v>1</v>
      </c>
      <c r="E208" s="41">
        <v>12841.38</v>
      </c>
      <c r="F208" s="37">
        <v>0</v>
      </c>
      <c r="G208" s="41">
        <v>0</v>
      </c>
      <c r="H208" s="37">
        <v>4</v>
      </c>
      <c r="I208" s="41">
        <f>57864.9+66342.35</f>
        <v>124207.25</v>
      </c>
      <c r="J208" s="37">
        <f t="shared" si="24"/>
        <v>5</v>
      </c>
      <c r="K208" s="41">
        <f t="shared" si="25"/>
        <v>137048.63</v>
      </c>
      <c r="M208" s="41">
        <f t="shared" si="22"/>
        <v>27409.726000000002</v>
      </c>
      <c r="N208" s="25"/>
      <c r="O208" s="25"/>
    </row>
    <row r="209" spans="1:15" x14ac:dyDescent="0.25">
      <c r="A209" s="18" t="s">
        <v>206</v>
      </c>
      <c r="B209" s="16" t="s">
        <v>405</v>
      </c>
      <c r="C209" s="16" t="s">
        <v>302</v>
      </c>
      <c r="D209" s="37">
        <v>3</v>
      </c>
      <c r="E209" s="41">
        <v>60379.360000000001</v>
      </c>
      <c r="F209" s="37">
        <v>1</v>
      </c>
      <c r="G209" s="41">
        <v>40000</v>
      </c>
      <c r="H209" s="37">
        <v>1</v>
      </c>
      <c r="I209" s="41">
        <v>29965</v>
      </c>
      <c r="J209" s="37">
        <f t="shared" si="24"/>
        <v>5</v>
      </c>
      <c r="K209" s="41">
        <f t="shared" si="25"/>
        <v>130344.36</v>
      </c>
      <c r="M209" s="41">
        <f t="shared" si="22"/>
        <v>26068.871999999999</v>
      </c>
      <c r="N209" s="25"/>
      <c r="O209" s="25"/>
    </row>
    <row r="210" spans="1:15" x14ac:dyDescent="0.25">
      <c r="A210" s="27" t="s">
        <v>249</v>
      </c>
      <c r="B210" s="16" t="s">
        <v>405</v>
      </c>
      <c r="C210" s="16" t="s">
        <v>302</v>
      </c>
      <c r="D210" s="37">
        <v>3</v>
      </c>
      <c r="E210" s="41">
        <f>(10434.34+7500+11235)</f>
        <v>29169.34</v>
      </c>
      <c r="F210" s="37">
        <v>0</v>
      </c>
      <c r="G210" s="41">
        <v>0</v>
      </c>
      <c r="H210" s="37">
        <v>1</v>
      </c>
      <c r="I210" s="41">
        <v>3136.54</v>
      </c>
      <c r="J210" s="37">
        <f t="shared" si="24"/>
        <v>4</v>
      </c>
      <c r="K210" s="41">
        <f t="shared" si="25"/>
        <v>32305.88</v>
      </c>
      <c r="M210" s="41">
        <f t="shared" si="22"/>
        <v>8076.47</v>
      </c>
      <c r="N210" s="25" t="s">
        <v>449</v>
      </c>
      <c r="O210" s="25"/>
    </row>
    <row r="211" spans="1:15" x14ac:dyDescent="0.25">
      <c r="A211" s="18" t="s">
        <v>295</v>
      </c>
      <c r="B211" s="16" t="s">
        <v>405</v>
      </c>
      <c r="C211" s="16" t="s">
        <v>302</v>
      </c>
      <c r="D211" s="37">
        <v>3</v>
      </c>
      <c r="E211" s="41">
        <v>6000</v>
      </c>
      <c r="F211" s="37">
        <v>0</v>
      </c>
      <c r="G211" s="41">
        <v>0</v>
      </c>
      <c r="H211" s="37">
        <v>1</v>
      </c>
      <c r="I211" s="41">
        <v>0</v>
      </c>
      <c r="J211" s="37">
        <f t="shared" si="24"/>
        <v>4</v>
      </c>
      <c r="K211" s="41">
        <f t="shared" si="25"/>
        <v>6000</v>
      </c>
      <c r="M211" s="41">
        <f t="shared" si="22"/>
        <v>1500</v>
      </c>
      <c r="N211" s="25" t="s">
        <v>445</v>
      </c>
      <c r="O211" s="25"/>
    </row>
    <row r="212" spans="1:15" x14ac:dyDescent="0.25">
      <c r="A212" s="27" t="s">
        <v>49</v>
      </c>
      <c r="B212" s="16" t="s">
        <v>405</v>
      </c>
      <c r="C212" s="16" t="s">
        <v>115</v>
      </c>
      <c r="D212" s="37">
        <v>0</v>
      </c>
      <c r="E212" s="41">
        <v>0</v>
      </c>
      <c r="F212" s="37">
        <v>3</v>
      </c>
      <c r="G212" s="41">
        <v>48935</v>
      </c>
      <c r="J212" s="37">
        <f t="shared" si="24"/>
        <v>3</v>
      </c>
      <c r="K212" s="41">
        <f t="shared" si="25"/>
        <v>48935</v>
      </c>
      <c r="M212" s="41">
        <f t="shared" si="22"/>
        <v>16311.666666666666</v>
      </c>
      <c r="N212" s="25"/>
      <c r="O212" s="25"/>
    </row>
    <row r="213" spans="1:15" x14ac:dyDescent="0.25">
      <c r="A213" s="18" t="s">
        <v>180</v>
      </c>
      <c r="B213" s="16" t="s">
        <v>405</v>
      </c>
      <c r="C213" s="16" t="s">
        <v>302</v>
      </c>
      <c r="D213" s="37">
        <v>1</v>
      </c>
      <c r="E213" s="41">
        <v>41967</v>
      </c>
      <c r="F213" s="37">
        <v>1</v>
      </c>
      <c r="G213" s="41">
        <v>24000</v>
      </c>
      <c r="H213" s="37">
        <v>0</v>
      </c>
      <c r="I213" s="41">
        <v>0</v>
      </c>
      <c r="J213" s="37">
        <f t="shared" si="24"/>
        <v>2</v>
      </c>
      <c r="K213" s="41">
        <f t="shared" si="25"/>
        <v>65967</v>
      </c>
      <c r="M213" s="41">
        <f t="shared" si="22"/>
        <v>32983.5</v>
      </c>
      <c r="N213" s="25" t="s">
        <v>499</v>
      </c>
      <c r="O213" s="25"/>
    </row>
    <row r="214" spans="1:15" x14ac:dyDescent="0.25">
      <c r="A214" s="18" t="s">
        <v>248</v>
      </c>
      <c r="B214" s="16" t="s">
        <v>405</v>
      </c>
      <c r="C214" s="16" t="s">
        <v>302</v>
      </c>
      <c r="D214" s="37">
        <v>0</v>
      </c>
      <c r="E214" s="41">
        <v>0</v>
      </c>
      <c r="F214" s="37">
        <v>0</v>
      </c>
      <c r="G214" s="41">
        <v>0</v>
      </c>
      <c r="H214" s="37">
        <v>1</v>
      </c>
      <c r="I214" s="41">
        <v>4569.09</v>
      </c>
      <c r="J214" s="37">
        <f t="shared" si="24"/>
        <v>1</v>
      </c>
      <c r="K214" s="41">
        <f t="shared" si="25"/>
        <v>4569.09</v>
      </c>
      <c r="M214" s="41">
        <f t="shared" si="22"/>
        <v>4569.09</v>
      </c>
      <c r="N214" s="25" t="s">
        <v>464</v>
      </c>
      <c r="O214" s="25"/>
    </row>
    <row r="215" spans="1:15" x14ac:dyDescent="0.25">
      <c r="A215" s="18" t="s">
        <v>221</v>
      </c>
      <c r="B215" s="16" t="s">
        <v>405</v>
      </c>
      <c r="C215" s="16" t="s">
        <v>302</v>
      </c>
      <c r="D215" s="37">
        <v>0</v>
      </c>
      <c r="F215" s="37">
        <v>1</v>
      </c>
      <c r="H215" s="37">
        <v>0</v>
      </c>
      <c r="J215" s="37">
        <f t="shared" si="24"/>
        <v>1</v>
      </c>
      <c r="M215" s="41">
        <f t="shared" si="22"/>
        <v>0</v>
      </c>
      <c r="N215" s="25" t="s">
        <v>556</v>
      </c>
      <c r="O215" s="25"/>
    </row>
    <row r="216" spans="1:15" x14ac:dyDescent="0.25">
      <c r="A216" s="18" t="s">
        <v>130</v>
      </c>
      <c r="B216" s="16" t="s">
        <v>405</v>
      </c>
      <c r="C216" s="16" t="s">
        <v>118</v>
      </c>
      <c r="J216" s="37">
        <v>0</v>
      </c>
      <c r="K216" s="41">
        <v>0</v>
      </c>
      <c r="M216" s="41"/>
      <c r="N216" s="25"/>
      <c r="O216" s="25"/>
    </row>
    <row r="217" spans="1:15" x14ac:dyDescent="0.25">
      <c r="A217" s="18" t="s">
        <v>54</v>
      </c>
      <c r="B217" s="16" t="s">
        <v>405</v>
      </c>
      <c r="C217" s="16" t="s">
        <v>115</v>
      </c>
      <c r="D217" s="37">
        <v>0</v>
      </c>
      <c r="E217" s="41">
        <v>0</v>
      </c>
      <c r="F217" s="37">
        <v>0</v>
      </c>
      <c r="G217" s="41">
        <v>0</v>
      </c>
      <c r="H217" s="37">
        <v>0</v>
      </c>
      <c r="I217" s="41">
        <v>0</v>
      </c>
      <c r="J217" s="37">
        <v>0</v>
      </c>
      <c r="K217" s="41">
        <v>0</v>
      </c>
      <c r="M217" s="41"/>
      <c r="N217" s="51" t="s">
        <v>502</v>
      </c>
      <c r="O217" s="25"/>
    </row>
    <row r="218" spans="1:15" x14ac:dyDescent="0.25">
      <c r="A218" s="27" t="s">
        <v>301</v>
      </c>
      <c r="B218" s="16" t="s">
        <v>405</v>
      </c>
      <c r="C218" s="16" t="s">
        <v>302</v>
      </c>
      <c r="D218" s="37">
        <v>0</v>
      </c>
      <c r="E218" s="41">
        <v>0</v>
      </c>
      <c r="F218" s="37">
        <v>0</v>
      </c>
      <c r="G218" s="41">
        <v>0</v>
      </c>
      <c r="H218" s="37">
        <v>0</v>
      </c>
      <c r="I218" s="41">
        <v>0</v>
      </c>
      <c r="J218" s="37">
        <v>0</v>
      </c>
      <c r="K218" s="41">
        <v>0</v>
      </c>
      <c r="M218" s="41"/>
      <c r="N218" s="25"/>
      <c r="O218" s="26"/>
    </row>
    <row r="219" spans="1:15" x14ac:dyDescent="0.25">
      <c r="A219" s="18" t="s">
        <v>42</v>
      </c>
      <c r="B219" s="16" t="s">
        <v>405</v>
      </c>
      <c r="C219" s="16" t="s">
        <v>115</v>
      </c>
      <c r="I219" s="41">
        <v>174058</v>
      </c>
      <c r="K219" s="41">
        <f>SUM(E219+G219+I219)</f>
        <v>174058</v>
      </c>
      <c r="M219" s="41"/>
      <c r="N219" s="25"/>
      <c r="O219" s="25"/>
    </row>
    <row r="220" spans="1:15" x14ac:dyDescent="0.25">
      <c r="A220" s="27" t="s">
        <v>31</v>
      </c>
      <c r="B220" s="16" t="s">
        <v>405</v>
      </c>
      <c r="C220" s="16" t="s">
        <v>115</v>
      </c>
      <c r="M220" s="41"/>
      <c r="N220" s="25"/>
      <c r="O220" s="25"/>
    </row>
    <row r="221" spans="1:15" x14ac:dyDescent="0.25">
      <c r="A221" s="18" t="s">
        <v>3</v>
      </c>
      <c r="B221" s="16" t="s">
        <v>405</v>
      </c>
      <c r="C221" s="16" t="s">
        <v>117</v>
      </c>
      <c r="M221" s="41"/>
      <c r="N221" s="25" t="s">
        <v>545</v>
      </c>
      <c r="O221" s="25"/>
    </row>
    <row r="222" spans="1:15" x14ac:dyDescent="0.25">
      <c r="A222" s="18" t="s">
        <v>61</v>
      </c>
      <c r="B222" s="16" t="s">
        <v>405</v>
      </c>
      <c r="C222" s="16" t="s">
        <v>115</v>
      </c>
      <c r="M222" s="41"/>
      <c r="N222" s="25" t="s">
        <v>549</v>
      </c>
      <c r="O222" s="25"/>
    </row>
    <row r="223" spans="1:15" x14ac:dyDescent="0.25">
      <c r="A223" s="27" t="s">
        <v>340</v>
      </c>
      <c r="B223" s="25" t="s">
        <v>339</v>
      </c>
      <c r="C223" s="25"/>
      <c r="J223" s="37">
        <v>5</v>
      </c>
      <c r="K223" s="41">
        <v>57500</v>
      </c>
      <c r="M223" s="41">
        <f>SUM(K223/J223)</f>
        <v>11500</v>
      </c>
      <c r="N223" s="25" t="s">
        <v>571</v>
      </c>
      <c r="O223" s="25"/>
    </row>
    <row r="224" spans="1:15" x14ac:dyDescent="0.25">
      <c r="A224" s="18" t="s">
        <v>486</v>
      </c>
      <c r="B224" s="25" t="s">
        <v>339</v>
      </c>
      <c r="C224" s="25"/>
      <c r="J224" s="37">
        <v>3</v>
      </c>
      <c r="K224" s="41">
        <v>41582.230000000003</v>
      </c>
      <c r="M224" s="41">
        <f>SUM(K224/J224)</f>
        <v>13860.743333333334</v>
      </c>
      <c r="N224" s="25"/>
      <c r="O224" s="25"/>
    </row>
    <row r="225" spans="1:15" x14ac:dyDescent="0.25">
      <c r="A225" s="27" t="s">
        <v>28</v>
      </c>
      <c r="B225" s="25" t="s">
        <v>339</v>
      </c>
      <c r="C225" s="25"/>
      <c r="D225" s="37">
        <v>2</v>
      </c>
      <c r="E225" s="41">
        <v>4767.3999999999996</v>
      </c>
      <c r="F225" s="37">
        <v>1</v>
      </c>
      <c r="G225" s="41">
        <v>0</v>
      </c>
      <c r="H225" s="37">
        <v>0</v>
      </c>
      <c r="I225" s="41">
        <v>0</v>
      </c>
      <c r="J225" s="37">
        <f>SUM(D225+F225+H225)</f>
        <v>3</v>
      </c>
      <c r="K225" s="41">
        <f>SUM(E225+G225+I225)</f>
        <v>4767.3999999999996</v>
      </c>
      <c r="M225" s="41">
        <f>SUM(K225/J225)</f>
        <v>1589.1333333333332</v>
      </c>
      <c r="N225" s="25"/>
      <c r="O225" s="25"/>
    </row>
    <row r="226" spans="1:15" x14ac:dyDescent="0.25">
      <c r="A226" s="27" t="s">
        <v>343</v>
      </c>
      <c r="B226" s="16" t="s">
        <v>339</v>
      </c>
      <c r="C226" s="16"/>
      <c r="J226" s="37">
        <f>SUM(D226+F226+H226)</f>
        <v>0</v>
      </c>
      <c r="K226" s="41">
        <v>15000</v>
      </c>
      <c r="M226" s="41"/>
      <c r="N226" s="25"/>
      <c r="O226" s="25"/>
    </row>
    <row r="227" spans="1:15" x14ac:dyDescent="0.25">
      <c r="A227" s="27" t="s">
        <v>342</v>
      </c>
      <c r="B227" s="25" t="s">
        <v>339</v>
      </c>
      <c r="C227" s="25"/>
      <c r="D227" s="37">
        <v>0</v>
      </c>
      <c r="E227" s="41">
        <v>0</v>
      </c>
      <c r="F227" s="37">
        <v>0</v>
      </c>
      <c r="G227" s="41">
        <v>0</v>
      </c>
      <c r="H227" s="37">
        <v>0</v>
      </c>
      <c r="I227" s="41">
        <v>0</v>
      </c>
      <c r="J227" s="37">
        <v>0</v>
      </c>
      <c r="K227" s="41">
        <v>0</v>
      </c>
      <c r="M227" s="41"/>
      <c r="N227" s="25"/>
      <c r="O227" s="25"/>
    </row>
    <row r="228" spans="1:15" x14ac:dyDescent="0.25">
      <c r="A228" s="18" t="s">
        <v>345</v>
      </c>
      <c r="B228" s="16" t="s">
        <v>339</v>
      </c>
      <c r="C228" s="16"/>
      <c r="D228" s="37">
        <v>0</v>
      </c>
      <c r="E228" s="41">
        <v>0</v>
      </c>
      <c r="F228" s="37">
        <v>0</v>
      </c>
      <c r="G228" s="41">
        <v>0</v>
      </c>
      <c r="H228" s="37">
        <v>0</v>
      </c>
      <c r="I228" s="41">
        <v>0</v>
      </c>
      <c r="J228" s="37">
        <v>0</v>
      </c>
      <c r="K228" s="41">
        <v>0</v>
      </c>
      <c r="M228" s="41"/>
      <c r="N228" s="25" t="s">
        <v>449</v>
      </c>
      <c r="O228" s="25" t="s">
        <v>507</v>
      </c>
    </row>
    <row r="229" spans="1:15" x14ac:dyDescent="0.25">
      <c r="A229" s="18" t="s">
        <v>346</v>
      </c>
      <c r="B229" s="16" t="s">
        <v>339</v>
      </c>
      <c r="C229" s="16"/>
      <c r="D229" s="37">
        <v>0</v>
      </c>
      <c r="E229" s="41">
        <v>0</v>
      </c>
      <c r="F229" s="37">
        <v>0</v>
      </c>
      <c r="G229" s="41">
        <v>0</v>
      </c>
      <c r="H229" s="37">
        <v>0</v>
      </c>
      <c r="I229" s="41">
        <v>0</v>
      </c>
      <c r="J229" s="37">
        <v>0</v>
      </c>
      <c r="K229" s="41">
        <v>0</v>
      </c>
      <c r="M229" s="41"/>
      <c r="N229" s="25"/>
      <c r="O229" s="25"/>
    </row>
    <row r="230" spans="1:15" x14ac:dyDescent="0.25">
      <c r="A230" s="18" t="s">
        <v>341</v>
      </c>
      <c r="B230" s="16" t="s">
        <v>339</v>
      </c>
      <c r="C230" s="16"/>
      <c r="D230" s="37" t="s">
        <v>518</v>
      </c>
      <c r="E230" s="41" t="s">
        <v>518</v>
      </c>
      <c r="F230" s="37" t="s">
        <v>518</v>
      </c>
      <c r="G230" s="41" t="s">
        <v>518</v>
      </c>
      <c r="H230" s="37" t="s">
        <v>518</v>
      </c>
      <c r="I230" s="41" t="s">
        <v>518</v>
      </c>
      <c r="M230" s="41"/>
      <c r="N230" s="25" t="s">
        <v>451</v>
      </c>
      <c r="O230" s="26"/>
    </row>
    <row r="231" spans="1:15" x14ac:dyDescent="0.25">
      <c r="A231" s="18" t="s">
        <v>356</v>
      </c>
      <c r="B231" s="16" t="s">
        <v>349</v>
      </c>
      <c r="C231" s="16" t="s">
        <v>117</v>
      </c>
      <c r="D231" s="37">
        <v>45</v>
      </c>
      <c r="E231" s="41">
        <v>10055.84</v>
      </c>
      <c r="F231" s="37">
        <v>132</v>
      </c>
      <c r="G231" s="41">
        <v>48472.52</v>
      </c>
      <c r="H231" s="37">
        <v>37</v>
      </c>
      <c r="I231" s="41">
        <v>82444.160000000003</v>
      </c>
      <c r="J231" s="37">
        <f>SUM(D231+F231+H231)</f>
        <v>214</v>
      </c>
      <c r="K231" s="41">
        <f>187443.41+51569+44246.22</f>
        <v>283258.63</v>
      </c>
      <c r="M231" s="41">
        <f t="shared" ref="M231:M236" si="26">SUM(K231/J231)</f>
        <v>1323.6384579439252</v>
      </c>
      <c r="N231" s="25"/>
      <c r="O231" s="25"/>
    </row>
    <row r="232" spans="1:15" x14ac:dyDescent="0.25">
      <c r="A232" s="18" t="s">
        <v>378</v>
      </c>
      <c r="B232" s="16" t="s">
        <v>349</v>
      </c>
      <c r="C232" s="16" t="s">
        <v>117</v>
      </c>
      <c r="D232" s="37">
        <v>10</v>
      </c>
      <c r="E232" s="41">
        <v>104257</v>
      </c>
      <c r="F232" s="37">
        <v>93</v>
      </c>
      <c r="G232" s="41">
        <v>300058.7</v>
      </c>
      <c r="H232" s="37">
        <v>13</v>
      </c>
      <c r="I232" s="41">
        <v>50970.8</v>
      </c>
      <c r="J232" s="37">
        <f>SUM(D232+F232+H232)</f>
        <v>116</v>
      </c>
      <c r="K232" s="41">
        <f>SUM(E232+G232+I232)</f>
        <v>455286.5</v>
      </c>
      <c r="M232" s="41">
        <f t="shared" si="26"/>
        <v>3924.8836206896553</v>
      </c>
      <c r="N232" s="25" t="s">
        <v>444</v>
      </c>
      <c r="O232" s="25"/>
    </row>
    <row r="233" spans="1:15" x14ac:dyDescent="0.25">
      <c r="A233" s="18" t="s">
        <v>375</v>
      </c>
      <c r="B233" s="16" t="s">
        <v>349</v>
      </c>
      <c r="C233" s="16" t="s">
        <v>117</v>
      </c>
      <c r="D233" s="37">
        <v>8</v>
      </c>
      <c r="E233" s="41">
        <v>116260.75</v>
      </c>
      <c r="F233" s="37">
        <v>15</v>
      </c>
      <c r="G233" s="41">
        <v>272705.21999999997</v>
      </c>
      <c r="H233" s="37">
        <v>8</v>
      </c>
      <c r="I233" s="41">
        <v>144931.17000000001</v>
      </c>
      <c r="J233" s="37">
        <f>SUM(D233+F233+H233)</f>
        <v>31</v>
      </c>
      <c r="K233" s="41">
        <f>SUM(E233+G233+I233)</f>
        <v>533897.14</v>
      </c>
      <c r="M233" s="41">
        <f t="shared" si="26"/>
        <v>17222.488387096775</v>
      </c>
      <c r="N233" s="25" t="s">
        <v>449</v>
      </c>
      <c r="O233" s="25"/>
    </row>
    <row r="234" spans="1:15" x14ac:dyDescent="0.25">
      <c r="A234" s="18" t="s">
        <v>364</v>
      </c>
      <c r="B234" s="16" t="s">
        <v>349</v>
      </c>
      <c r="C234" s="16" t="s">
        <v>117</v>
      </c>
      <c r="J234" s="37">
        <v>25</v>
      </c>
      <c r="K234" s="41">
        <v>330698.34000000003</v>
      </c>
      <c r="M234" s="41">
        <f t="shared" si="26"/>
        <v>13227.9336</v>
      </c>
      <c r="N234" s="25"/>
      <c r="O234" s="25"/>
    </row>
    <row r="235" spans="1:15" x14ac:dyDescent="0.25">
      <c r="A235" s="18" t="s">
        <v>369</v>
      </c>
      <c r="B235" s="16" t="s">
        <v>349</v>
      </c>
      <c r="C235" s="16" t="s">
        <v>117</v>
      </c>
      <c r="D235" s="37">
        <v>11</v>
      </c>
      <c r="E235" s="41">
        <v>114574.37</v>
      </c>
      <c r="F235" s="37">
        <v>8</v>
      </c>
      <c r="G235" s="41">
        <v>71859</v>
      </c>
      <c r="H235" s="37">
        <v>5</v>
      </c>
      <c r="I235" s="41">
        <v>16500</v>
      </c>
      <c r="J235" s="37">
        <f>SUM(D235+F235+H235)</f>
        <v>24</v>
      </c>
      <c r="K235" s="41">
        <f>SUM(E235+G235+I235)</f>
        <v>202933.37</v>
      </c>
      <c r="M235" s="41">
        <f t="shared" si="26"/>
        <v>8455.5570833333331</v>
      </c>
      <c r="N235" s="25"/>
      <c r="O235" s="25"/>
    </row>
    <row r="236" spans="1:15" x14ac:dyDescent="0.25">
      <c r="A236" s="27" t="s">
        <v>354</v>
      </c>
      <c r="B236" s="16" t="s">
        <v>349</v>
      </c>
      <c r="C236" s="16" t="s">
        <v>117</v>
      </c>
      <c r="D236" s="37">
        <v>5</v>
      </c>
      <c r="E236" s="41">
        <v>16820.830000000002</v>
      </c>
      <c r="F236" s="37">
        <v>7</v>
      </c>
      <c r="G236" s="41">
        <v>23842.45</v>
      </c>
      <c r="H236" s="37">
        <v>9</v>
      </c>
      <c r="I236" s="41">
        <v>37647.32</v>
      </c>
      <c r="J236" s="37">
        <f>SUM(D236+F236+H236)</f>
        <v>21</v>
      </c>
      <c r="K236" s="41">
        <f>SUM(E236+G236+I236)</f>
        <v>78310.600000000006</v>
      </c>
      <c r="M236" s="41">
        <f t="shared" si="26"/>
        <v>3729.0761904761907</v>
      </c>
      <c r="N236" s="25" t="s">
        <v>439</v>
      </c>
      <c r="O236" s="25"/>
    </row>
    <row r="237" spans="1:15" x14ac:dyDescent="0.25">
      <c r="A237" s="27" t="s">
        <v>360</v>
      </c>
      <c r="B237" s="16" t="s">
        <v>349</v>
      </c>
      <c r="C237" s="16" t="s">
        <v>117</v>
      </c>
      <c r="D237" s="37">
        <v>9</v>
      </c>
      <c r="E237" s="41">
        <v>55987</v>
      </c>
      <c r="F237" s="37">
        <v>3</v>
      </c>
      <c r="G237" s="41">
        <v>65707</v>
      </c>
      <c r="H237" s="37">
        <v>3</v>
      </c>
      <c r="I237" s="41">
        <v>98475</v>
      </c>
      <c r="J237" s="37">
        <v>15</v>
      </c>
      <c r="K237" s="41">
        <f t="shared" ref="K237:K242" si="27">SUM(E237+G237+I237)</f>
        <v>220169</v>
      </c>
      <c r="M237" s="41"/>
      <c r="N237" s="25" t="s">
        <v>566</v>
      </c>
      <c r="O237" s="25"/>
    </row>
    <row r="238" spans="1:15" x14ac:dyDescent="0.25">
      <c r="A238" s="18" t="s">
        <v>353</v>
      </c>
      <c r="B238" s="16" t="s">
        <v>349</v>
      </c>
      <c r="C238" s="16" t="s">
        <v>117</v>
      </c>
      <c r="D238" s="37">
        <v>4</v>
      </c>
      <c r="E238" s="41">
        <v>44894.51</v>
      </c>
      <c r="F238" s="37">
        <v>6</v>
      </c>
      <c r="G238" s="41">
        <v>109791.6</v>
      </c>
      <c r="H238" s="37">
        <v>4</v>
      </c>
      <c r="I238" s="41">
        <v>103710</v>
      </c>
      <c r="J238" s="37">
        <f>SUM(D238+F238+H238)</f>
        <v>14</v>
      </c>
      <c r="K238" s="41">
        <f t="shared" si="27"/>
        <v>258396.11000000002</v>
      </c>
      <c r="M238" s="41">
        <f t="shared" ref="M238:M251" si="28">SUM(K238/J238)</f>
        <v>18456.865000000002</v>
      </c>
      <c r="N238" s="25" t="s">
        <v>451</v>
      </c>
      <c r="O238" s="25"/>
    </row>
    <row r="239" spans="1:15" x14ac:dyDescent="0.25">
      <c r="A239" s="18" t="s">
        <v>366</v>
      </c>
      <c r="B239" s="16" t="s">
        <v>349</v>
      </c>
      <c r="C239" s="16" t="s">
        <v>117</v>
      </c>
      <c r="D239" s="37">
        <v>5</v>
      </c>
      <c r="E239" s="41">
        <v>49144</v>
      </c>
      <c r="F239" s="37">
        <v>5</v>
      </c>
      <c r="G239" s="41">
        <v>76413</v>
      </c>
      <c r="H239" s="37">
        <v>4</v>
      </c>
      <c r="I239" s="41">
        <v>130130</v>
      </c>
      <c r="J239" s="37">
        <f>SUM(D239+F239+H239)</f>
        <v>14</v>
      </c>
      <c r="K239" s="41">
        <f t="shared" si="27"/>
        <v>255687</v>
      </c>
      <c r="M239" s="41">
        <f t="shared" si="28"/>
        <v>18263.357142857141</v>
      </c>
      <c r="N239" s="25"/>
      <c r="O239" s="25"/>
    </row>
    <row r="240" spans="1:15" x14ac:dyDescent="0.25">
      <c r="A240" s="18" t="s">
        <v>359</v>
      </c>
      <c r="B240" s="16" t="s">
        <v>349</v>
      </c>
      <c r="C240" s="16" t="s">
        <v>117</v>
      </c>
      <c r="D240" s="37">
        <v>3</v>
      </c>
      <c r="E240" s="41">
        <v>7000</v>
      </c>
      <c r="F240" s="37">
        <v>7</v>
      </c>
      <c r="G240" s="41">
        <v>39394</v>
      </c>
      <c r="H240" s="37">
        <v>3</v>
      </c>
      <c r="I240" s="41">
        <v>93192</v>
      </c>
      <c r="J240" s="37">
        <f>SUM(D240+F240+H240)</f>
        <v>13</v>
      </c>
      <c r="K240" s="41">
        <f t="shared" si="27"/>
        <v>139586</v>
      </c>
      <c r="M240" s="41">
        <f t="shared" si="28"/>
        <v>10737.384615384615</v>
      </c>
      <c r="N240" s="25"/>
      <c r="O240" s="25"/>
    </row>
    <row r="241" spans="1:15" x14ac:dyDescent="0.25">
      <c r="A241" s="18" t="s">
        <v>380</v>
      </c>
      <c r="B241" s="16" t="s">
        <v>349</v>
      </c>
      <c r="C241" s="16" t="s">
        <v>117</v>
      </c>
      <c r="D241" s="37">
        <v>0</v>
      </c>
      <c r="E241" s="41">
        <v>0</v>
      </c>
      <c r="F241" s="37">
        <v>5</v>
      </c>
      <c r="G241" s="41">
        <f>5293.35+17114+15873.5+44000+19976.09</f>
        <v>102256.94</v>
      </c>
      <c r="H241" s="37">
        <v>6</v>
      </c>
      <c r="I241" s="41">
        <f>72857.3+6406.26+15122.5+13642.09+44211.74+69645.31</f>
        <v>221885.19999999998</v>
      </c>
      <c r="J241" s="37">
        <f>SUM(D241+F241+H241)</f>
        <v>11</v>
      </c>
      <c r="K241" s="41">
        <f t="shared" si="27"/>
        <v>324142.14</v>
      </c>
      <c r="M241" s="41">
        <f t="shared" si="28"/>
        <v>29467.467272727274</v>
      </c>
      <c r="N241" s="25"/>
      <c r="O241" s="25"/>
    </row>
    <row r="242" spans="1:15" x14ac:dyDescent="0.25">
      <c r="A242" s="18" t="s">
        <v>362</v>
      </c>
      <c r="B242" s="16" t="s">
        <v>349</v>
      </c>
      <c r="C242" s="16" t="s">
        <v>117</v>
      </c>
      <c r="D242" s="37">
        <v>3</v>
      </c>
      <c r="E242" s="41">
        <v>68940</v>
      </c>
      <c r="F242" s="37">
        <v>5</v>
      </c>
      <c r="G242" s="41">
        <v>28860</v>
      </c>
      <c r="H242" s="37">
        <v>2</v>
      </c>
      <c r="I242" s="41">
        <v>30000</v>
      </c>
      <c r="J242" s="37">
        <f>SUM(D242+F242+H242)</f>
        <v>10</v>
      </c>
      <c r="K242" s="41">
        <f t="shared" si="27"/>
        <v>127800</v>
      </c>
      <c r="M242" s="41">
        <f t="shared" si="28"/>
        <v>12780</v>
      </c>
      <c r="N242" s="25"/>
      <c r="O242" s="25"/>
    </row>
    <row r="243" spans="1:15" x14ac:dyDescent="0.25">
      <c r="A243" s="27" t="s">
        <v>357</v>
      </c>
      <c r="B243" s="16" t="s">
        <v>349</v>
      </c>
      <c r="C243" s="16" t="s">
        <v>117</v>
      </c>
      <c r="J243" s="37">
        <v>8</v>
      </c>
      <c r="K243" s="41">
        <v>126580.7</v>
      </c>
      <c r="M243" s="41">
        <f t="shared" si="28"/>
        <v>15822.5875</v>
      </c>
      <c r="N243" s="25"/>
      <c r="O243" s="25"/>
    </row>
    <row r="244" spans="1:15" x14ac:dyDescent="0.25">
      <c r="A244" s="18" t="s">
        <v>351</v>
      </c>
      <c r="B244" s="16" t="s">
        <v>349</v>
      </c>
      <c r="C244" s="16" t="s">
        <v>117</v>
      </c>
      <c r="D244" s="37">
        <v>4</v>
      </c>
      <c r="E244" s="41">
        <v>58043.14</v>
      </c>
      <c r="F244" s="37">
        <v>4</v>
      </c>
      <c r="G244" s="41">
        <v>53462.04</v>
      </c>
      <c r="H244" s="37">
        <v>0</v>
      </c>
      <c r="I244" s="41">
        <v>0</v>
      </c>
      <c r="J244" s="37">
        <f>SUM(D244+F244+H244)</f>
        <v>8</v>
      </c>
      <c r="K244" s="41">
        <f>SUM(E244+G244+I244)</f>
        <v>111505.18</v>
      </c>
      <c r="M244" s="41">
        <f t="shared" si="28"/>
        <v>13938.147499999999</v>
      </c>
      <c r="N244" s="25"/>
      <c r="O244" s="25"/>
    </row>
    <row r="245" spans="1:15" x14ac:dyDescent="0.25">
      <c r="A245" s="18" t="s">
        <v>367</v>
      </c>
      <c r="B245" s="16" t="s">
        <v>349</v>
      </c>
      <c r="C245" s="16" t="s">
        <v>117</v>
      </c>
      <c r="J245" s="37">
        <v>7</v>
      </c>
      <c r="K245" s="41">
        <v>150622.89000000001</v>
      </c>
      <c r="M245" s="41">
        <f t="shared" si="28"/>
        <v>21517.555714285718</v>
      </c>
      <c r="N245" s="25"/>
      <c r="O245" s="25"/>
    </row>
    <row r="246" spans="1:15" x14ac:dyDescent="0.25">
      <c r="A246" s="18" t="s">
        <v>368</v>
      </c>
      <c r="B246" s="16" t="s">
        <v>349</v>
      </c>
      <c r="C246" s="16" t="s">
        <v>117</v>
      </c>
      <c r="J246" s="37">
        <v>6</v>
      </c>
      <c r="K246" s="41">
        <v>113537</v>
      </c>
      <c r="M246" s="41">
        <f t="shared" si="28"/>
        <v>18922.833333333332</v>
      </c>
      <c r="N246" s="25"/>
      <c r="O246" s="25"/>
    </row>
    <row r="247" spans="1:15" x14ac:dyDescent="0.25">
      <c r="A247" s="27" t="s">
        <v>372</v>
      </c>
      <c r="B247" s="16" t="s">
        <v>349</v>
      </c>
      <c r="C247" s="16" t="s">
        <v>117</v>
      </c>
      <c r="D247" s="37">
        <v>1</v>
      </c>
      <c r="E247" s="41">
        <v>0</v>
      </c>
      <c r="F247" s="37">
        <v>0</v>
      </c>
      <c r="G247" s="41">
        <v>0</v>
      </c>
      <c r="H247" s="37">
        <v>5</v>
      </c>
      <c r="I247" s="41">
        <v>49245.78</v>
      </c>
      <c r="J247" s="37">
        <f>SUM(D247+F247+H247)</f>
        <v>6</v>
      </c>
      <c r="K247" s="41">
        <f>SUM(E247+G247+I247)</f>
        <v>49245.78</v>
      </c>
      <c r="M247" s="41">
        <f t="shared" si="28"/>
        <v>8207.6299999999992</v>
      </c>
      <c r="N247" s="25"/>
      <c r="O247" s="25"/>
    </row>
    <row r="248" spans="1:15" x14ac:dyDescent="0.25">
      <c r="A248" s="18" t="s">
        <v>365</v>
      </c>
      <c r="B248" s="16" t="s">
        <v>349</v>
      </c>
      <c r="C248" s="16" t="s">
        <v>117</v>
      </c>
      <c r="J248" s="37">
        <v>4</v>
      </c>
      <c r="K248" s="41">
        <v>61900</v>
      </c>
      <c r="M248" s="41">
        <f t="shared" si="28"/>
        <v>15475</v>
      </c>
      <c r="N248" s="25"/>
      <c r="O248" s="25"/>
    </row>
    <row r="249" spans="1:15" x14ac:dyDescent="0.25">
      <c r="A249" s="18" t="s">
        <v>379</v>
      </c>
      <c r="B249" s="16" t="s">
        <v>349</v>
      </c>
      <c r="C249" s="16" t="s">
        <v>117</v>
      </c>
      <c r="D249" s="37">
        <v>0</v>
      </c>
      <c r="E249" s="41">
        <v>0</v>
      </c>
      <c r="F249" s="37">
        <v>3</v>
      </c>
      <c r="G249" s="41">
        <v>34380.1</v>
      </c>
      <c r="H249" s="37">
        <v>0</v>
      </c>
      <c r="I249" s="41">
        <v>0</v>
      </c>
      <c r="J249" s="37">
        <f t="shared" ref="J249:K251" si="29">SUM(D249+F249+H249)</f>
        <v>3</v>
      </c>
      <c r="K249" s="41">
        <f t="shared" si="29"/>
        <v>34380.1</v>
      </c>
      <c r="M249" s="41">
        <f t="shared" si="28"/>
        <v>11460.033333333333</v>
      </c>
      <c r="N249" s="25" t="s">
        <v>532</v>
      </c>
      <c r="O249" s="25"/>
    </row>
    <row r="250" spans="1:15" x14ac:dyDescent="0.25">
      <c r="A250" s="18" t="s">
        <v>376</v>
      </c>
      <c r="B250" s="16" t="s">
        <v>349</v>
      </c>
      <c r="C250" s="16" t="s">
        <v>117</v>
      </c>
      <c r="D250" s="37">
        <v>2</v>
      </c>
      <c r="E250" s="41">
        <v>80963</v>
      </c>
      <c r="F250" s="37">
        <v>0</v>
      </c>
      <c r="G250" s="41">
        <v>0</v>
      </c>
      <c r="H250" s="37">
        <v>0</v>
      </c>
      <c r="I250" s="41">
        <v>0</v>
      </c>
      <c r="J250" s="37">
        <f t="shared" si="29"/>
        <v>2</v>
      </c>
      <c r="K250" s="41">
        <f t="shared" si="29"/>
        <v>80963</v>
      </c>
      <c r="M250" s="41">
        <f t="shared" si="28"/>
        <v>40481.5</v>
      </c>
      <c r="N250" s="25" t="s">
        <v>485</v>
      </c>
      <c r="O250" s="25"/>
    </row>
    <row r="251" spans="1:15" x14ac:dyDescent="0.25">
      <c r="A251" s="18" t="s">
        <v>373</v>
      </c>
      <c r="B251" s="16" t="s">
        <v>349</v>
      </c>
      <c r="C251" s="16" t="s">
        <v>117</v>
      </c>
      <c r="D251" s="37">
        <v>2</v>
      </c>
      <c r="E251" s="41">
        <v>6827.62</v>
      </c>
      <c r="F251" s="37">
        <v>0</v>
      </c>
      <c r="G251" s="41">
        <v>0</v>
      </c>
      <c r="H251" s="37">
        <v>0</v>
      </c>
      <c r="I251" s="41">
        <v>0</v>
      </c>
      <c r="J251" s="37">
        <f t="shared" si="29"/>
        <v>2</v>
      </c>
      <c r="K251" s="41">
        <f t="shared" si="29"/>
        <v>6827.62</v>
      </c>
      <c r="M251" s="41">
        <f t="shared" si="28"/>
        <v>3413.81</v>
      </c>
      <c r="N251" s="25"/>
      <c r="O251" s="25"/>
    </row>
    <row r="252" spans="1:15" x14ac:dyDescent="0.25">
      <c r="A252" s="18" t="s">
        <v>363</v>
      </c>
      <c r="B252" s="16" t="s">
        <v>349</v>
      </c>
      <c r="C252" s="16" t="s">
        <v>117</v>
      </c>
      <c r="D252" s="37">
        <v>0</v>
      </c>
      <c r="E252" s="41">
        <v>0</v>
      </c>
      <c r="F252" s="37">
        <v>0</v>
      </c>
      <c r="G252" s="41">
        <v>0</v>
      </c>
      <c r="H252" s="37">
        <v>0</v>
      </c>
      <c r="I252" s="41">
        <v>0</v>
      </c>
      <c r="J252" s="37">
        <v>0</v>
      </c>
      <c r="K252" s="41">
        <v>0</v>
      </c>
      <c r="M252" s="41"/>
      <c r="N252" s="25"/>
      <c r="O252" s="25"/>
    </row>
    <row r="253" spans="1:15" x14ac:dyDescent="0.25">
      <c r="A253" s="18" t="s">
        <v>370</v>
      </c>
      <c r="B253" s="16" t="s">
        <v>349</v>
      </c>
      <c r="C253" s="16" t="s">
        <v>117</v>
      </c>
      <c r="D253" s="37">
        <v>0</v>
      </c>
      <c r="E253" s="41">
        <v>0</v>
      </c>
      <c r="F253" s="37">
        <v>0</v>
      </c>
      <c r="G253" s="41">
        <v>0</v>
      </c>
      <c r="H253" s="37">
        <v>0</v>
      </c>
      <c r="I253" s="41">
        <v>0</v>
      </c>
      <c r="J253" s="37">
        <v>0</v>
      </c>
      <c r="K253" s="41">
        <v>0</v>
      </c>
      <c r="M253" s="41"/>
      <c r="N253" s="25"/>
      <c r="O253" s="25"/>
    </row>
    <row r="254" spans="1:15" x14ac:dyDescent="0.25">
      <c r="A254" s="18" t="s">
        <v>374</v>
      </c>
      <c r="B254" s="16" t="s">
        <v>349</v>
      </c>
      <c r="C254" s="16" t="s">
        <v>117</v>
      </c>
      <c r="D254" s="37">
        <v>0</v>
      </c>
      <c r="E254" s="41">
        <v>0</v>
      </c>
      <c r="F254" s="37">
        <v>0</v>
      </c>
      <c r="G254" s="41">
        <v>0</v>
      </c>
      <c r="H254" s="37">
        <v>0</v>
      </c>
      <c r="I254" s="41">
        <v>0</v>
      </c>
      <c r="J254" s="37">
        <v>0</v>
      </c>
      <c r="K254" s="41">
        <v>0</v>
      </c>
      <c r="M254" s="41"/>
      <c r="N254" s="25"/>
      <c r="O254" s="25"/>
    </row>
    <row r="255" spans="1:15" x14ac:dyDescent="0.25">
      <c r="A255" s="27" t="s">
        <v>350</v>
      </c>
      <c r="B255" s="16" t="s">
        <v>349</v>
      </c>
      <c r="C255" s="16" t="s">
        <v>117</v>
      </c>
      <c r="M255" s="41"/>
      <c r="N255" s="25"/>
      <c r="O255" s="26"/>
    </row>
    <row r="256" spans="1:15" x14ac:dyDescent="0.25">
      <c r="A256" s="27" t="s">
        <v>377</v>
      </c>
      <c r="B256" s="16" t="s">
        <v>349</v>
      </c>
      <c r="C256" s="16" t="s">
        <v>117</v>
      </c>
      <c r="M256" s="41"/>
      <c r="N256" s="25" t="s">
        <v>549</v>
      </c>
      <c r="O256" s="25"/>
    </row>
    <row r="257" spans="1:15" x14ac:dyDescent="0.25">
      <c r="A257" s="18" t="s">
        <v>361</v>
      </c>
      <c r="B257" s="16" t="s">
        <v>349</v>
      </c>
      <c r="C257" s="16" t="s">
        <v>117</v>
      </c>
      <c r="M257" s="41"/>
      <c r="N257" s="25" t="s">
        <v>553</v>
      </c>
      <c r="O257" s="25"/>
    </row>
    <row r="258" spans="1:15" x14ac:dyDescent="0.25">
      <c r="A258" s="18" t="s">
        <v>260</v>
      </c>
      <c r="B258" s="16" t="s">
        <v>404</v>
      </c>
      <c r="C258" s="16" t="s">
        <v>302</v>
      </c>
      <c r="N258" s="25" t="s">
        <v>524</v>
      </c>
      <c r="O258" s="25"/>
    </row>
    <row r="259" spans="1:15" x14ac:dyDescent="0.25">
      <c r="A259" s="18" t="s">
        <v>184</v>
      </c>
      <c r="B259" s="16" t="s">
        <v>404</v>
      </c>
      <c r="C259" s="16" t="s">
        <v>302</v>
      </c>
      <c r="M259" s="41"/>
      <c r="N259" s="25" t="s">
        <v>524</v>
      </c>
      <c r="O259" s="48"/>
    </row>
    <row r="260" spans="1:15" x14ac:dyDescent="0.25">
      <c r="A260" s="18" t="s">
        <v>127</v>
      </c>
      <c r="B260" s="16" t="s">
        <v>404</v>
      </c>
      <c r="C260" s="16" t="s">
        <v>118</v>
      </c>
      <c r="D260" s="37">
        <v>54</v>
      </c>
      <c r="E260" s="41">
        <v>675731.44</v>
      </c>
      <c r="F260" s="37">
        <v>79</v>
      </c>
      <c r="G260" s="41">
        <v>772342.33</v>
      </c>
      <c r="H260" s="37">
        <v>37</v>
      </c>
      <c r="I260" s="41">
        <v>439873.15</v>
      </c>
      <c r="J260" s="37">
        <f t="shared" ref="J260:K263" si="30">SUM(D260+F260+H260)</f>
        <v>170</v>
      </c>
      <c r="K260" s="41">
        <f t="shared" si="30"/>
        <v>1887946.92</v>
      </c>
      <c r="M260" s="41">
        <f t="shared" ref="M260:M289" si="31">SUM(K260/J260)</f>
        <v>11105.570117647057</v>
      </c>
      <c r="N260" s="25"/>
      <c r="O260" s="25"/>
    </row>
    <row r="261" spans="1:15" x14ac:dyDescent="0.25">
      <c r="A261" s="18" t="s">
        <v>100</v>
      </c>
      <c r="B261" s="16" t="s">
        <v>404</v>
      </c>
      <c r="C261" s="16" t="s">
        <v>117</v>
      </c>
      <c r="D261" s="37">
        <v>37</v>
      </c>
      <c r="E261" s="41">
        <v>625015</v>
      </c>
      <c r="F261" s="37">
        <v>17</v>
      </c>
      <c r="G261" s="41">
        <v>425819</v>
      </c>
      <c r="H261" s="37">
        <v>28</v>
      </c>
      <c r="I261" s="41">
        <v>366505</v>
      </c>
      <c r="J261" s="37">
        <f t="shared" si="30"/>
        <v>82</v>
      </c>
      <c r="K261" s="41">
        <f t="shared" si="30"/>
        <v>1417339</v>
      </c>
      <c r="M261" s="41">
        <f t="shared" si="31"/>
        <v>17284.621951219513</v>
      </c>
      <c r="N261" s="25"/>
      <c r="O261" s="25"/>
    </row>
    <row r="262" spans="1:15" x14ac:dyDescent="0.25">
      <c r="A262" s="18" t="s">
        <v>69</v>
      </c>
      <c r="B262" s="16" t="s">
        <v>404</v>
      </c>
      <c r="C262" s="16" t="s">
        <v>117</v>
      </c>
      <c r="D262" s="37">
        <v>14</v>
      </c>
      <c r="E262" s="41">
        <v>160124.96</v>
      </c>
      <c r="F262" s="37">
        <v>11</v>
      </c>
      <c r="G262" s="41">
        <v>214174.72</v>
      </c>
      <c r="H262" s="37">
        <v>43</v>
      </c>
      <c r="I262" s="41">
        <v>680615.02</v>
      </c>
      <c r="J262" s="37">
        <f t="shared" si="30"/>
        <v>68</v>
      </c>
      <c r="K262" s="41">
        <f t="shared" si="30"/>
        <v>1054914.7</v>
      </c>
      <c r="M262" s="41">
        <f t="shared" si="31"/>
        <v>15513.451470588234</v>
      </c>
      <c r="N262" s="25" t="s">
        <v>447</v>
      </c>
      <c r="O262" s="25"/>
    </row>
    <row r="263" spans="1:15" x14ac:dyDescent="0.25">
      <c r="A263" s="18" t="s">
        <v>129</v>
      </c>
      <c r="B263" s="16" t="s">
        <v>404</v>
      </c>
      <c r="C263" s="16" t="s">
        <v>118</v>
      </c>
      <c r="D263" s="37">
        <v>25</v>
      </c>
      <c r="E263" s="41">
        <v>338632</v>
      </c>
      <c r="F263" s="37">
        <v>20</v>
      </c>
      <c r="G263" s="41">
        <v>331422</v>
      </c>
      <c r="H263" s="37">
        <v>16</v>
      </c>
      <c r="I263" s="41">
        <v>339435</v>
      </c>
      <c r="J263" s="37">
        <f t="shared" si="30"/>
        <v>61</v>
      </c>
      <c r="K263" s="41">
        <f t="shared" si="30"/>
        <v>1009489</v>
      </c>
      <c r="M263" s="41">
        <f t="shared" si="31"/>
        <v>16549</v>
      </c>
      <c r="N263" s="25"/>
      <c r="O263" s="25"/>
    </row>
    <row r="264" spans="1:15" x14ac:dyDescent="0.25">
      <c r="A264" s="18" t="s">
        <v>145</v>
      </c>
      <c r="B264" s="16" t="s">
        <v>404</v>
      </c>
      <c r="C264" s="16" t="s">
        <v>302</v>
      </c>
      <c r="D264" s="37">
        <v>20</v>
      </c>
      <c r="F264" s="37">
        <v>8</v>
      </c>
      <c r="H264" s="37">
        <v>14</v>
      </c>
      <c r="J264" s="37">
        <f t="shared" ref="J264:J282" si="32">SUM(D264+F264+H264)</f>
        <v>42</v>
      </c>
      <c r="M264" s="41">
        <f t="shared" si="31"/>
        <v>0</v>
      </c>
      <c r="N264" s="25" t="s">
        <v>551</v>
      </c>
      <c r="O264" s="25"/>
    </row>
    <row r="265" spans="1:15" x14ac:dyDescent="0.25">
      <c r="A265" s="18" t="s">
        <v>109</v>
      </c>
      <c r="B265" s="16" t="s">
        <v>404</v>
      </c>
      <c r="C265" s="16" t="s">
        <v>117</v>
      </c>
      <c r="D265" s="37">
        <v>13</v>
      </c>
      <c r="E265" s="41">
        <v>145931</v>
      </c>
      <c r="F265" s="37">
        <v>12</v>
      </c>
      <c r="G265" s="41">
        <v>277875</v>
      </c>
      <c r="H265" s="37">
        <v>13</v>
      </c>
      <c r="I265" s="41">
        <v>396862</v>
      </c>
      <c r="J265" s="37">
        <f t="shared" si="32"/>
        <v>38</v>
      </c>
      <c r="K265" s="41">
        <f t="shared" ref="K265:K274" si="33">SUM(E265+G265+I265)</f>
        <v>820668</v>
      </c>
      <c r="M265" s="41">
        <f t="shared" si="31"/>
        <v>21596.526315789473</v>
      </c>
      <c r="N265" s="25" t="s">
        <v>446</v>
      </c>
      <c r="O265" s="25"/>
    </row>
    <row r="266" spans="1:15" x14ac:dyDescent="0.25">
      <c r="A266" s="18" t="s">
        <v>124</v>
      </c>
      <c r="B266" s="16" t="s">
        <v>404</v>
      </c>
      <c r="C266" s="16" t="s">
        <v>118</v>
      </c>
      <c r="H266" s="37">
        <v>36</v>
      </c>
      <c r="I266" s="41">
        <v>160869.42000000001</v>
      </c>
      <c r="J266" s="37">
        <f t="shared" si="32"/>
        <v>36</v>
      </c>
      <c r="K266" s="41">
        <f t="shared" si="33"/>
        <v>160869.42000000001</v>
      </c>
      <c r="M266" s="41">
        <f t="shared" si="31"/>
        <v>4468.5950000000003</v>
      </c>
      <c r="N266" s="25"/>
      <c r="O266" s="25"/>
    </row>
    <row r="267" spans="1:15" x14ac:dyDescent="0.25">
      <c r="A267" s="18" t="s">
        <v>141</v>
      </c>
      <c r="B267" s="16" t="s">
        <v>404</v>
      </c>
      <c r="C267" s="16" t="s">
        <v>118</v>
      </c>
      <c r="D267" s="37">
        <v>12</v>
      </c>
      <c r="E267" s="41">
        <v>171094.22</v>
      </c>
      <c r="F267" s="37">
        <v>10</v>
      </c>
      <c r="G267" s="41">
        <v>83869.899999999994</v>
      </c>
      <c r="H267" s="37">
        <v>13</v>
      </c>
      <c r="I267" s="41">
        <v>433950.1</v>
      </c>
      <c r="J267" s="37">
        <f t="shared" si="32"/>
        <v>35</v>
      </c>
      <c r="K267" s="41">
        <f t="shared" si="33"/>
        <v>688914.22</v>
      </c>
      <c r="M267" s="41">
        <f t="shared" si="31"/>
        <v>19683.263428571427</v>
      </c>
      <c r="N267" s="25" t="s">
        <v>444</v>
      </c>
      <c r="O267" s="25"/>
    </row>
    <row r="268" spans="1:15" x14ac:dyDescent="0.25">
      <c r="A268" s="18" t="s">
        <v>85</v>
      </c>
      <c r="B268" s="16" t="s">
        <v>404</v>
      </c>
      <c r="C268" s="16" t="s">
        <v>117</v>
      </c>
      <c r="D268" s="37">
        <v>9</v>
      </c>
      <c r="E268" s="41">
        <f>95793.54+77720.02</f>
        <v>173513.56</v>
      </c>
      <c r="F268" s="37">
        <v>6</v>
      </c>
      <c r="G268" s="41">
        <f>50016.1+24964.21</f>
        <v>74980.31</v>
      </c>
      <c r="H268" s="37">
        <v>17</v>
      </c>
      <c r="I268" s="41">
        <f>168828.06+51202.04</f>
        <v>220030.1</v>
      </c>
      <c r="J268" s="37">
        <f t="shared" si="32"/>
        <v>32</v>
      </c>
      <c r="K268" s="41">
        <f t="shared" si="33"/>
        <v>468523.97</v>
      </c>
      <c r="M268" s="41">
        <f t="shared" si="31"/>
        <v>14641.374062499999</v>
      </c>
      <c r="N268" s="25"/>
      <c r="O268" s="25"/>
    </row>
    <row r="269" spans="1:15" x14ac:dyDescent="0.25">
      <c r="A269" s="18" t="s">
        <v>95</v>
      </c>
      <c r="B269" s="16" t="s">
        <v>404</v>
      </c>
      <c r="C269" s="16" t="s">
        <v>117</v>
      </c>
      <c r="D269" s="37">
        <v>13</v>
      </c>
      <c r="E269" s="41">
        <v>230122.65</v>
      </c>
      <c r="F269" s="37">
        <v>10</v>
      </c>
      <c r="G269" s="41">
        <v>254663</v>
      </c>
      <c r="H269" s="37">
        <v>8</v>
      </c>
      <c r="I269" s="41">
        <v>108279</v>
      </c>
      <c r="J269" s="37">
        <f t="shared" si="32"/>
        <v>31</v>
      </c>
      <c r="K269" s="41">
        <f t="shared" si="33"/>
        <v>593064.65</v>
      </c>
      <c r="M269" s="41">
        <f t="shared" si="31"/>
        <v>19131.117741935486</v>
      </c>
      <c r="N269" s="25"/>
      <c r="O269" s="25"/>
    </row>
    <row r="270" spans="1:15" x14ac:dyDescent="0.25">
      <c r="A270" s="18" t="s">
        <v>87</v>
      </c>
      <c r="B270" s="16" t="s">
        <v>404</v>
      </c>
      <c r="C270" s="16" t="s">
        <v>117</v>
      </c>
      <c r="D270" s="37">
        <v>7</v>
      </c>
      <c r="E270" s="41">
        <v>91196.37</v>
      </c>
      <c r="F270" s="37">
        <v>15</v>
      </c>
      <c r="G270" s="41">
        <v>134268.72</v>
      </c>
      <c r="H270" s="37">
        <v>7</v>
      </c>
      <c r="I270" s="41">
        <v>85266.5</v>
      </c>
      <c r="J270" s="37">
        <f t="shared" si="32"/>
        <v>29</v>
      </c>
      <c r="K270" s="41">
        <f t="shared" si="33"/>
        <v>310731.58999999997</v>
      </c>
      <c r="M270" s="41">
        <f t="shared" si="31"/>
        <v>10714.882413793102</v>
      </c>
      <c r="N270" s="25"/>
      <c r="O270" s="25"/>
    </row>
    <row r="271" spans="1:15" x14ac:dyDescent="0.25">
      <c r="A271" s="18" t="s">
        <v>81</v>
      </c>
      <c r="B271" s="16" t="s">
        <v>404</v>
      </c>
      <c r="C271" s="16" t="s">
        <v>117</v>
      </c>
      <c r="D271" s="37">
        <v>5</v>
      </c>
      <c r="E271" s="41">
        <v>9518.91</v>
      </c>
      <c r="F271" s="37">
        <v>10</v>
      </c>
      <c r="G271" s="41">
        <v>48758.36</v>
      </c>
      <c r="H271" s="37">
        <v>14</v>
      </c>
      <c r="I271" s="41">
        <v>96848.37</v>
      </c>
      <c r="J271" s="37">
        <f t="shared" si="32"/>
        <v>29</v>
      </c>
      <c r="K271" s="41">
        <f t="shared" si="33"/>
        <v>155125.64000000001</v>
      </c>
      <c r="M271" s="41">
        <f t="shared" si="31"/>
        <v>5349.1600000000008</v>
      </c>
      <c r="N271" s="25"/>
      <c r="O271" s="25"/>
    </row>
    <row r="272" spans="1:15" x14ac:dyDescent="0.25">
      <c r="A272" s="18" t="s">
        <v>137</v>
      </c>
      <c r="B272" s="16" t="s">
        <v>404</v>
      </c>
      <c r="C272" s="16" t="s">
        <v>118</v>
      </c>
      <c r="D272" s="37">
        <v>6</v>
      </c>
      <c r="E272" s="41">
        <v>182764.31</v>
      </c>
      <c r="F272" s="37">
        <v>10</v>
      </c>
      <c r="G272" s="41">
        <v>45852.01</v>
      </c>
      <c r="H272" s="37">
        <v>9</v>
      </c>
      <c r="I272" s="41">
        <v>144370.68</v>
      </c>
      <c r="J272" s="37">
        <f t="shared" si="32"/>
        <v>25</v>
      </c>
      <c r="K272" s="41">
        <f t="shared" si="33"/>
        <v>372987</v>
      </c>
      <c r="M272" s="41">
        <f t="shared" si="31"/>
        <v>14919.48</v>
      </c>
      <c r="N272" s="25" t="s">
        <v>461</v>
      </c>
      <c r="O272" s="25"/>
    </row>
    <row r="273" spans="1:15" x14ac:dyDescent="0.25">
      <c r="A273" s="27" t="s">
        <v>251</v>
      </c>
      <c r="B273" s="16" t="s">
        <v>404</v>
      </c>
      <c r="C273" s="16" t="s">
        <v>302</v>
      </c>
      <c r="D273" s="37">
        <v>8</v>
      </c>
      <c r="E273" s="41">
        <v>245309</v>
      </c>
      <c r="F273" s="37">
        <v>7</v>
      </c>
      <c r="G273" s="41">
        <v>96088</v>
      </c>
      <c r="H273" s="37">
        <v>9</v>
      </c>
      <c r="I273" s="41">
        <v>359680</v>
      </c>
      <c r="J273" s="37">
        <f t="shared" si="32"/>
        <v>24</v>
      </c>
      <c r="K273" s="41">
        <f t="shared" si="33"/>
        <v>701077</v>
      </c>
      <c r="M273" s="41">
        <f t="shared" si="31"/>
        <v>29211.541666666668</v>
      </c>
      <c r="N273" s="25" t="s">
        <v>513</v>
      </c>
      <c r="O273" s="25"/>
    </row>
    <row r="274" spans="1:15" x14ac:dyDescent="0.25">
      <c r="A274" s="18" t="s">
        <v>202</v>
      </c>
      <c r="B274" s="16" t="s">
        <v>404</v>
      </c>
      <c r="C274" s="16" t="s">
        <v>302</v>
      </c>
      <c r="D274" s="37">
        <v>3</v>
      </c>
      <c r="E274" s="41">
        <v>31033</v>
      </c>
      <c r="F274" s="37">
        <v>10</v>
      </c>
      <c r="G274" s="41">
        <v>253280.14</v>
      </c>
      <c r="H274" s="37">
        <v>6</v>
      </c>
      <c r="I274" s="41">
        <v>126912.81</v>
      </c>
      <c r="J274" s="37">
        <f t="shared" si="32"/>
        <v>19</v>
      </c>
      <c r="K274" s="41">
        <f t="shared" si="33"/>
        <v>411225.95</v>
      </c>
      <c r="M274" s="41">
        <f t="shared" si="31"/>
        <v>21643.471052631579</v>
      </c>
      <c r="N274" s="25" t="s">
        <v>531</v>
      </c>
      <c r="O274" s="25"/>
    </row>
    <row r="275" spans="1:15" x14ac:dyDescent="0.25">
      <c r="A275" s="27" t="s">
        <v>211</v>
      </c>
      <c r="B275" s="16" t="s">
        <v>404</v>
      </c>
      <c r="C275" s="16" t="s">
        <v>302</v>
      </c>
      <c r="D275" s="37">
        <v>4</v>
      </c>
      <c r="F275" s="37">
        <v>11</v>
      </c>
      <c r="H275" s="37">
        <v>2</v>
      </c>
      <c r="J275" s="37">
        <f t="shared" si="32"/>
        <v>17</v>
      </c>
      <c r="M275" s="41">
        <f t="shared" si="31"/>
        <v>0</v>
      </c>
      <c r="N275" s="25"/>
      <c r="O275" s="25"/>
    </row>
    <row r="276" spans="1:15" x14ac:dyDescent="0.25">
      <c r="A276" s="18" t="s">
        <v>143</v>
      </c>
      <c r="B276" s="16" t="s">
        <v>404</v>
      </c>
      <c r="C276" s="16" t="s">
        <v>118</v>
      </c>
      <c r="F276" s="37">
        <v>8</v>
      </c>
      <c r="G276" s="41">
        <v>151617</v>
      </c>
      <c r="H276" s="37">
        <v>8</v>
      </c>
      <c r="I276" s="41">
        <v>248689</v>
      </c>
      <c r="J276" s="37">
        <f t="shared" si="32"/>
        <v>16</v>
      </c>
      <c r="K276" s="41">
        <f>SUM(E276+G276+I276)</f>
        <v>400306</v>
      </c>
      <c r="M276" s="41">
        <f t="shared" si="31"/>
        <v>25019.125</v>
      </c>
      <c r="N276" s="25"/>
      <c r="O276" s="25"/>
    </row>
    <row r="277" spans="1:15" x14ac:dyDescent="0.25">
      <c r="A277" s="27" t="s">
        <v>151</v>
      </c>
      <c r="B277" s="16" t="s">
        <v>404</v>
      </c>
      <c r="C277" s="16" t="s">
        <v>302</v>
      </c>
      <c r="D277" s="37">
        <v>8</v>
      </c>
      <c r="E277" s="41">
        <v>133854</v>
      </c>
      <c r="F277" s="37">
        <v>4</v>
      </c>
      <c r="G277" s="41">
        <v>116939</v>
      </c>
      <c r="H277" s="37">
        <v>1</v>
      </c>
      <c r="J277" s="37">
        <f t="shared" si="32"/>
        <v>13</v>
      </c>
      <c r="K277" s="41">
        <f>SUM(E277+G277+I277)</f>
        <v>250793</v>
      </c>
      <c r="M277" s="41">
        <f t="shared" si="31"/>
        <v>19291.76923076923</v>
      </c>
      <c r="N277" s="25" t="s">
        <v>526</v>
      </c>
      <c r="O277" s="25"/>
    </row>
    <row r="278" spans="1:15" x14ac:dyDescent="0.25">
      <c r="A278" s="18" t="s">
        <v>194</v>
      </c>
      <c r="B278" s="16" t="s">
        <v>404</v>
      </c>
      <c r="C278" s="16" t="s">
        <v>302</v>
      </c>
      <c r="D278" s="37">
        <v>4</v>
      </c>
      <c r="E278" s="41">
        <v>44565</v>
      </c>
      <c r="F278" s="37">
        <v>3</v>
      </c>
      <c r="G278" s="41">
        <v>13103</v>
      </c>
      <c r="H278" s="37">
        <v>6</v>
      </c>
      <c r="I278" s="41">
        <v>77000</v>
      </c>
      <c r="J278" s="37">
        <f t="shared" si="32"/>
        <v>13</v>
      </c>
      <c r="K278" s="41">
        <f>SUM(E278+G278+I278)</f>
        <v>134668</v>
      </c>
      <c r="M278" s="41">
        <f t="shared" si="31"/>
        <v>10359.076923076924</v>
      </c>
      <c r="N278" s="25"/>
      <c r="O278" s="25"/>
    </row>
    <row r="279" spans="1:15" x14ac:dyDescent="0.25">
      <c r="A279" s="18" t="s">
        <v>226</v>
      </c>
      <c r="B279" s="16" t="s">
        <v>404</v>
      </c>
      <c r="C279" s="16" t="s">
        <v>302</v>
      </c>
      <c r="D279" s="37">
        <v>4</v>
      </c>
      <c r="E279" s="41">
        <v>44565</v>
      </c>
      <c r="F279" s="37">
        <v>3</v>
      </c>
      <c r="G279" s="41">
        <v>13101</v>
      </c>
      <c r="H279" s="37">
        <v>6</v>
      </c>
      <c r="I279" s="41">
        <v>77000</v>
      </c>
      <c r="J279" s="37">
        <f t="shared" si="32"/>
        <v>13</v>
      </c>
      <c r="K279" s="41">
        <f>SUM(E279+G279+I279)</f>
        <v>134666</v>
      </c>
      <c r="M279" s="41">
        <f t="shared" si="31"/>
        <v>10358.923076923076</v>
      </c>
      <c r="N279" s="25" t="s">
        <v>534</v>
      </c>
      <c r="O279" s="25"/>
    </row>
    <row r="280" spans="1:15" x14ac:dyDescent="0.25">
      <c r="A280" s="18" t="s">
        <v>99</v>
      </c>
      <c r="B280" s="16" t="s">
        <v>404</v>
      </c>
      <c r="C280" s="16" t="s">
        <v>117</v>
      </c>
      <c r="D280" s="37">
        <v>4</v>
      </c>
      <c r="E280" s="41">
        <v>166732.6</v>
      </c>
      <c r="F280" s="37">
        <v>5</v>
      </c>
      <c r="G280" s="41">
        <v>78963.240000000005</v>
      </c>
      <c r="H280" s="37">
        <v>3</v>
      </c>
      <c r="I280" s="41">
        <v>67674.850000000006</v>
      </c>
      <c r="J280" s="37">
        <f t="shared" si="32"/>
        <v>12</v>
      </c>
      <c r="K280" s="41">
        <v>313370.69</v>
      </c>
      <c r="M280" s="41">
        <f t="shared" si="31"/>
        <v>26114.224166666667</v>
      </c>
      <c r="N280" s="25"/>
      <c r="O280" s="25"/>
    </row>
    <row r="281" spans="1:15" x14ac:dyDescent="0.25">
      <c r="A281" s="18" t="s">
        <v>258</v>
      </c>
      <c r="B281" s="16" t="s">
        <v>404</v>
      </c>
      <c r="C281" s="16" t="s">
        <v>302</v>
      </c>
      <c r="D281" s="37">
        <v>4</v>
      </c>
      <c r="E281" s="41">
        <v>27235.57</v>
      </c>
      <c r="F281" s="37">
        <v>4</v>
      </c>
      <c r="G281" s="41">
        <v>114307.51</v>
      </c>
      <c r="H281" s="37">
        <v>3</v>
      </c>
      <c r="I281" s="41">
        <v>90511.48</v>
      </c>
      <c r="J281" s="37">
        <f t="shared" si="32"/>
        <v>11</v>
      </c>
      <c r="K281" s="41">
        <f>SUM(E281+G281+I281)</f>
        <v>232054.56</v>
      </c>
      <c r="M281" s="41">
        <f t="shared" si="31"/>
        <v>21095.869090909091</v>
      </c>
      <c r="N281" s="25" t="s">
        <v>537</v>
      </c>
      <c r="O281" s="25"/>
    </row>
    <row r="282" spans="1:15" x14ac:dyDescent="0.25">
      <c r="A282" s="18" t="s">
        <v>283</v>
      </c>
      <c r="B282" s="16" t="s">
        <v>404</v>
      </c>
      <c r="C282" s="16" t="s">
        <v>302</v>
      </c>
      <c r="D282" s="37">
        <v>2</v>
      </c>
      <c r="E282" s="41">
        <v>18675.47</v>
      </c>
      <c r="F282" s="37">
        <v>5</v>
      </c>
      <c r="G282" s="41">
        <v>142970.51</v>
      </c>
      <c r="H282" s="37">
        <v>4</v>
      </c>
      <c r="I282" s="41">
        <v>31669.439999999999</v>
      </c>
      <c r="J282" s="37">
        <f t="shared" si="32"/>
        <v>11</v>
      </c>
      <c r="K282" s="41">
        <f>SUM(E282+G282+I282)</f>
        <v>193315.42</v>
      </c>
      <c r="M282" s="41">
        <f t="shared" si="31"/>
        <v>17574.129090909093</v>
      </c>
      <c r="N282" s="25"/>
      <c r="O282" s="25"/>
    </row>
    <row r="283" spans="1:15" x14ac:dyDescent="0.25">
      <c r="A283" s="18" t="s">
        <v>204</v>
      </c>
      <c r="B283" s="16" t="s">
        <v>404</v>
      </c>
      <c r="C283" s="16" t="s">
        <v>302</v>
      </c>
      <c r="D283" s="37">
        <v>5</v>
      </c>
      <c r="E283" s="41">
        <v>58669.67</v>
      </c>
      <c r="F283" s="37">
        <v>3</v>
      </c>
      <c r="H283" s="37">
        <v>3</v>
      </c>
      <c r="J283" s="37">
        <v>11</v>
      </c>
      <c r="K283" s="41">
        <v>129654.69</v>
      </c>
      <c r="M283" s="41">
        <f t="shared" si="31"/>
        <v>11786.79</v>
      </c>
      <c r="N283" s="25" t="s">
        <v>567</v>
      </c>
      <c r="O283" s="25"/>
    </row>
    <row r="284" spans="1:15" x14ac:dyDescent="0.25">
      <c r="A284" s="18" t="s">
        <v>423</v>
      </c>
      <c r="B284" s="16" t="s">
        <v>404</v>
      </c>
      <c r="C284" s="16" t="s">
        <v>302</v>
      </c>
      <c r="D284" s="37">
        <v>1</v>
      </c>
      <c r="F284" s="37">
        <v>4</v>
      </c>
      <c r="H284" s="37">
        <v>4</v>
      </c>
      <c r="J284" s="37">
        <f t="shared" ref="J284:J289" si="34">SUM(D284+F284+H284)</f>
        <v>9</v>
      </c>
      <c r="K284" s="41">
        <v>607726</v>
      </c>
      <c r="M284" s="41">
        <f t="shared" si="31"/>
        <v>67525.111111111109</v>
      </c>
      <c r="N284" s="25" t="s">
        <v>446</v>
      </c>
      <c r="O284" s="25"/>
    </row>
    <row r="285" spans="1:15" x14ac:dyDescent="0.25">
      <c r="A285" s="27" t="s">
        <v>287</v>
      </c>
      <c r="B285" s="16" t="s">
        <v>404</v>
      </c>
      <c r="C285" s="16" t="s">
        <v>302</v>
      </c>
      <c r="D285" s="37">
        <v>2</v>
      </c>
      <c r="E285" s="41">
        <v>15000</v>
      </c>
      <c r="F285" s="37">
        <v>1</v>
      </c>
      <c r="G285" s="41">
        <v>7866</v>
      </c>
      <c r="H285" s="37">
        <v>6</v>
      </c>
      <c r="I285" s="41">
        <v>93364</v>
      </c>
      <c r="J285" s="37">
        <f t="shared" si="34"/>
        <v>9</v>
      </c>
      <c r="K285" s="41">
        <f>SUM(E285+G285+I285)</f>
        <v>116230</v>
      </c>
      <c r="M285" s="41">
        <f t="shared" si="31"/>
        <v>12914.444444444445</v>
      </c>
      <c r="N285" s="25"/>
      <c r="O285" s="25"/>
    </row>
    <row r="286" spans="1:15" x14ac:dyDescent="0.25">
      <c r="A286" s="18" t="s">
        <v>68</v>
      </c>
      <c r="B286" s="16" t="s">
        <v>404</v>
      </c>
      <c r="C286" s="16" t="s">
        <v>117</v>
      </c>
      <c r="D286" s="37">
        <v>2</v>
      </c>
      <c r="E286" s="41">
        <v>46379.5</v>
      </c>
      <c r="F286" s="37">
        <v>3</v>
      </c>
      <c r="G286" s="41">
        <v>50974.25</v>
      </c>
      <c r="H286" s="37">
        <v>3</v>
      </c>
      <c r="I286" s="41">
        <v>97036.33</v>
      </c>
      <c r="J286" s="37">
        <f t="shared" si="34"/>
        <v>8</v>
      </c>
      <c r="K286" s="41">
        <f>SUM(E286+G286+I286)</f>
        <v>194390.08000000002</v>
      </c>
      <c r="M286" s="41">
        <f t="shared" si="31"/>
        <v>24298.760000000002</v>
      </c>
      <c r="N286" s="25" t="s">
        <v>527</v>
      </c>
      <c r="O286" s="25"/>
    </row>
    <row r="287" spans="1:15" x14ac:dyDescent="0.25">
      <c r="A287" s="18" t="s">
        <v>195</v>
      </c>
      <c r="B287" s="16" t="s">
        <v>404</v>
      </c>
      <c r="C287" s="16" t="s">
        <v>302</v>
      </c>
      <c r="D287" s="37">
        <v>3</v>
      </c>
      <c r="E287" s="41">
        <v>132008</v>
      </c>
      <c r="F287" s="37">
        <v>3</v>
      </c>
      <c r="G287" s="41">
        <v>23717</v>
      </c>
      <c r="H287" s="37">
        <v>2</v>
      </c>
      <c r="I287" s="41">
        <v>11000</v>
      </c>
      <c r="J287" s="37">
        <f t="shared" si="34"/>
        <v>8</v>
      </c>
      <c r="K287" s="41">
        <f>SUM(E287+G287+I287)</f>
        <v>166725</v>
      </c>
      <c r="M287" s="41">
        <f t="shared" si="31"/>
        <v>20840.625</v>
      </c>
      <c r="N287" s="25"/>
      <c r="O287" s="25"/>
    </row>
    <row r="288" spans="1:15" x14ac:dyDescent="0.25">
      <c r="A288" s="18" t="s">
        <v>256</v>
      </c>
      <c r="B288" s="16" t="s">
        <v>404</v>
      </c>
      <c r="C288" s="16" t="s">
        <v>302</v>
      </c>
      <c r="D288" s="37">
        <v>4</v>
      </c>
      <c r="F288" s="37">
        <v>1</v>
      </c>
      <c r="H288" s="37">
        <v>3</v>
      </c>
      <c r="J288" s="37">
        <f t="shared" si="34"/>
        <v>8</v>
      </c>
      <c r="K288" s="41">
        <v>128937.11</v>
      </c>
      <c r="M288" s="41">
        <f t="shared" si="31"/>
        <v>16117.13875</v>
      </c>
      <c r="N288" s="25"/>
      <c r="O288" s="25"/>
    </row>
    <row r="289" spans="1:15" x14ac:dyDescent="0.25">
      <c r="A289" s="18" t="s">
        <v>239</v>
      </c>
      <c r="B289" s="16" t="s">
        <v>404</v>
      </c>
      <c r="C289" s="16" t="s">
        <v>302</v>
      </c>
      <c r="D289" s="37">
        <v>6</v>
      </c>
      <c r="E289" s="41">
        <v>59801.42</v>
      </c>
      <c r="F289" s="37">
        <v>0</v>
      </c>
      <c r="G289" s="41">
        <v>0</v>
      </c>
      <c r="H289" s="37">
        <v>2</v>
      </c>
      <c r="I289" s="41">
        <v>37292.32</v>
      </c>
      <c r="J289" s="37">
        <f t="shared" si="34"/>
        <v>8</v>
      </c>
      <c r="K289" s="41">
        <f>SUM(E289+G289+I289)</f>
        <v>97093.739999999991</v>
      </c>
      <c r="M289" s="41">
        <f t="shared" si="31"/>
        <v>12136.717499999999</v>
      </c>
      <c r="N289" s="25"/>
      <c r="O289" s="25"/>
    </row>
    <row r="290" spans="1:15" x14ac:dyDescent="0.25">
      <c r="A290" s="18" t="s">
        <v>228</v>
      </c>
      <c r="B290" s="16" t="s">
        <v>404</v>
      </c>
      <c r="C290" s="16" t="s">
        <v>302</v>
      </c>
      <c r="D290" s="37">
        <v>3</v>
      </c>
      <c r="E290" s="41">
        <v>24116.01</v>
      </c>
      <c r="F290" s="37">
        <v>0</v>
      </c>
      <c r="G290" s="41">
        <v>0</v>
      </c>
      <c r="H290" s="37">
        <v>5</v>
      </c>
      <c r="I290" s="41">
        <v>36237.9</v>
      </c>
      <c r="J290" s="37">
        <v>8</v>
      </c>
      <c r="K290" s="41">
        <v>60353.91</v>
      </c>
      <c r="M290" s="41" t="e">
        <f>SUM(K429/J429)</f>
        <v>#DIV/0!</v>
      </c>
      <c r="N290" s="25"/>
      <c r="O290" s="25"/>
    </row>
    <row r="291" spans="1:15" x14ac:dyDescent="0.25">
      <c r="A291" s="27" t="s">
        <v>243</v>
      </c>
      <c r="B291" s="16" t="s">
        <v>404</v>
      </c>
      <c r="C291" s="16" t="s">
        <v>302</v>
      </c>
      <c r="D291" s="37">
        <v>3</v>
      </c>
      <c r="E291" s="41">
        <v>18820.66</v>
      </c>
      <c r="F291" s="37">
        <v>2</v>
      </c>
      <c r="G291" s="41">
        <v>19901.89</v>
      </c>
      <c r="H291" s="37">
        <v>3</v>
      </c>
      <c r="I291" s="41">
        <v>19895</v>
      </c>
      <c r="J291" s="37">
        <f>SUM(D291+F291+H291)</f>
        <v>8</v>
      </c>
      <c r="K291" s="41">
        <f>SUM(E291+G291+I291)</f>
        <v>58617.55</v>
      </c>
      <c r="M291" s="41">
        <f t="shared" ref="M291:M296" si="35">SUM(K291/J291)</f>
        <v>7327.1937500000004</v>
      </c>
      <c r="N291" s="25"/>
      <c r="O291" s="25"/>
    </row>
    <row r="292" spans="1:15" x14ac:dyDescent="0.25">
      <c r="A292" s="18" t="s">
        <v>209</v>
      </c>
      <c r="B292" s="16" t="s">
        <v>404</v>
      </c>
      <c r="C292" s="16" t="s">
        <v>302</v>
      </c>
      <c r="D292" s="37">
        <v>2</v>
      </c>
      <c r="E292" s="41">
        <v>73760</v>
      </c>
      <c r="F292" s="37">
        <v>5</v>
      </c>
      <c r="G292" s="41">
        <v>158047</v>
      </c>
      <c r="H292" s="37">
        <v>0</v>
      </c>
      <c r="I292" s="41">
        <v>0</v>
      </c>
      <c r="J292" s="37">
        <f>SUM(D292+F292+H292)</f>
        <v>7</v>
      </c>
      <c r="K292" s="41">
        <f>SUM(E292+G292+I292)</f>
        <v>231807</v>
      </c>
      <c r="M292" s="41">
        <f t="shared" si="35"/>
        <v>33115.285714285717</v>
      </c>
      <c r="N292" s="25"/>
      <c r="O292" s="25"/>
    </row>
    <row r="293" spans="1:15" x14ac:dyDescent="0.25">
      <c r="A293" s="27" t="s">
        <v>215</v>
      </c>
      <c r="B293" s="16" t="s">
        <v>404</v>
      </c>
      <c r="C293" s="16" t="s">
        <v>302</v>
      </c>
      <c r="D293" s="37">
        <v>1</v>
      </c>
      <c r="F293" s="37">
        <v>4</v>
      </c>
      <c r="G293" s="41">
        <v>80718.23</v>
      </c>
      <c r="H293" s="37">
        <v>1</v>
      </c>
      <c r="J293" s="37">
        <f>SUM(D293+F293+H293)</f>
        <v>6</v>
      </c>
      <c r="K293" s="41">
        <v>94673.5</v>
      </c>
      <c r="M293" s="41">
        <f t="shared" si="35"/>
        <v>15778.916666666666</v>
      </c>
      <c r="N293" s="25" t="s">
        <v>458</v>
      </c>
      <c r="O293" s="25"/>
    </row>
    <row r="294" spans="1:15" x14ac:dyDescent="0.25">
      <c r="A294" s="18" t="s">
        <v>411</v>
      </c>
      <c r="B294" s="16" t="s">
        <v>404</v>
      </c>
      <c r="C294" s="16" t="s">
        <v>302</v>
      </c>
      <c r="E294" s="41">
        <v>66560</v>
      </c>
      <c r="G294" s="41">
        <v>31754</v>
      </c>
      <c r="I294" s="41">
        <v>299825.5</v>
      </c>
      <c r="J294" s="37">
        <v>5</v>
      </c>
      <c r="K294" s="41">
        <f>SUM(E294+G294+I294)</f>
        <v>398139.5</v>
      </c>
      <c r="M294" s="41">
        <f t="shared" si="35"/>
        <v>79627.899999999994</v>
      </c>
      <c r="N294" s="25"/>
      <c r="O294" s="25"/>
    </row>
    <row r="295" spans="1:15" x14ac:dyDescent="0.25">
      <c r="A295" s="27" t="s">
        <v>263</v>
      </c>
      <c r="B295" s="16" t="s">
        <v>404</v>
      </c>
      <c r="C295" s="16" t="s">
        <v>302</v>
      </c>
      <c r="D295" s="37">
        <v>2</v>
      </c>
      <c r="E295" s="41">
        <v>24000</v>
      </c>
      <c r="F295" s="37">
        <v>1</v>
      </c>
      <c r="G295" s="41">
        <v>140044</v>
      </c>
      <c r="H295" s="37">
        <v>2</v>
      </c>
      <c r="I295" s="41">
        <v>42662.239999999998</v>
      </c>
      <c r="J295" s="37">
        <f t="shared" ref="J295:J300" si="36">SUM(D295+F295+H295)</f>
        <v>5</v>
      </c>
      <c r="K295" s="41">
        <f>SUM(E295+G295+I295)</f>
        <v>206706.24</v>
      </c>
      <c r="M295" s="41">
        <f t="shared" si="35"/>
        <v>41341.248</v>
      </c>
      <c r="N295" s="25"/>
      <c r="O295" s="25"/>
    </row>
    <row r="296" spans="1:15" x14ac:dyDescent="0.25">
      <c r="A296" s="18" t="s">
        <v>199</v>
      </c>
      <c r="B296" s="16" t="s">
        <v>404</v>
      </c>
      <c r="C296" s="16" t="s">
        <v>302</v>
      </c>
      <c r="D296" s="37">
        <v>1</v>
      </c>
      <c r="E296" s="41">
        <v>26820</v>
      </c>
      <c r="F296" s="37">
        <v>4</v>
      </c>
      <c r="G296" s="41">
        <v>118021.87</v>
      </c>
      <c r="H296" s="37">
        <v>0</v>
      </c>
      <c r="I296" s="41">
        <v>0</v>
      </c>
      <c r="J296" s="37">
        <f t="shared" si="36"/>
        <v>5</v>
      </c>
      <c r="K296" s="41">
        <f>SUM(E296+G296+I296)</f>
        <v>144841.87</v>
      </c>
      <c r="M296" s="41">
        <f t="shared" si="35"/>
        <v>28968.374</v>
      </c>
      <c r="N296" s="25" t="s">
        <v>441</v>
      </c>
      <c r="O296" s="25"/>
    </row>
    <row r="297" spans="1:15" x14ac:dyDescent="0.25">
      <c r="A297" s="27" t="s">
        <v>276</v>
      </c>
      <c r="B297" s="16" t="s">
        <v>404</v>
      </c>
      <c r="C297" s="16" t="s">
        <v>302</v>
      </c>
      <c r="D297" s="37">
        <v>1</v>
      </c>
      <c r="F297" s="37">
        <v>0</v>
      </c>
      <c r="G297" s="41">
        <v>0</v>
      </c>
      <c r="H297" s="37">
        <v>4</v>
      </c>
      <c r="I297" s="41">
        <v>38188.800000000003</v>
      </c>
      <c r="J297" s="37">
        <f t="shared" si="36"/>
        <v>5</v>
      </c>
      <c r="K297" s="41">
        <f>SUM(E297+G297+I297)</f>
        <v>38188.800000000003</v>
      </c>
      <c r="M297" s="41"/>
      <c r="N297" s="25" t="s">
        <v>540</v>
      </c>
      <c r="O297" s="25"/>
    </row>
    <row r="298" spans="1:15" x14ac:dyDescent="0.25">
      <c r="A298" s="18" t="s">
        <v>150</v>
      </c>
      <c r="B298" s="16" t="s">
        <v>404</v>
      </c>
      <c r="C298" s="16" t="s">
        <v>302</v>
      </c>
      <c r="D298" s="37">
        <v>0</v>
      </c>
      <c r="E298" s="41">
        <v>0</v>
      </c>
      <c r="F298" s="37">
        <v>2</v>
      </c>
      <c r="G298" s="41">
        <v>9567.5</v>
      </c>
      <c r="H298" s="37">
        <v>3</v>
      </c>
      <c r="I298" s="41">
        <v>10418.33</v>
      </c>
      <c r="J298" s="37">
        <f t="shared" si="36"/>
        <v>5</v>
      </c>
      <c r="K298" s="41">
        <f>SUM(E298+G298+I298)</f>
        <v>19985.830000000002</v>
      </c>
      <c r="M298" s="41">
        <f t="shared" ref="M298:M306" si="37">SUM(K298/J298)</f>
        <v>3997.1660000000002</v>
      </c>
      <c r="N298" s="25"/>
      <c r="O298" s="25"/>
    </row>
    <row r="299" spans="1:15" x14ac:dyDescent="0.25">
      <c r="A299" s="27" t="s">
        <v>237</v>
      </c>
      <c r="B299" s="16" t="s">
        <v>404</v>
      </c>
      <c r="C299" s="16" t="s">
        <v>302</v>
      </c>
      <c r="D299" s="37">
        <v>1</v>
      </c>
      <c r="F299" s="37">
        <v>3</v>
      </c>
      <c r="H299" s="37">
        <v>0</v>
      </c>
      <c r="I299" s="41">
        <v>0</v>
      </c>
      <c r="J299" s="37">
        <f t="shared" si="36"/>
        <v>4</v>
      </c>
      <c r="K299" s="41">
        <v>82096</v>
      </c>
      <c r="M299" s="41">
        <f t="shared" si="37"/>
        <v>20524</v>
      </c>
      <c r="N299" s="25" t="s">
        <v>535</v>
      </c>
      <c r="O299" s="25"/>
    </row>
    <row r="300" spans="1:15" x14ac:dyDescent="0.25">
      <c r="A300" s="18" t="s">
        <v>111</v>
      </c>
      <c r="B300" s="16" t="s">
        <v>404</v>
      </c>
      <c r="C300" s="16" t="s">
        <v>117</v>
      </c>
      <c r="D300" s="37">
        <v>1</v>
      </c>
      <c r="E300" s="41">
        <v>7354.33</v>
      </c>
      <c r="F300" s="37">
        <v>3</v>
      </c>
      <c r="G300" s="41">
        <v>71230.77</v>
      </c>
      <c r="H300" s="37">
        <v>0</v>
      </c>
      <c r="I300" s="41">
        <v>0</v>
      </c>
      <c r="J300" s="37">
        <f t="shared" si="36"/>
        <v>4</v>
      </c>
      <c r="K300" s="41">
        <f>SUM(E300+G300+I300)</f>
        <v>78585.100000000006</v>
      </c>
      <c r="M300" s="41">
        <f t="shared" si="37"/>
        <v>19646.275000000001</v>
      </c>
      <c r="N300" s="25" t="s">
        <v>468</v>
      </c>
      <c r="O300" s="25"/>
    </row>
    <row r="301" spans="1:15" x14ac:dyDescent="0.25">
      <c r="A301" s="27" t="s">
        <v>268</v>
      </c>
      <c r="B301" s="16" t="s">
        <v>404</v>
      </c>
      <c r="C301" s="16" t="s">
        <v>302</v>
      </c>
      <c r="J301" s="37">
        <v>4</v>
      </c>
      <c r="K301" s="41">
        <v>47103</v>
      </c>
      <c r="M301" s="41">
        <f t="shared" si="37"/>
        <v>11775.75</v>
      </c>
      <c r="N301" s="25" t="s">
        <v>512</v>
      </c>
      <c r="O301" s="25"/>
    </row>
    <row r="302" spans="1:15" x14ac:dyDescent="0.25">
      <c r="A302" s="18" t="s">
        <v>269</v>
      </c>
      <c r="B302" s="16" t="s">
        <v>404</v>
      </c>
      <c r="C302" s="16" t="s">
        <v>302</v>
      </c>
      <c r="J302" s="37">
        <v>3</v>
      </c>
      <c r="K302" s="41">
        <v>39500</v>
      </c>
      <c r="M302" s="41">
        <f t="shared" si="37"/>
        <v>13166.666666666666</v>
      </c>
      <c r="N302" s="25"/>
      <c r="O302" s="25"/>
    </row>
    <row r="303" spans="1:15" x14ac:dyDescent="0.25">
      <c r="A303" s="27" t="s">
        <v>186</v>
      </c>
      <c r="B303" s="16" t="s">
        <v>404</v>
      </c>
      <c r="C303" s="16" t="s">
        <v>302</v>
      </c>
      <c r="J303" s="37">
        <v>2</v>
      </c>
      <c r="K303" s="41">
        <v>29665</v>
      </c>
      <c r="M303" s="41">
        <f t="shared" si="37"/>
        <v>14832.5</v>
      </c>
      <c r="N303" s="25"/>
      <c r="O303" s="25"/>
    </row>
    <row r="304" spans="1:15" x14ac:dyDescent="0.25">
      <c r="A304" s="18" t="s">
        <v>275</v>
      </c>
      <c r="B304" s="16" t="s">
        <v>404</v>
      </c>
      <c r="C304" s="16" t="s">
        <v>302</v>
      </c>
      <c r="J304" s="37">
        <v>2</v>
      </c>
      <c r="K304" s="41">
        <v>28000</v>
      </c>
      <c r="M304" s="41">
        <f t="shared" si="37"/>
        <v>14000</v>
      </c>
      <c r="N304" s="25" t="s">
        <v>444</v>
      </c>
      <c r="O304" s="25"/>
    </row>
    <row r="305" spans="1:15" x14ac:dyDescent="0.25">
      <c r="A305" s="18" t="s">
        <v>299</v>
      </c>
      <c r="B305" s="16" t="s">
        <v>404</v>
      </c>
      <c r="C305" s="16" t="s">
        <v>302</v>
      </c>
      <c r="D305" s="37">
        <v>1</v>
      </c>
      <c r="E305" s="41">
        <v>11675</v>
      </c>
      <c r="F305" s="37">
        <v>0</v>
      </c>
      <c r="G305" s="41">
        <v>0</v>
      </c>
      <c r="H305" s="37">
        <v>1</v>
      </c>
      <c r="I305" s="41">
        <v>7674.76</v>
      </c>
      <c r="J305" s="37">
        <f>SUM(D305+F305+H305)</f>
        <v>2</v>
      </c>
      <c r="K305" s="41">
        <f>SUM(E305+G305+I305)</f>
        <v>19349.760000000002</v>
      </c>
      <c r="M305" s="41">
        <f t="shared" si="37"/>
        <v>9674.880000000001</v>
      </c>
      <c r="N305" s="25"/>
      <c r="O305" s="25"/>
    </row>
    <row r="306" spans="1:15" x14ac:dyDescent="0.25">
      <c r="A306" s="18" t="s">
        <v>208</v>
      </c>
      <c r="B306" s="16" t="s">
        <v>404</v>
      </c>
      <c r="C306" s="16" t="s">
        <v>302</v>
      </c>
      <c r="D306" s="37">
        <v>0</v>
      </c>
      <c r="E306" s="41">
        <v>0</v>
      </c>
      <c r="F306" s="37">
        <v>1</v>
      </c>
      <c r="G306" s="41">
        <v>12124.82</v>
      </c>
      <c r="H306" s="37">
        <v>0</v>
      </c>
      <c r="I306" s="41">
        <v>0</v>
      </c>
      <c r="J306" s="37">
        <f>SUM(D306+F306+H306)</f>
        <v>1</v>
      </c>
      <c r="K306" s="41">
        <f>SUM(E306+G306+I306)</f>
        <v>12124.82</v>
      </c>
      <c r="M306" s="41">
        <f t="shared" si="37"/>
        <v>12124.82</v>
      </c>
      <c r="N306" s="25" t="s">
        <v>445</v>
      </c>
      <c r="O306" s="25"/>
    </row>
    <row r="307" spans="1:15" x14ac:dyDescent="0.25">
      <c r="A307" s="18" t="s">
        <v>148</v>
      </c>
      <c r="B307" s="16" t="s">
        <v>404</v>
      </c>
      <c r="C307" s="16" t="s">
        <v>302</v>
      </c>
      <c r="E307" s="41">
        <v>9708.18</v>
      </c>
      <c r="G307" s="41">
        <v>6500</v>
      </c>
      <c r="H307" s="37">
        <v>0</v>
      </c>
      <c r="I307" s="41">
        <v>0</v>
      </c>
      <c r="J307" s="37">
        <v>0</v>
      </c>
      <c r="K307" s="41">
        <f>SUM(E307+G307+I307)</f>
        <v>16208.18</v>
      </c>
      <c r="M307" s="41"/>
      <c r="N307" s="25" t="s">
        <v>525</v>
      </c>
      <c r="O307" s="25"/>
    </row>
    <row r="308" spans="1:15" x14ac:dyDescent="0.25">
      <c r="A308" s="27" t="s">
        <v>278</v>
      </c>
      <c r="B308" s="16" t="s">
        <v>404</v>
      </c>
      <c r="C308" s="16" t="s">
        <v>302</v>
      </c>
      <c r="D308" s="37">
        <v>0</v>
      </c>
      <c r="E308" s="41">
        <v>0</v>
      </c>
      <c r="F308" s="37">
        <v>0</v>
      </c>
      <c r="G308" s="41">
        <v>0</v>
      </c>
      <c r="H308" s="37">
        <v>0</v>
      </c>
      <c r="I308" s="41">
        <v>0</v>
      </c>
      <c r="J308" s="37">
        <v>0</v>
      </c>
      <c r="K308" s="41">
        <v>0</v>
      </c>
      <c r="M308" s="41"/>
      <c r="N308" s="25" t="s">
        <v>444</v>
      </c>
      <c r="O308" s="25"/>
    </row>
    <row r="309" spans="1:15" x14ac:dyDescent="0.25">
      <c r="A309" s="18" t="s">
        <v>289</v>
      </c>
      <c r="B309" s="16" t="s">
        <v>404</v>
      </c>
      <c r="C309" s="16" t="s">
        <v>302</v>
      </c>
      <c r="D309" s="37">
        <v>0</v>
      </c>
      <c r="E309" s="41">
        <v>0</v>
      </c>
      <c r="F309" s="37">
        <v>0</v>
      </c>
      <c r="G309" s="41">
        <v>0</v>
      </c>
      <c r="H309" s="37">
        <v>0</v>
      </c>
      <c r="I309" s="41">
        <v>0</v>
      </c>
      <c r="J309" s="37">
        <f>SUM(D309+F309+H309)</f>
        <v>0</v>
      </c>
      <c r="K309" s="41">
        <v>0</v>
      </c>
      <c r="M309" s="41"/>
      <c r="N309" s="25"/>
      <c r="O309" s="25"/>
    </row>
    <row r="310" spans="1:15" x14ac:dyDescent="0.25">
      <c r="A310" s="27" t="s">
        <v>296</v>
      </c>
      <c r="B310" s="16" t="s">
        <v>404</v>
      </c>
      <c r="C310" s="16" t="s">
        <v>302</v>
      </c>
      <c r="D310" s="37">
        <v>0</v>
      </c>
      <c r="E310" s="41">
        <v>0</v>
      </c>
      <c r="F310" s="37">
        <v>0</v>
      </c>
      <c r="G310" s="41">
        <v>0</v>
      </c>
      <c r="H310" s="37">
        <v>0</v>
      </c>
      <c r="I310" s="41">
        <v>0</v>
      </c>
      <c r="J310" s="37">
        <v>0</v>
      </c>
      <c r="K310" s="41">
        <f>SUM(E310+G310+I310)</f>
        <v>0</v>
      </c>
      <c r="M310" s="41"/>
      <c r="N310" s="25" t="s">
        <v>467</v>
      </c>
      <c r="O310" s="25"/>
    </row>
    <row r="311" spans="1:15" x14ac:dyDescent="0.25">
      <c r="A311" s="18" t="s">
        <v>189</v>
      </c>
      <c r="B311" s="16" t="s">
        <v>404</v>
      </c>
      <c r="C311" s="16" t="s">
        <v>302</v>
      </c>
      <c r="M311" s="41"/>
      <c r="N311" s="25" t="s">
        <v>442</v>
      </c>
      <c r="O311" s="25"/>
    </row>
    <row r="312" spans="1:15" x14ac:dyDescent="0.25">
      <c r="A312" s="18" t="s">
        <v>297</v>
      </c>
      <c r="B312" s="16" t="s">
        <v>404</v>
      </c>
      <c r="C312" s="16" t="s">
        <v>302</v>
      </c>
      <c r="M312" s="41"/>
      <c r="N312" s="25"/>
      <c r="O312" s="26"/>
    </row>
    <row r="313" spans="1:15" x14ac:dyDescent="0.25">
      <c r="A313" s="18" t="s">
        <v>336</v>
      </c>
      <c r="B313" s="16" t="s">
        <v>412</v>
      </c>
      <c r="C313" s="16" t="s">
        <v>117</v>
      </c>
      <c r="N313" s="25" t="s">
        <v>578</v>
      </c>
      <c r="O313" s="25"/>
    </row>
    <row r="314" spans="1:15" x14ac:dyDescent="0.25">
      <c r="A314" s="27" t="s">
        <v>123</v>
      </c>
      <c r="B314" s="16" t="s">
        <v>412</v>
      </c>
      <c r="C314" s="16" t="s">
        <v>118</v>
      </c>
      <c r="D314" s="37">
        <v>28</v>
      </c>
      <c r="E314" s="41">
        <v>308721.82</v>
      </c>
      <c r="F314" s="37">
        <v>31</v>
      </c>
      <c r="G314" s="41">
        <v>406056.71</v>
      </c>
      <c r="H314" s="37">
        <v>26</v>
      </c>
      <c r="I314" s="41">
        <v>311024.86</v>
      </c>
      <c r="J314" s="37">
        <f t="shared" ref="J314:K321" si="38">SUM(D314+F314+H314)</f>
        <v>85</v>
      </c>
      <c r="K314" s="41">
        <f t="shared" si="38"/>
        <v>1025803.39</v>
      </c>
      <c r="M314" s="41">
        <f t="shared" ref="M314:M332" si="39">SUM(K314/J314)</f>
        <v>12068.275176470588</v>
      </c>
      <c r="N314" s="25" t="s">
        <v>572</v>
      </c>
      <c r="O314" s="25"/>
    </row>
    <row r="315" spans="1:15" x14ac:dyDescent="0.25">
      <c r="A315" s="27" t="s">
        <v>76</v>
      </c>
      <c r="B315" s="16" t="s">
        <v>412</v>
      </c>
      <c r="C315" s="16" t="s">
        <v>117</v>
      </c>
      <c r="D315" s="37">
        <v>27</v>
      </c>
      <c r="E315" s="41">
        <v>330198</v>
      </c>
      <c r="F315" s="37">
        <v>27</v>
      </c>
      <c r="G315" s="41">
        <v>378226</v>
      </c>
      <c r="H315" s="37">
        <v>10</v>
      </c>
      <c r="I315" s="41">
        <v>205030</v>
      </c>
      <c r="J315" s="37">
        <f t="shared" si="38"/>
        <v>64</v>
      </c>
      <c r="K315" s="41">
        <f t="shared" si="38"/>
        <v>913454</v>
      </c>
      <c r="M315" s="41">
        <f t="shared" si="39"/>
        <v>14272.71875</v>
      </c>
      <c r="N315" s="25"/>
      <c r="O315" s="25"/>
    </row>
    <row r="316" spans="1:15" x14ac:dyDescent="0.25">
      <c r="A316" s="27" t="s">
        <v>102</v>
      </c>
      <c r="B316" s="16" t="s">
        <v>412</v>
      </c>
      <c r="C316" s="16" t="s">
        <v>117</v>
      </c>
      <c r="D316" s="37">
        <v>19</v>
      </c>
      <c r="E316" s="41">
        <v>158323.66</v>
      </c>
      <c r="F316" s="37">
        <v>21</v>
      </c>
      <c r="G316" s="41">
        <v>202733.68</v>
      </c>
      <c r="H316" s="37">
        <v>18</v>
      </c>
      <c r="I316" s="41">
        <v>159735.85</v>
      </c>
      <c r="J316" s="37">
        <f t="shared" si="38"/>
        <v>58</v>
      </c>
      <c r="K316" s="41">
        <f t="shared" si="38"/>
        <v>520793.18999999994</v>
      </c>
      <c r="M316" s="41">
        <f t="shared" si="39"/>
        <v>8979.1929310344822</v>
      </c>
      <c r="N316" s="25" t="s">
        <v>449</v>
      </c>
      <c r="O316" s="25" t="s">
        <v>506</v>
      </c>
    </row>
    <row r="317" spans="1:15" x14ac:dyDescent="0.25">
      <c r="A317" s="18" t="s">
        <v>67</v>
      </c>
      <c r="B317" s="16" t="s">
        <v>412</v>
      </c>
      <c r="C317" s="16" t="s">
        <v>117</v>
      </c>
      <c r="D317" s="37">
        <v>25</v>
      </c>
      <c r="E317" s="41">
        <v>303217.68</v>
      </c>
      <c r="F317" s="37">
        <v>22</v>
      </c>
      <c r="G317" s="41">
        <v>240698.75</v>
      </c>
      <c r="H317" s="37">
        <v>9</v>
      </c>
      <c r="I317" s="41">
        <v>76466.100000000006</v>
      </c>
      <c r="J317" s="37">
        <f t="shared" si="38"/>
        <v>56</v>
      </c>
      <c r="K317" s="41">
        <f t="shared" si="38"/>
        <v>620382.52999999991</v>
      </c>
      <c r="M317" s="41">
        <f t="shared" si="39"/>
        <v>11078.259464285713</v>
      </c>
      <c r="N317" s="25"/>
      <c r="O317" s="25"/>
    </row>
    <row r="318" spans="1:15" x14ac:dyDescent="0.25">
      <c r="A318" s="27" t="s">
        <v>70</v>
      </c>
      <c r="B318" s="16" t="s">
        <v>412</v>
      </c>
      <c r="C318" s="16" t="s">
        <v>117</v>
      </c>
      <c r="D318" s="37">
        <v>19</v>
      </c>
      <c r="E318" s="41">
        <v>122604.35</v>
      </c>
      <c r="F318" s="37">
        <v>11</v>
      </c>
      <c r="G318" s="41">
        <v>207006.13</v>
      </c>
      <c r="H318" s="37">
        <v>8</v>
      </c>
      <c r="I318" s="41">
        <v>149132</v>
      </c>
      <c r="J318" s="37">
        <f t="shared" si="38"/>
        <v>38</v>
      </c>
      <c r="K318" s="41">
        <f t="shared" si="38"/>
        <v>478742.48</v>
      </c>
      <c r="M318" s="41">
        <f t="shared" si="39"/>
        <v>12598.486315789472</v>
      </c>
      <c r="N318" s="25" t="s">
        <v>442</v>
      </c>
      <c r="O318" s="25"/>
    </row>
    <row r="319" spans="1:15" x14ac:dyDescent="0.25">
      <c r="A319" s="18" t="s">
        <v>110</v>
      </c>
      <c r="B319" s="16" t="s">
        <v>412</v>
      </c>
      <c r="C319" s="16" t="s">
        <v>117</v>
      </c>
      <c r="D319" s="37">
        <v>5</v>
      </c>
      <c r="E319" s="41">
        <v>129947.23</v>
      </c>
      <c r="F319" s="37">
        <v>4</v>
      </c>
      <c r="G319" s="41">
        <v>68805.48</v>
      </c>
      <c r="H319" s="37">
        <v>14</v>
      </c>
      <c r="I319" s="41">
        <v>151805.51999999999</v>
      </c>
      <c r="J319" s="37">
        <f t="shared" si="38"/>
        <v>23</v>
      </c>
      <c r="K319" s="41">
        <f t="shared" si="38"/>
        <v>350558.23</v>
      </c>
      <c r="M319" s="41">
        <f t="shared" si="39"/>
        <v>15241.662173913042</v>
      </c>
      <c r="N319" s="25" t="s">
        <v>466</v>
      </c>
      <c r="O319" s="25"/>
    </row>
    <row r="320" spans="1:15" x14ac:dyDescent="0.25">
      <c r="A320" s="18" t="s">
        <v>104</v>
      </c>
      <c r="B320" s="16" t="s">
        <v>412</v>
      </c>
      <c r="C320" s="16" t="s">
        <v>117</v>
      </c>
      <c r="D320" s="37">
        <v>5</v>
      </c>
      <c r="E320" s="41">
        <v>171532.6</v>
      </c>
      <c r="F320" s="37">
        <v>10</v>
      </c>
      <c r="G320" s="41">
        <v>216568.47</v>
      </c>
      <c r="I320" s="41">
        <f>3727+11183+7083+8500</f>
        <v>30493</v>
      </c>
      <c r="J320" s="37">
        <f t="shared" si="38"/>
        <v>15</v>
      </c>
      <c r="K320" s="41">
        <f t="shared" si="38"/>
        <v>418594.07</v>
      </c>
      <c r="M320" s="41">
        <f t="shared" si="39"/>
        <v>27906.271333333334</v>
      </c>
      <c r="N320" s="25" t="s">
        <v>444</v>
      </c>
      <c r="O320" s="25"/>
    </row>
    <row r="321" spans="1:23" x14ac:dyDescent="0.25">
      <c r="A321" s="27" t="s">
        <v>107</v>
      </c>
      <c r="B321" s="16" t="s">
        <v>412</v>
      </c>
      <c r="C321" s="16" t="s">
        <v>117</v>
      </c>
      <c r="D321" s="37">
        <v>8</v>
      </c>
      <c r="E321" s="41">
        <v>86189.88</v>
      </c>
      <c r="F321" s="37">
        <v>3</v>
      </c>
      <c r="G321" s="41">
        <v>19873.5</v>
      </c>
      <c r="H321" s="37">
        <v>3</v>
      </c>
      <c r="I321" s="41">
        <v>13102.93</v>
      </c>
      <c r="J321" s="37">
        <f t="shared" si="38"/>
        <v>14</v>
      </c>
      <c r="K321" s="41">
        <f t="shared" si="38"/>
        <v>119166.31</v>
      </c>
      <c r="M321" s="41">
        <f t="shared" si="39"/>
        <v>8511.8792857142853</v>
      </c>
      <c r="N321" s="25"/>
      <c r="O321" s="25"/>
    </row>
    <row r="322" spans="1:23" x14ac:dyDescent="0.25">
      <c r="A322" s="18" t="s">
        <v>72</v>
      </c>
      <c r="B322" s="16" t="s">
        <v>412</v>
      </c>
      <c r="C322" s="16" t="s">
        <v>117</v>
      </c>
      <c r="E322" s="41">
        <v>179926.88</v>
      </c>
      <c r="G322" s="41">
        <v>55757.85</v>
      </c>
      <c r="H322" s="37">
        <v>0</v>
      </c>
      <c r="I322" s="41">
        <v>0</v>
      </c>
      <c r="J322" s="37">
        <v>12</v>
      </c>
      <c r="K322" s="41">
        <f>SUM(E322+G322+I322)</f>
        <v>235684.73</v>
      </c>
      <c r="M322" s="41">
        <f t="shared" si="39"/>
        <v>19640.394166666669</v>
      </c>
      <c r="N322" s="25"/>
      <c r="O322" s="25"/>
    </row>
    <row r="323" spans="1:23" x14ac:dyDescent="0.25">
      <c r="A323" s="18" t="s">
        <v>126</v>
      </c>
      <c r="B323" s="16" t="s">
        <v>412</v>
      </c>
      <c r="C323" s="16" t="s">
        <v>118</v>
      </c>
      <c r="D323" s="37">
        <v>6</v>
      </c>
      <c r="F323" s="37">
        <v>3</v>
      </c>
      <c r="H323" s="37">
        <v>3</v>
      </c>
      <c r="J323" s="37">
        <f t="shared" ref="J323:J333" si="40">SUM(D323+F323+H323)</f>
        <v>12</v>
      </c>
      <c r="K323" s="41">
        <v>177147</v>
      </c>
      <c r="M323" s="41">
        <f t="shared" si="39"/>
        <v>14762.25</v>
      </c>
      <c r="N323" s="25"/>
      <c r="O323" s="25"/>
    </row>
    <row r="324" spans="1:23" x14ac:dyDescent="0.25">
      <c r="A324" s="18" t="s">
        <v>90</v>
      </c>
      <c r="B324" s="16" t="s">
        <v>412</v>
      </c>
      <c r="C324" s="16" t="s">
        <v>117</v>
      </c>
      <c r="D324" s="37">
        <v>0</v>
      </c>
      <c r="E324" s="41">
        <v>0</v>
      </c>
      <c r="F324" s="37">
        <v>8</v>
      </c>
      <c r="G324" s="41">
        <v>86990.46</v>
      </c>
      <c r="H324" s="37">
        <v>3</v>
      </c>
      <c r="I324" s="41">
        <v>132064.64000000001</v>
      </c>
      <c r="J324" s="37">
        <f t="shared" si="40"/>
        <v>11</v>
      </c>
      <c r="K324" s="41">
        <f>SUM(E324+G324+I324)</f>
        <v>219055.10000000003</v>
      </c>
      <c r="M324" s="41">
        <f t="shared" si="39"/>
        <v>19914.100000000002</v>
      </c>
      <c r="N324" s="25"/>
      <c r="O324" s="25"/>
    </row>
    <row r="325" spans="1:23" x14ac:dyDescent="0.25">
      <c r="A325" s="27" t="s">
        <v>238</v>
      </c>
      <c r="B325" s="16" t="s">
        <v>412</v>
      </c>
      <c r="C325" s="16" t="s">
        <v>302</v>
      </c>
      <c r="D325" s="37">
        <v>5</v>
      </c>
      <c r="E325" s="41">
        <v>57479</v>
      </c>
      <c r="F325" s="37">
        <v>0</v>
      </c>
      <c r="G325" s="41">
        <v>0</v>
      </c>
      <c r="H325" s="37">
        <v>6</v>
      </c>
      <c r="I325" s="41">
        <v>68493</v>
      </c>
      <c r="J325" s="37">
        <f t="shared" si="40"/>
        <v>11</v>
      </c>
      <c r="K325" s="41">
        <f>SUM(E325+G325+I325)</f>
        <v>125972</v>
      </c>
      <c r="M325" s="41">
        <f t="shared" si="39"/>
        <v>11452</v>
      </c>
      <c r="N325" s="25"/>
      <c r="O325" s="25"/>
    </row>
    <row r="326" spans="1:23" x14ac:dyDescent="0.25">
      <c r="A326" s="18" t="s">
        <v>173</v>
      </c>
      <c r="B326" s="16" t="s">
        <v>412</v>
      </c>
      <c r="C326" s="16" t="s">
        <v>302</v>
      </c>
      <c r="D326" s="37">
        <v>3</v>
      </c>
      <c r="F326" s="37">
        <v>3</v>
      </c>
      <c r="H326" s="37">
        <v>3</v>
      </c>
      <c r="J326" s="37">
        <f t="shared" si="40"/>
        <v>9</v>
      </c>
      <c r="K326" s="41">
        <v>121367</v>
      </c>
      <c r="M326" s="41">
        <f t="shared" si="39"/>
        <v>13485.222222222223</v>
      </c>
      <c r="N326" s="25"/>
      <c r="O326" s="25"/>
    </row>
    <row r="327" spans="1:23" x14ac:dyDescent="0.25">
      <c r="A327" s="18" t="s">
        <v>201</v>
      </c>
      <c r="B327" s="16" t="s">
        <v>412</v>
      </c>
      <c r="C327" s="16" t="s">
        <v>302</v>
      </c>
      <c r="D327" s="37">
        <v>1</v>
      </c>
      <c r="F327" s="37">
        <v>2</v>
      </c>
      <c r="G327" s="41">
        <v>67996.25</v>
      </c>
      <c r="H327" s="37">
        <v>3</v>
      </c>
      <c r="I327" s="41">
        <v>87897.49</v>
      </c>
      <c r="J327" s="37">
        <f t="shared" si="40"/>
        <v>6</v>
      </c>
      <c r="K327" s="41">
        <f>SUM(E327+G327+I327)</f>
        <v>155893.74</v>
      </c>
      <c r="M327" s="41">
        <f t="shared" si="39"/>
        <v>25982.289999999997</v>
      </c>
      <c r="N327" s="25"/>
      <c r="O327" s="25"/>
    </row>
    <row r="328" spans="1:23" x14ac:dyDescent="0.25">
      <c r="A328" s="27" t="s">
        <v>205</v>
      </c>
      <c r="B328" s="25" t="s">
        <v>412</v>
      </c>
      <c r="C328" s="25" t="s">
        <v>302</v>
      </c>
      <c r="D328" s="37">
        <v>4</v>
      </c>
      <c r="F328" s="37">
        <v>2</v>
      </c>
      <c r="H328" s="37">
        <v>0</v>
      </c>
      <c r="J328" s="37">
        <f t="shared" si="40"/>
        <v>6</v>
      </c>
      <c r="K328" s="41">
        <v>61529</v>
      </c>
      <c r="M328" s="41">
        <f t="shared" si="39"/>
        <v>10254.833333333334</v>
      </c>
      <c r="N328" s="25"/>
      <c r="O328" s="25"/>
    </row>
    <row r="329" spans="1:23" x14ac:dyDescent="0.25">
      <c r="A329" s="18" t="s">
        <v>282</v>
      </c>
      <c r="B329" s="16" t="s">
        <v>412</v>
      </c>
      <c r="C329" s="16" t="s">
        <v>302</v>
      </c>
      <c r="D329" s="37">
        <v>0</v>
      </c>
      <c r="E329" s="41">
        <v>0</v>
      </c>
      <c r="F329" s="37">
        <v>2</v>
      </c>
      <c r="G329" s="41">
        <v>28336.31</v>
      </c>
      <c r="H329" s="37">
        <v>2</v>
      </c>
      <c r="I329" s="41">
        <v>82569.279999999999</v>
      </c>
      <c r="J329" s="37">
        <f t="shared" si="40"/>
        <v>4</v>
      </c>
      <c r="K329" s="41">
        <f>SUM(E329+G329+I329)</f>
        <v>110905.59</v>
      </c>
      <c r="M329" s="41">
        <f t="shared" si="39"/>
        <v>27726.397499999999</v>
      </c>
      <c r="N329" s="25"/>
      <c r="O329" s="25"/>
    </row>
    <row r="330" spans="1:23" x14ac:dyDescent="0.25">
      <c r="A330" s="18" t="s">
        <v>233</v>
      </c>
      <c r="B330" s="16" t="s">
        <v>412</v>
      </c>
      <c r="C330" s="16" t="s">
        <v>302</v>
      </c>
      <c r="D330" s="37">
        <v>0</v>
      </c>
      <c r="E330" s="41">
        <v>0</v>
      </c>
      <c r="F330" s="37">
        <v>3</v>
      </c>
      <c r="G330" s="41">
        <v>92359.03</v>
      </c>
      <c r="H330" s="37">
        <v>0</v>
      </c>
      <c r="I330" s="41">
        <v>0</v>
      </c>
      <c r="J330" s="37">
        <f t="shared" si="40"/>
        <v>3</v>
      </c>
      <c r="K330" s="41">
        <f>SUM(E330+G330+I330)</f>
        <v>92359.03</v>
      </c>
      <c r="M330" s="41">
        <f t="shared" si="39"/>
        <v>30786.343333333334</v>
      </c>
      <c r="N330" s="25"/>
      <c r="O330" s="25"/>
    </row>
    <row r="331" spans="1:23" x14ac:dyDescent="0.25">
      <c r="A331" s="18" t="s">
        <v>286</v>
      </c>
      <c r="B331" s="16" t="s">
        <v>412</v>
      </c>
      <c r="C331" s="16" t="s">
        <v>302</v>
      </c>
      <c r="D331" s="37">
        <v>2</v>
      </c>
      <c r="F331" s="37">
        <v>0</v>
      </c>
      <c r="G331" s="41">
        <v>0</v>
      </c>
      <c r="H331" s="37">
        <v>0</v>
      </c>
      <c r="I331" s="41">
        <v>0</v>
      </c>
      <c r="J331" s="37">
        <f t="shared" si="40"/>
        <v>2</v>
      </c>
      <c r="K331" s="41">
        <v>31680</v>
      </c>
      <c r="M331" s="41">
        <f t="shared" si="39"/>
        <v>15840</v>
      </c>
      <c r="N331" s="25"/>
      <c r="O331" s="25"/>
    </row>
    <row r="332" spans="1:23" x14ac:dyDescent="0.25">
      <c r="A332" s="27" t="s">
        <v>261</v>
      </c>
      <c r="B332" s="16" t="s">
        <v>412</v>
      </c>
      <c r="C332" s="16" t="s">
        <v>302</v>
      </c>
      <c r="D332" s="37">
        <v>2</v>
      </c>
      <c r="F332" s="37">
        <v>0</v>
      </c>
      <c r="H332" s="37">
        <v>0</v>
      </c>
      <c r="J332" s="37">
        <f t="shared" si="40"/>
        <v>2</v>
      </c>
      <c r="M332" s="41">
        <f t="shared" si="39"/>
        <v>0</v>
      </c>
      <c r="N332" s="25"/>
      <c r="O332" s="25"/>
    </row>
    <row r="333" spans="1:23" x14ac:dyDescent="0.25">
      <c r="A333" s="27" t="s">
        <v>415</v>
      </c>
      <c r="B333" s="16" t="s">
        <v>412</v>
      </c>
      <c r="C333" s="16" t="s">
        <v>302</v>
      </c>
      <c r="J333" s="37">
        <f t="shared" si="40"/>
        <v>0</v>
      </c>
      <c r="K333" s="41">
        <v>8124.78</v>
      </c>
      <c r="M333" s="41"/>
      <c r="N333" s="25"/>
      <c r="O333" s="25"/>
    </row>
    <row r="334" spans="1:23" x14ac:dyDescent="0.25">
      <c r="A334" s="18" t="s">
        <v>267</v>
      </c>
      <c r="B334" s="16" t="s">
        <v>412</v>
      </c>
      <c r="C334" s="16" t="s">
        <v>302</v>
      </c>
      <c r="D334" s="37">
        <v>0</v>
      </c>
      <c r="E334" s="41">
        <v>0</v>
      </c>
      <c r="F334" s="37">
        <v>0</v>
      </c>
      <c r="G334" s="41">
        <v>0</v>
      </c>
      <c r="H334" s="37">
        <v>0</v>
      </c>
      <c r="I334" s="41">
        <v>0</v>
      </c>
      <c r="J334" s="37">
        <v>0</v>
      </c>
      <c r="K334" s="41">
        <v>0</v>
      </c>
      <c r="M334" s="41"/>
      <c r="N334" s="25"/>
      <c r="O334" s="25"/>
      <c r="S334" s="5"/>
      <c r="U334" s="5"/>
      <c r="W334" s="5"/>
    </row>
    <row r="335" spans="1:23" x14ac:dyDescent="0.25">
      <c r="A335" s="27" t="s">
        <v>279</v>
      </c>
      <c r="B335" s="16" t="s">
        <v>412</v>
      </c>
      <c r="C335" s="16" t="s">
        <v>302</v>
      </c>
      <c r="D335" s="37">
        <v>0</v>
      </c>
      <c r="E335" s="41">
        <v>0</v>
      </c>
      <c r="F335" s="37">
        <v>0</v>
      </c>
      <c r="G335" s="41">
        <v>0</v>
      </c>
      <c r="H335" s="37">
        <v>0</v>
      </c>
      <c r="I335" s="41">
        <v>0</v>
      </c>
      <c r="J335" s="37">
        <v>0</v>
      </c>
      <c r="K335" s="41">
        <v>0</v>
      </c>
      <c r="M335" s="41"/>
      <c r="N335" s="25" t="s">
        <v>484</v>
      </c>
      <c r="O335" s="25"/>
      <c r="S335" s="5"/>
      <c r="U335" s="5"/>
      <c r="W335" s="5"/>
    </row>
    <row r="336" spans="1:23" x14ac:dyDescent="0.25">
      <c r="A336" s="18" t="s">
        <v>64</v>
      </c>
      <c r="B336" s="16" t="s">
        <v>412</v>
      </c>
      <c r="C336" s="16" t="s">
        <v>117</v>
      </c>
      <c r="M336" s="41"/>
      <c r="N336" s="25"/>
      <c r="O336" s="25"/>
      <c r="S336" s="5"/>
      <c r="U336" s="5"/>
      <c r="W336" s="5"/>
    </row>
    <row r="337" spans="1:23" x14ac:dyDescent="0.25">
      <c r="A337" s="18" t="s">
        <v>138</v>
      </c>
      <c r="B337" s="16" t="s">
        <v>412</v>
      </c>
      <c r="C337" s="16" t="s">
        <v>118</v>
      </c>
      <c r="M337" s="41"/>
      <c r="N337" s="25" t="s">
        <v>545</v>
      </c>
      <c r="O337" s="25"/>
      <c r="S337" s="5"/>
      <c r="U337" s="5"/>
      <c r="W337" s="5"/>
    </row>
    <row r="338" spans="1:23" x14ac:dyDescent="0.25">
      <c r="A338" s="27" t="s">
        <v>94</v>
      </c>
      <c r="B338" s="16" t="s">
        <v>419</v>
      </c>
      <c r="C338" s="16" t="s">
        <v>117</v>
      </c>
      <c r="M338" s="41"/>
      <c r="N338" s="26" t="s">
        <v>577</v>
      </c>
      <c r="O338" s="25"/>
      <c r="S338" s="5"/>
      <c r="U338" s="5"/>
      <c r="W338" s="5"/>
    </row>
    <row r="339" spans="1:23" x14ac:dyDescent="0.25">
      <c r="A339" s="27" t="s">
        <v>384</v>
      </c>
      <c r="B339" s="16" t="s">
        <v>381</v>
      </c>
      <c r="C339" s="16" t="s">
        <v>117</v>
      </c>
      <c r="D339" s="37">
        <v>96</v>
      </c>
      <c r="E339" s="41">
        <v>945928.94</v>
      </c>
      <c r="F339" s="37">
        <v>49</v>
      </c>
      <c r="G339" s="41">
        <v>845333.8</v>
      </c>
      <c r="H339" s="37">
        <v>54</v>
      </c>
      <c r="I339" s="41">
        <v>778044.75</v>
      </c>
      <c r="J339" s="37">
        <f t="shared" ref="J339:J353" si="41">SUM(D339+F339+H339)</f>
        <v>199</v>
      </c>
      <c r="K339" s="41">
        <f t="shared" ref="K339:K353" si="42">SUM(E339+G339+I339)</f>
        <v>2569307.4900000002</v>
      </c>
      <c r="M339" s="41">
        <f t="shared" ref="M339:M353" si="43">SUM(K339/J339)</f>
        <v>12911.092914572866</v>
      </c>
      <c r="N339" s="25"/>
      <c r="O339" s="25"/>
      <c r="S339" s="5"/>
      <c r="U339" s="5"/>
      <c r="W339" s="5"/>
    </row>
    <row r="340" spans="1:23" x14ac:dyDescent="0.25">
      <c r="A340" s="18" t="s">
        <v>397</v>
      </c>
      <c r="B340" s="25" t="s">
        <v>381</v>
      </c>
      <c r="C340" s="25" t="s">
        <v>117</v>
      </c>
      <c r="D340" s="37">
        <v>15</v>
      </c>
      <c r="E340" s="41">
        <v>291839.26</v>
      </c>
      <c r="F340" s="37">
        <v>26</v>
      </c>
      <c r="G340" s="41">
        <v>443173.29</v>
      </c>
      <c r="H340" s="37">
        <v>16</v>
      </c>
      <c r="I340" s="41">
        <v>231614.97</v>
      </c>
      <c r="J340" s="37">
        <f t="shared" si="41"/>
        <v>57</v>
      </c>
      <c r="K340" s="41">
        <f t="shared" si="42"/>
        <v>966627.52</v>
      </c>
      <c r="M340" s="41">
        <f t="shared" si="43"/>
        <v>16958.377543859649</v>
      </c>
      <c r="N340" s="25"/>
      <c r="O340" s="25"/>
      <c r="S340" s="5"/>
      <c r="U340" s="5"/>
      <c r="W340" s="5"/>
    </row>
    <row r="341" spans="1:23" x14ac:dyDescent="0.25">
      <c r="A341" s="18" t="s">
        <v>400</v>
      </c>
      <c r="B341" s="16" t="s">
        <v>381</v>
      </c>
      <c r="C341" s="16" t="s">
        <v>117</v>
      </c>
      <c r="D341" s="37">
        <v>30</v>
      </c>
      <c r="E341" s="41">
        <v>429505.83</v>
      </c>
      <c r="F341" s="37">
        <v>16</v>
      </c>
      <c r="G341" s="41">
        <v>273092.67</v>
      </c>
      <c r="J341" s="37">
        <f t="shared" si="41"/>
        <v>46</v>
      </c>
      <c r="K341" s="41">
        <f t="shared" si="42"/>
        <v>702598.5</v>
      </c>
      <c r="M341" s="41">
        <f t="shared" si="43"/>
        <v>15273.880434782608</v>
      </c>
      <c r="N341" s="25"/>
      <c r="O341" s="25"/>
      <c r="S341" s="5"/>
      <c r="U341" s="5"/>
      <c r="W341" s="5"/>
    </row>
    <row r="342" spans="1:23" x14ac:dyDescent="0.25">
      <c r="A342" s="18" t="s">
        <v>382</v>
      </c>
      <c r="B342" s="16" t="s">
        <v>381</v>
      </c>
      <c r="C342" s="16" t="s">
        <v>117</v>
      </c>
      <c r="D342" s="37">
        <v>15</v>
      </c>
      <c r="E342" s="41">
        <v>159541.07</v>
      </c>
      <c r="F342" s="37">
        <v>14</v>
      </c>
      <c r="G342" s="41">
        <v>190828.23</v>
      </c>
      <c r="H342" s="37">
        <v>10</v>
      </c>
      <c r="I342" s="41">
        <v>276246.83</v>
      </c>
      <c r="J342" s="37">
        <f t="shared" si="41"/>
        <v>39</v>
      </c>
      <c r="K342" s="41">
        <f t="shared" si="42"/>
        <v>626616.13000000012</v>
      </c>
      <c r="M342" s="41">
        <f t="shared" si="43"/>
        <v>16067.08025641026</v>
      </c>
      <c r="N342" s="25"/>
      <c r="O342" s="25"/>
      <c r="S342" s="5"/>
      <c r="U342" s="5"/>
      <c r="W342" s="5"/>
    </row>
    <row r="343" spans="1:23" x14ac:dyDescent="0.25">
      <c r="A343" s="18" t="s">
        <v>383</v>
      </c>
      <c r="B343" s="16" t="s">
        <v>381</v>
      </c>
      <c r="C343" s="16" t="s">
        <v>117</v>
      </c>
      <c r="D343" s="37">
        <v>15</v>
      </c>
      <c r="E343" s="41">
        <v>212269</v>
      </c>
      <c r="F343" s="37">
        <v>7</v>
      </c>
      <c r="G343" s="41">
        <v>107800</v>
      </c>
      <c r="H343" s="37">
        <v>8</v>
      </c>
      <c r="I343" s="41">
        <v>219185</v>
      </c>
      <c r="J343" s="37">
        <f t="shared" si="41"/>
        <v>30</v>
      </c>
      <c r="K343" s="41">
        <f t="shared" si="42"/>
        <v>539254</v>
      </c>
      <c r="M343" s="41">
        <f t="shared" si="43"/>
        <v>17975.133333333335</v>
      </c>
      <c r="N343" s="25"/>
      <c r="O343" s="25"/>
      <c r="S343" s="5"/>
      <c r="U343" s="5"/>
      <c r="W343" s="5"/>
    </row>
    <row r="344" spans="1:23" x14ac:dyDescent="0.25">
      <c r="A344" s="27" t="s">
        <v>390</v>
      </c>
      <c r="B344" s="25" t="s">
        <v>381</v>
      </c>
      <c r="C344" s="25" t="s">
        <v>117</v>
      </c>
      <c r="D344" s="37">
        <v>8</v>
      </c>
      <c r="E344" s="41">
        <v>116414.76</v>
      </c>
      <c r="F344" s="37">
        <v>10</v>
      </c>
      <c r="G344" s="41">
        <v>175753.43</v>
      </c>
      <c r="H344" s="37">
        <v>6</v>
      </c>
      <c r="I344" s="41">
        <v>62744.65</v>
      </c>
      <c r="J344" s="37">
        <f t="shared" si="41"/>
        <v>24</v>
      </c>
      <c r="K344" s="41">
        <f t="shared" si="42"/>
        <v>354912.84</v>
      </c>
      <c r="M344" s="41">
        <f t="shared" si="43"/>
        <v>14788.035000000002</v>
      </c>
      <c r="N344" s="25" t="s">
        <v>524</v>
      </c>
      <c r="O344" s="25"/>
      <c r="S344" s="5"/>
      <c r="U344" s="5"/>
      <c r="W344" s="5"/>
    </row>
    <row r="345" spans="1:23" x14ac:dyDescent="0.25">
      <c r="A345" s="27" t="s">
        <v>396</v>
      </c>
      <c r="B345" s="16" t="s">
        <v>381</v>
      </c>
      <c r="C345" s="16" t="s">
        <v>117</v>
      </c>
      <c r="D345" s="37">
        <v>8</v>
      </c>
      <c r="E345" s="41">
        <v>79046.95</v>
      </c>
      <c r="F345" s="37">
        <v>7</v>
      </c>
      <c r="G345" s="41">
        <v>111700.68</v>
      </c>
      <c r="H345" s="37">
        <v>8</v>
      </c>
      <c r="I345" s="41">
        <v>104924.25</v>
      </c>
      <c r="J345" s="37">
        <f t="shared" si="41"/>
        <v>23</v>
      </c>
      <c r="K345" s="41">
        <f t="shared" si="42"/>
        <v>295671.88</v>
      </c>
      <c r="M345" s="41">
        <f t="shared" si="43"/>
        <v>12855.299130434783</v>
      </c>
      <c r="N345" s="25"/>
      <c r="O345" s="25"/>
      <c r="S345" s="5"/>
      <c r="U345" s="5"/>
      <c r="W345" s="5"/>
    </row>
    <row r="346" spans="1:23" x14ac:dyDescent="0.25">
      <c r="A346" s="18" t="s">
        <v>398</v>
      </c>
      <c r="B346" s="16" t="s">
        <v>381</v>
      </c>
      <c r="C346" s="16" t="s">
        <v>117</v>
      </c>
      <c r="D346" s="37">
        <v>7</v>
      </c>
      <c r="E346" s="41">
        <v>149626</v>
      </c>
      <c r="F346" s="37">
        <v>5</v>
      </c>
      <c r="G346" s="41">
        <v>172344</v>
      </c>
      <c r="H346" s="37">
        <v>8</v>
      </c>
      <c r="I346" s="41">
        <v>164460</v>
      </c>
      <c r="J346" s="37">
        <f t="shared" si="41"/>
        <v>20</v>
      </c>
      <c r="K346" s="41">
        <f t="shared" si="42"/>
        <v>486430</v>
      </c>
      <c r="M346" s="41">
        <f t="shared" si="43"/>
        <v>24321.5</v>
      </c>
      <c r="N346" s="25" t="s">
        <v>445</v>
      </c>
      <c r="O346" s="25"/>
      <c r="S346" s="5"/>
      <c r="U346" s="5"/>
      <c r="W346" s="5"/>
    </row>
    <row r="347" spans="1:23" x14ac:dyDescent="0.25">
      <c r="A347" s="27" t="s">
        <v>386</v>
      </c>
      <c r="B347" s="16" t="s">
        <v>381</v>
      </c>
      <c r="C347" s="16" t="s">
        <v>117</v>
      </c>
      <c r="D347" s="37">
        <v>7</v>
      </c>
      <c r="E347" s="41">
        <v>54778</v>
      </c>
      <c r="F347" s="37">
        <v>5</v>
      </c>
      <c r="G347" s="41">
        <v>2737</v>
      </c>
      <c r="H347" s="37">
        <v>5</v>
      </c>
      <c r="I347" s="41">
        <v>10804</v>
      </c>
      <c r="J347" s="37">
        <f t="shared" si="41"/>
        <v>17</v>
      </c>
      <c r="K347" s="41">
        <f t="shared" si="42"/>
        <v>68319</v>
      </c>
      <c r="M347" s="41">
        <f t="shared" si="43"/>
        <v>4018.7647058823532</v>
      </c>
      <c r="N347" s="25"/>
      <c r="O347" s="25"/>
      <c r="S347" s="5"/>
      <c r="U347" s="5"/>
      <c r="W347" s="5"/>
    </row>
    <row r="348" spans="1:23" x14ac:dyDescent="0.25">
      <c r="A348" s="27" t="s">
        <v>395</v>
      </c>
      <c r="B348" s="16" t="s">
        <v>381</v>
      </c>
      <c r="C348" s="16" t="s">
        <v>117</v>
      </c>
      <c r="D348" s="37">
        <v>6</v>
      </c>
      <c r="E348" s="41">
        <v>182492.7</v>
      </c>
      <c r="F348" s="37">
        <v>4</v>
      </c>
      <c r="G348" s="41">
        <v>139792</v>
      </c>
      <c r="H348" s="37">
        <v>5</v>
      </c>
      <c r="I348" s="41">
        <v>265000</v>
      </c>
      <c r="J348" s="37">
        <f t="shared" si="41"/>
        <v>15</v>
      </c>
      <c r="K348" s="41">
        <f t="shared" si="42"/>
        <v>587284.69999999995</v>
      </c>
      <c r="M348" s="41">
        <f t="shared" si="43"/>
        <v>39152.313333333332</v>
      </c>
      <c r="N348" s="25" t="s">
        <v>455</v>
      </c>
      <c r="O348" s="25"/>
      <c r="S348" s="5"/>
      <c r="U348" s="5"/>
      <c r="W348" s="5"/>
    </row>
    <row r="349" spans="1:23" x14ac:dyDescent="0.25">
      <c r="A349" s="27" t="s">
        <v>388</v>
      </c>
      <c r="B349" s="16" t="s">
        <v>381</v>
      </c>
      <c r="C349" s="16" t="s">
        <v>117</v>
      </c>
      <c r="D349" s="37">
        <v>8</v>
      </c>
      <c r="E349" s="41">
        <v>273713.53999999998</v>
      </c>
      <c r="F349" s="37">
        <v>4</v>
      </c>
      <c r="G349" s="41">
        <v>264480.46999999997</v>
      </c>
      <c r="H349" s="37">
        <v>2</v>
      </c>
      <c r="I349" s="41">
        <v>35100</v>
      </c>
      <c r="J349" s="37">
        <f t="shared" si="41"/>
        <v>14</v>
      </c>
      <c r="K349" s="41">
        <f t="shared" si="42"/>
        <v>573294.01</v>
      </c>
      <c r="M349" s="41">
        <f t="shared" si="43"/>
        <v>40949.572142857141</v>
      </c>
      <c r="N349" s="25"/>
      <c r="O349" s="25"/>
      <c r="S349" s="5"/>
      <c r="U349" s="5"/>
      <c r="W349" s="5"/>
    </row>
    <row r="350" spans="1:23" x14ac:dyDescent="0.25">
      <c r="A350" s="27" t="s">
        <v>387</v>
      </c>
      <c r="B350" s="16" t="s">
        <v>381</v>
      </c>
      <c r="C350" s="16" t="s">
        <v>117</v>
      </c>
      <c r="D350" s="37">
        <v>9</v>
      </c>
      <c r="E350" s="41">
        <v>204899</v>
      </c>
      <c r="F350" s="37">
        <v>4</v>
      </c>
      <c r="G350" s="41">
        <v>128841</v>
      </c>
      <c r="H350" s="37">
        <v>1</v>
      </c>
      <c r="I350" s="41">
        <v>85971</v>
      </c>
      <c r="J350" s="37">
        <f t="shared" si="41"/>
        <v>14</v>
      </c>
      <c r="K350" s="41">
        <f t="shared" si="42"/>
        <v>419711</v>
      </c>
      <c r="M350" s="41">
        <f t="shared" si="43"/>
        <v>29979.357142857141</v>
      </c>
      <c r="N350" s="25" t="s">
        <v>444</v>
      </c>
      <c r="O350" s="25"/>
      <c r="S350" s="5"/>
      <c r="U350" s="5"/>
      <c r="W350" s="5"/>
    </row>
    <row r="351" spans="1:23" x14ac:dyDescent="0.25">
      <c r="A351" s="27" t="s">
        <v>401</v>
      </c>
      <c r="B351" s="16" t="s">
        <v>381</v>
      </c>
      <c r="C351" s="16" t="s">
        <v>117</v>
      </c>
      <c r="D351" s="37">
        <v>4</v>
      </c>
      <c r="E351" s="41">
        <v>40183.78</v>
      </c>
      <c r="F351" s="37">
        <v>2</v>
      </c>
      <c r="G351" s="41">
        <v>5716.41</v>
      </c>
      <c r="H351" s="37">
        <v>6</v>
      </c>
      <c r="I351" s="41">
        <v>84645</v>
      </c>
      <c r="J351" s="37">
        <f t="shared" si="41"/>
        <v>12</v>
      </c>
      <c r="K351" s="41">
        <f t="shared" si="42"/>
        <v>130545.19</v>
      </c>
      <c r="M351" s="41">
        <f t="shared" si="43"/>
        <v>10878.765833333333</v>
      </c>
      <c r="N351" s="25"/>
      <c r="O351" s="25"/>
      <c r="S351" s="5"/>
      <c r="U351" s="5"/>
      <c r="W351" s="5"/>
    </row>
    <row r="352" spans="1:23" x14ac:dyDescent="0.25">
      <c r="A352" s="27" t="s">
        <v>392</v>
      </c>
      <c r="B352" s="16" t="s">
        <v>381</v>
      </c>
      <c r="C352" s="16" t="s">
        <v>117</v>
      </c>
      <c r="D352" s="37">
        <v>0</v>
      </c>
      <c r="E352" s="41">
        <v>0</v>
      </c>
      <c r="F352" s="37">
        <v>6</v>
      </c>
      <c r="G352" s="41">
        <f>9769.12+28000+10805</f>
        <v>48574.12</v>
      </c>
      <c r="H352" s="37">
        <v>2</v>
      </c>
      <c r="I352" s="41">
        <f>36164+14761</f>
        <v>50925</v>
      </c>
      <c r="J352" s="37">
        <f t="shared" si="41"/>
        <v>8</v>
      </c>
      <c r="K352" s="41">
        <f t="shared" si="42"/>
        <v>99499.12</v>
      </c>
      <c r="M352" s="41">
        <f t="shared" si="43"/>
        <v>12437.39</v>
      </c>
      <c r="N352" s="25"/>
      <c r="O352" s="25"/>
      <c r="S352" s="5"/>
      <c r="U352" s="5"/>
      <c r="W352" s="5"/>
    </row>
    <row r="353" spans="1:23" x14ac:dyDescent="0.25">
      <c r="A353" s="27" t="s">
        <v>22</v>
      </c>
      <c r="B353" s="16" t="s">
        <v>381</v>
      </c>
      <c r="C353" s="16" t="s">
        <v>117</v>
      </c>
      <c r="D353" s="37">
        <v>3</v>
      </c>
      <c r="E353" s="41">
        <v>22554</v>
      </c>
      <c r="F353" s="37">
        <v>1</v>
      </c>
      <c r="G353" s="41">
        <v>3250</v>
      </c>
      <c r="H353" s="37">
        <v>3</v>
      </c>
      <c r="I353" s="41">
        <v>25500</v>
      </c>
      <c r="J353" s="37">
        <f t="shared" si="41"/>
        <v>7</v>
      </c>
      <c r="K353" s="41">
        <f t="shared" si="42"/>
        <v>51304</v>
      </c>
      <c r="M353" s="41">
        <f t="shared" si="43"/>
        <v>7329.1428571428569</v>
      </c>
      <c r="N353" s="25" t="s">
        <v>446</v>
      </c>
      <c r="O353" s="25"/>
      <c r="S353" s="5"/>
      <c r="U353" s="5"/>
      <c r="W353" s="5"/>
    </row>
    <row r="354" spans="1:23" x14ac:dyDescent="0.25">
      <c r="A354" s="27" t="s">
        <v>391</v>
      </c>
      <c r="B354" s="16" t="s">
        <v>381</v>
      </c>
      <c r="C354" s="16" t="s">
        <v>117</v>
      </c>
      <c r="J354" s="37">
        <v>0</v>
      </c>
      <c r="K354" s="41">
        <v>0</v>
      </c>
      <c r="M354" s="41"/>
      <c r="N354" s="25" t="s">
        <v>457</v>
      </c>
      <c r="O354" s="25"/>
      <c r="S354" s="5"/>
      <c r="U354" s="5"/>
      <c r="W354" s="5"/>
    </row>
    <row r="355" spans="1:23" x14ac:dyDescent="0.25">
      <c r="A355" s="18" t="s">
        <v>402</v>
      </c>
      <c r="B355" s="16" t="s">
        <v>381</v>
      </c>
      <c r="C355" s="16" t="s">
        <v>117</v>
      </c>
      <c r="M355" s="41"/>
      <c r="N355" s="25" t="s">
        <v>552</v>
      </c>
      <c r="O355" s="26"/>
      <c r="S355" s="5"/>
      <c r="U355" s="5"/>
      <c r="W355" s="5"/>
    </row>
    <row r="356" spans="1:23" x14ac:dyDescent="0.25">
      <c r="A356" s="27" t="s">
        <v>142</v>
      </c>
      <c r="B356" s="16" t="s">
        <v>413</v>
      </c>
      <c r="C356" s="16" t="s">
        <v>118</v>
      </c>
      <c r="D356" s="37">
        <v>76</v>
      </c>
      <c r="E356" s="41">
        <v>119973.18</v>
      </c>
      <c r="F356" s="37">
        <v>13</v>
      </c>
      <c r="G356" s="41">
        <v>80397.02</v>
      </c>
      <c r="H356" s="37">
        <v>31</v>
      </c>
      <c r="I356" s="41">
        <f>(368478.88+21980)</f>
        <v>390458.88</v>
      </c>
      <c r="J356" s="37">
        <v>118</v>
      </c>
      <c r="K356" s="41">
        <f t="shared" ref="K356:K365" si="44">SUM(E356+G356+I356)</f>
        <v>590829.08000000007</v>
      </c>
      <c r="M356" s="41">
        <f t="shared" ref="M356:M373" si="45">SUM(K356/J356)</f>
        <v>5007.0261016949162</v>
      </c>
      <c r="N356" s="25"/>
      <c r="O356" s="25"/>
      <c r="S356" s="5"/>
      <c r="U356" s="5"/>
      <c r="W356" s="5"/>
    </row>
    <row r="357" spans="1:23" x14ac:dyDescent="0.25">
      <c r="A357" s="27" t="s">
        <v>98</v>
      </c>
      <c r="B357" s="25" t="s">
        <v>413</v>
      </c>
      <c r="C357" s="25" t="s">
        <v>117</v>
      </c>
      <c r="D357" s="37">
        <v>33</v>
      </c>
      <c r="E357" s="41">
        <v>461554</v>
      </c>
      <c r="F357" s="37">
        <v>29</v>
      </c>
      <c r="G357" s="41">
        <v>265463</v>
      </c>
      <c r="H357" s="37">
        <v>15</v>
      </c>
      <c r="I357" s="41">
        <f>110716+9113</f>
        <v>119829</v>
      </c>
      <c r="J357" s="37">
        <f t="shared" ref="J357:J368" si="46">SUM(D357+F357+H357)</f>
        <v>77</v>
      </c>
      <c r="K357" s="41">
        <f t="shared" si="44"/>
        <v>846846</v>
      </c>
      <c r="M357" s="41">
        <f t="shared" si="45"/>
        <v>10998</v>
      </c>
      <c r="N357" s="25"/>
      <c r="O357" s="25"/>
      <c r="S357" s="5"/>
      <c r="U357" s="5"/>
      <c r="W357" s="5"/>
    </row>
    <row r="358" spans="1:23" x14ac:dyDescent="0.25">
      <c r="A358" s="27" t="s">
        <v>36</v>
      </c>
      <c r="B358" s="16" t="s">
        <v>413</v>
      </c>
      <c r="C358" s="16" t="s">
        <v>115</v>
      </c>
      <c r="D358" s="37">
        <v>16</v>
      </c>
      <c r="E358" s="41">
        <v>136060.45000000001</v>
      </c>
      <c r="F358" s="37">
        <v>18</v>
      </c>
      <c r="G358" s="41">
        <v>141944.1</v>
      </c>
      <c r="H358" s="37">
        <v>15</v>
      </c>
      <c r="I358" s="41">
        <v>110859.94</v>
      </c>
      <c r="J358" s="37">
        <f t="shared" si="46"/>
        <v>49</v>
      </c>
      <c r="K358" s="41">
        <f t="shared" si="44"/>
        <v>388864.49000000005</v>
      </c>
      <c r="M358" s="41">
        <f t="shared" si="45"/>
        <v>7936.0100000000011</v>
      </c>
      <c r="N358" s="25"/>
      <c r="O358" s="25"/>
      <c r="S358" s="5"/>
      <c r="U358" s="5"/>
      <c r="W358" s="5"/>
    </row>
    <row r="359" spans="1:23" x14ac:dyDescent="0.25">
      <c r="A359" s="27" t="s">
        <v>60</v>
      </c>
      <c r="B359" s="16" t="s">
        <v>413</v>
      </c>
      <c r="C359" s="16" t="s">
        <v>115</v>
      </c>
      <c r="D359" s="37">
        <v>8</v>
      </c>
      <c r="E359" s="41">
        <f>0+9491.7+56000+10181.22+15133.99+40095.36+19389.51+7500</f>
        <v>157791.78</v>
      </c>
      <c r="F359" s="37">
        <v>13</v>
      </c>
      <c r="G359" s="41">
        <f>6246.35+2101.44+5102.4+5755.86+3700.74+518+5000+4927.6+13641.5+4560+3000+15760.8+5360.66</f>
        <v>75675.350000000006</v>
      </c>
      <c r="H359" s="37">
        <v>11</v>
      </c>
      <c r="I359" s="41">
        <f>24523.96+30000+30000+4039.83+9852.23+7550.31+11298.8+709.4+500+3061.67+17639.85</f>
        <v>139176.04999999999</v>
      </c>
      <c r="J359" s="37">
        <f t="shared" si="46"/>
        <v>32</v>
      </c>
      <c r="K359" s="41">
        <f t="shared" si="44"/>
        <v>372643.18</v>
      </c>
      <c r="M359" s="41">
        <f t="shared" si="45"/>
        <v>11645.099375</v>
      </c>
      <c r="N359" s="25"/>
      <c r="O359" s="25"/>
      <c r="S359" s="5"/>
      <c r="U359" s="5"/>
      <c r="W359" s="5"/>
    </row>
    <row r="360" spans="1:23" x14ac:dyDescent="0.25">
      <c r="A360" s="27" t="s">
        <v>53</v>
      </c>
      <c r="B360" s="25" t="s">
        <v>413</v>
      </c>
      <c r="C360" s="25" t="s">
        <v>115</v>
      </c>
      <c r="D360" s="37">
        <v>13</v>
      </c>
      <c r="E360" s="41">
        <v>252055.18</v>
      </c>
      <c r="F360" s="37">
        <v>12</v>
      </c>
      <c r="G360" s="41">
        <v>114288.2</v>
      </c>
      <c r="H360" s="37">
        <v>4</v>
      </c>
      <c r="I360" s="41">
        <v>56461.84</v>
      </c>
      <c r="J360" s="37">
        <f t="shared" si="46"/>
        <v>29</v>
      </c>
      <c r="K360" s="41">
        <f t="shared" si="44"/>
        <v>422805.22</v>
      </c>
      <c r="M360" s="41">
        <f t="shared" si="45"/>
        <v>14579.490344827585</v>
      </c>
      <c r="N360" s="25"/>
      <c r="O360" s="25"/>
      <c r="S360" s="5"/>
      <c r="U360" s="5"/>
      <c r="W360" s="5"/>
    </row>
    <row r="361" spans="1:23" x14ac:dyDescent="0.25">
      <c r="A361" s="27" t="s">
        <v>34</v>
      </c>
      <c r="B361" s="16" t="s">
        <v>413</v>
      </c>
      <c r="C361" s="16" t="s">
        <v>115</v>
      </c>
      <c r="D361" s="37">
        <v>7</v>
      </c>
      <c r="E361" s="41">
        <v>86922.8</v>
      </c>
      <c r="F361" s="37">
        <v>6</v>
      </c>
      <c r="G361" s="41">
        <v>53708</v>
      </c>
      <c r="H361" s="37">
        <v>15</v>
      </c>
      <c r="I361" s="41">
        <v>320852.87</v>
      </c>
      <c r="J361" s="37">
        <f t="shared" si="46"/>
        <v>28</v>
      </c>
      <c r="K361" s="41">
        <f t="shared" si="44"/>
        <v>461483.67</v>
      </c>
      <c r="M361" s="41">
        <f t="shared" si="45"/>
        <v>16481.559642857141</v>
      </c>
      <c r="N361" s="25"/>
      <c r="O361" s="25"/>
      <c r="S361" s="5"/>
      <c r="U361" s="5"/>
      <c r="W361" s="5"/>
    </row>
    <row r="362" spans="1:23" x14ac:dyDescent="0.25">
      <c r="A362" s="27" t="s">
        <v>105</v>
      </c>
      <c r="B362" s="16" t="s">
        <v>413</v>
      </c>
      <c r="C362" s="16" t="s">
        <v>117</v>
      </c>
      <c r="D362" s="37">
        <v>10</v>
      </c>
      <c r="E362" s="41">
        <v>302565</v>
      </c>
      <c r="F362" s="37">
        <v>7</v>
      </c>
      <c r="G362" s="41">
        <v>58122</v>
      </c>
      <c r="H362" s="37">
        <v>2</v>
      </c>
      <c r="I362" s="41">
        <v>32400</v>
      </c>
      <c r="J362" s="37">
        <f t="shared" si="46"/>
        <v>19</v>
      </c>
      <c r="K362" s="41">
        <f t="shared" si="44"/>
        <v>393087</v>
      </c>
      <c r="M362" s="41">
        <f t="shared" si="45"/>
        <v>20688.78947368421</v>
      </c>
      <c r="N362" s="25"/>
      <c r="O362" s="25"/>
      <c r="S362" s="5"/>
      <c r="U362" s="5"/>
      <c r="W362" s="5"/>
    </row>
    <row r="363" spans="1:23" x14ac:dyDescent="0.25">
      <c r="A363" s="27" t="s">
        <v>245</v>
      </c>
      <c r="B363" s="25" t="s">
        <v>413</v>
      </c>
      <c r="C363" s="25" t="s">
        <v>302</v>
      </c>
      <c r="D363" s="37">
        <v>3</v>
      </c>
      <c r="E363" s="41">
        <v>0</v>
      </c>
      <c r="F363" s="37">
        <v>6</v>
      </c>
      <c r="G363" s="41">
        <v>13070</v>
      </c>
      <c r="H363" s="37">
        <v>3</v>
      </c>
      <c r="I363" s="41">
        <v>0</v>
      </c>
      <c r="J363" s="37">
        <f t="shared" si="46"/>
        <v>12</v>
      </c>
      <c r="K363" s="41">
        <f t="shared" si="44"/>
        <v>13070</v>
      </c>
      <c r="M363" s="41">
        <f t="shared" si="45"/>
        <v>1089.1666666666667</v>
      </c>
      <c r="N363" s="25"/>
      <c r="O363" s="25"/>
      <c r="S363" s="5"/>
      <c r="U363" s="5"/>
      <c r="W363" s="5"/>
    </row>
    <row r="364" spans="1:23" x14ac:dyDescent="0.25">
      <c r="A364" s="27" t="s">
        <v>255</v>
      </c>
      <c r="B364" s="16" t="s">
        <v>413</v>
      </c>
      <c r="C364" s="16" t="s">
        <v>302</v>
      </c>
      <c r="D364" s="37">
        <v>7</v>
      </c>
      <c r="E364" s="41">
        <v>89641</v>
      </c>
      <c r="F364" s="37">
        <v>2</v>
      </c>
      <c r="G364" s="41">
        <v>30500</v>
      </c>
      <c r="H364" s="37">
        <v>2</v>
      </c>
      <c r="I364" s="41">
        <v>42600</v>
      </c>
      <c r="J364" s="37">
        <f t="shared" si="46"/>
        <v>11</v>
      </c>
      <c r="K364" s="41">
        <f t="shared" si="44"/>
        <v>162741</v>
      </c>
      <c r="M364" s="41">
        <f t="shared" si="45"/>
        <v>14794.636363636364</v>
      </c>
      <c r="N364" s="25"/>
      <c r="O364" s="25"/>
      <c r="S364" s="5"/>
      <c r="U364" s="5"/>
      <c r="W364" s="5"/>
    </row>
    <row r="365" spans="1:23" x14ac:dyDescent="0.25">
      <c r="A365" s="31" t="s">
        <v>424</v>
      </c>
      <c r="B365" s="16" t="s">
        <v>413</v>
      </c>
      <c r="C365" s="16" t="s">
        <v>302</v>
      </c>
      <c r="D365" s="37">
        <v>6</v>
      </c>
      <c r="E365" s="41">
        <v>145000</v>
      </c>
      <c r="F365" s="37">
        <v>1</v>
      </c>
      <c r="G365" s="41">
        <v>14000</v>
      </c>
      <c r="H365" s="37">
        <v>1</v>
      </c>
      <c r="I365" s="41">
        <v>21500</v>
      </c>
      <c r="J365" s="37">
        <f t="shared" si="46"/>
        <v>8</v>
      </c>
      <c r="K365" s="41">
        <f t="shared" si="44"/>
        <v>180500</v>
      </c>
      <c r="M365" s="41">
        <f t="shared" si="45"/>
        <v>22562.5</v>
      </c>
      <c r="N365" s="25" t="s">
        <v>497</v>
      </c>
      <c r="O365" s="25"/>
      <c r="S365" s="5"/>
      <c r="U365" s="5"/>
      <c r="W365" s="5"/>
    </row>
    <row r="366" spans="1:23" x14ac:dyDescent="0.25">
      <c r="A366" s="27" t="s">
        <v>168</v>
      </c>
      <c r="B366" s="16" t="s">
        <v>413</v>
      </c>
      <c r="C366" s="16" t="s">
        <v>302</v>
      </c>
      <c r="D366" s="37">
        <v>2</v>
      </c>
      <c r="F366" s="37">
        <v>1</v>
      </c>
      <c r="H366" s="37">
        <v>5</v>
      </c>
      <c r="J366" s="37">
        <f t="shared" si="46"/>
        <v>8</v>
      </c>
      <c r="K366" s="41">
        <v>152062.20000000001</v>
      </c>
      <c r="M366" s="41">
        <f t="shared" si="45"/>
        <v>19007.775000000001</v>
      </c>
      <c r="N366" s="25" t="s">
        <v>445</v>
      </c>
      <c r="O366" s="25"/>
      <c r="S366" s="5"/>
      <c r="U366" s="5"/>
      <c r="W366" s="5"/>
    </row>
    <row r="367" spans="1:23" x14ac:dyDescent="0.25">
      <c r="A367" s="27" t="s">
        <v>80</v>
      </c>
      <c r="B367" s="25" t="s">
        <v>413</v>
      </c>
      <c r="C367" s="25" t="s">
        <v>117</v>
      </c>
      <c r="D367" s="37">
        <v>4</v>
      </c>
      <c r="E367" s="41">
        <v>50272.92</v>
      </c>
      <c r="F367" s="37">
        <v>3</v>
      </c>
      <c r="G367" s="41">
        <v>58555</v>
      </c>
      <c r="H367" s="37">
        <v>1</v>
      </c>
      <c r="J367" s="37">
        <f t="shared" si="46"/>
        <v>8</v>
      </c>
      <c r="K367" s="41">
        <f>SUM(E367+G367+I367)</f>
        <v>108827.92</v>
      </c>
      <c r="M367" s="41">
        <f t="shared" si="45"/>
        <v>13603.49</v>
      </c>
      <c r="N367" s="25" t="s">
        <v>569</v>
      </c>
      <c r="O367" s="25"/>
      <c r="S367" s="5"/>
      <c r="U367" s="5"/>
      <c r="W367" s="5"/>
    </row>
    <row r="368" spans="1:23" x14ac:dyDescent="0.25">
      <c r="A368" s="27" t="s">
        <v>192</v>
      </c>
      <c r="B368" s="16" t="s">
        <v>413</v>
      </c>
      <c r="C368" s="16" t="s">
        <v>302</v>
      </c>
      <c r="D368" s="37">
        <v>2</v>
      </c>
      <c r="E368" s="41">
        <v>19030.84</v>
      </c>
      <c r="F368" s="37">
        <v>4</v>
      </c>
      <c r="G368" s="41">
        <v>43314.64</v>
      </c>
      <c r="H368" s="37">
        <v>1</v>
      </c>
      <c r="J368" s="37">
        <f t="shared" si="46"/>
        <v>7</v>
      </c>
      <c r="K368" s="41">
        <f>SUM(E368+G368+I368)</f>
        <v>62345.479999999996</v>
      </c>
      <c r="M368" s="41">
        <f t="shared" si="45"/>
        <v>8906.4971428571425</v>
      </c>
      <c r="N368" s="25"/>
      <c r="O368" s="25"/>
      <c r="S368" s="5"/>
      <c r="U368" s="5"/>
      <c r="W368" s="5"/>
    </row>
    <row r="369" spans="1:23" x14ac:dyDescent="0.25">
      <c r="A369" s="27" t="s">
        <v>163</v>
      </c>
      <c r="B369" s="16" t="s">
        <v>413</v>
      </c>
      <c r="C369" s="16" t="s">
        <v>302</v>
      </c>
      <c r="D369" s="37">
        <v>0</v>
      </c>
      <c r="E369" s="41">
        <v>0</v>
      </c>
      <c r="F369" s="37">
        <v>3</v>
      </c>
      <c r="G369" s="41">
        <v>32200</v>
      </c>
      <c r="H369" s="37">
        <v>3</v>
      </c>
      <c r="I369" s="41">
        <v>13594.24</v>
      </c>
      <c r="J369" s="37">
        <v>6</v>
      </c>
      <c r="K369" s="41">
        <f>SUM(E369+G369+I369)</f>
        <v>45794.239999999998</v>
      </c>
      <c r="M369" s="41">
        <f t="shared" si="45"/>
        <v>7632.373333333333</v>
      </c>
      <c r="N369" s="25" t="s">
        <v>564</v>
      </c>
      <c r="O369" s="25"/>
      <c r="S369" s="5"/>
      <c r="U369" s="5"/>
      <c r="W369" s="5"/>
    </row>
    <row r="370" spans="1:23" x14ac:dyDescent="0.25">
      <c r="A370" s="27" t="s">
        <v>250</v>
      </c>
      <c r="B370" s="25" t="s">
        <v>413</v>
      </c>
      <c r="C370" s="25" t="s">
        <v>302</v>
      </c>
      <c r="D370" s="37">
        <v>0</v>
      </c>
      <c r="E370" s="41">
        <v>0</v>
      </c>
      <c r="F370" s="37">
        <v>3</v>
      </c>
      <c r="G370" s="41">
        <v>32200</v>
      </c>
      <c r="H370" s="37">
        <v>3</v>
      </c>
      <c r="I370" s="41">
        <v>13594.24</v>
      </c>
      <c r="J370" s="37">
        <v>6</v>
      </c>
      <c r="K370" s="41">
        <f>SUM(E370+G370+I370)</f>
        <v>45794.239999999998</v>
      </c>
      <c r="M370" s="41">
        <f t="shared" si="45"/>
        <v>7632.373333333333</v>
      </c>
      <c r="N370" s="25"/>
      <c r="O370" s="25"/>
      <c r="S370" s="5"/>
      <c r="U370" s="5"/>
      <c r="W370" s="5"/>
    </row>
    <row r="371" spans="1:23" x14ac:dyDescent="0.25">
      <c r="A371" s="27" t="s">
        <v>273</v>
      </c>
      <c r="B371" s="25" t="s">
        <v>413</v>
      </c>
      <c r="C371" s="25" t="s">
        <v>302</v>
      </c>
      <c r="J371" s="37">
        <v>3</v>
      </c>
      <c r="K371" s="41">
        <v>163599.44</v>
      </c>
      <c r="M371" s="41">
        <f t="shared" si="45"/>
        <v>54533.146666666667</v>
      </c>
      <c r="N371" s="25"/>
      <c r="O371" s="25"/>
      <c r="S371" s="5"/>
      <c r="U371" s="5"/>
      <c r="W371" s="5"/>
    </row>
    <row r="372" spans="1:23" x14ac:dyDescent="0.25">
      <c r="A372" s="27" t="s">
        <v>230</v>
      </c>
      <c r="B372" s="25" t="s">
        <v>413</v>
      </c>
      <c r="C372" s="25" t="s">
        <v>302</v>
      </c>
      <c r="D372" s="37">
        <v>1</v>
      </c>
      <c r="E372" s="41">
        <v>7023</v>
      </c>
      <c r="F372" s="37">
        <v>1</v>
      </c>
      <c r="G372" s="41">
        <v>8180</v>
      </c>
      <c r="H372" s="37">
        <v>0</v>
      </c>
      <c r="I372" s="41">
        <v>0</v>
      </c>
      <c r="J372" s="37">
        <f>SUM(D372+F372+H372)</f>
        <v>2</v>
      </c>
      <c r="K372" s="41">
        <f>SUM(E372+G372+I372)</f>
        <v>15203</v>
      </c>
      <c r="M372" s="41">
        <f t="shared" si="45"/>
        <v>7601.5</v>
      </c>
      <c r="N372" s="25"/>
      <c r="O372" s="25"/>
      <c r="S372" s="5"/>
      <c r="U372" s="5"/>
      <c r="W372" s="5"/>
    </row>
    <row r="373" spans="1:23" x14ac:dyDescent="0.25">
      <c r="A373" s="27" t="s">
        <v>277</v>
      </c>
      <c r="B373" s="16" t="s">
        <v>413</v>
      </c>
      <c r="C373" s="16" t="s">
        <v>302</v>
      </c>
      <c r="J373" s="37">
        <v>2</v>
      </c>
      <c r="K373" s="41">
        <v>12000</v>
      </c>
      <c r="M373" s="41">
        <f t="shared" si="45"/>
        <v>6000</v>
      </c>
      <c r="N373" s="25" t="s">
        <v>444</v>
      </c>
      <c r="O373" s="25"/>
      <c r="S373" s="5"/>
      <c r="U373" s="5"/>
      <c r="W373" s="5"/>
    </row>
    <row r="374" spans="1:23" x14ac:dyDescent="0.25">
      <c r="A374" s="27" t="s">
        <v>139</v>
      </c>
      <c r="B374" s="25" t="s">
        <v>413</v>
      </c>
      <c r="C374" s="25" t="s">
        <v>118</v>
      </c>
      <c r="D374" s="37">
        <v>0</v>
      </c>
      <c r="E374" s="41">
        <v>0</v>
      </c>
      <c r="F374" s="37">
        <v>0</v>
      </c>
      <c r="G374" s="41">
        <v>0</v>
      </c>
      <c r="H374" s="37">
        <v>0</v>
      </c>
      <c r="I374" s="41">
        <v>0</v>
      </c>
      <c r="J374" s="37">
        <v>0</v>
      </c>
      <c r="K374" s="41">
        <v>0</v>
      </c>
      <c r="M374" s="41"/>
      <c r="N374" s="25" t="s">
        <v>538</v>
      </c>
      <c r="O374" s="25"/>
      <c r="S374" s="5"/>
      <c r="U374" s="5"/>
      <c r="W374" s="5"/>
    </row>
    <row r="375" spans="1:23" x14ac:dyDescent="0.25">
      <c r="A375" s="27" t="s">
        <v>144</v>
      </c>
      <c r="B375" s="25" t="s">
        <v>413</v>
      </c>
      <c r="C375" s="25" t="s">
        <v>118</v>
      </c>
      <c r="K375" s="41">
        <v>105988.97</v>
      </c>
      <c r="M375" s="41"/>
      <c r="N375" s="25" t="s">
        <v>473</v>
      </c>
      <c r="O375" s="26"/>
      <c r="S375" s="5"/>
      <c r="U375" s="5"/>
      <c r="W375" s="5"/>
    </row>
    <row r="376" spans="1:23" x14ac:dyDescent="0.25">
      <c r="A376" s="27" t="s">
        <v>30</v>
      </c>
      <c r="B376" s="28" t="s">
        <v>413</v>
      </c>
      <c r="C376" s="28" t="s">
        <v>115</v>
      </c>
      <c r="D376" s="38"/>
      <c r="E376" s="42"/>
      <c r="F376" s="38"/>
      <c r="G376" s="42"/>
      <c r="H376" s="38"/>
      <c r="I376" s="42"/>
      <c r="J376" s="38"/>
      <c r="K376" s="42"/>
      <c r="L376" s="42"/>
      <c r="M376" s="42"/>
      <c r="N376" s="25" t="s">
        <v>557</v>
      </c>
      <c r="O376" s="25"/>
      <c r="S376" s="5"/>
      <c r="U376" s="5"/>
      <c r="W376" s="5"/>
    </row>
    <row r="377" spans="1:23" x14ac:dyDescent="0.25">
      <c r="A377" s="27" t="s">
        <v>50</v>
      </c>
      <c r="B377" s="16" t="s">
        <v>413</v>
      </c>
      <c r="C377" s="16" t="s">
        <v>115</v>
      </c>
      <c r="I377" s="41" t="s">
        <v>544</v>
      </c>
      <c r="M377" s="41"/>
      <c r="N377" s="25" t="s">
        <v>545</v>
      </c>
      <c r="O377" s="25"/>
      <c r="S377" s="5"/>
      <c r="U377" s="5"/>
      <c r="W377" s="5"/>
    </row>
    <row r="378" spans="1:23" x14ac:dyDescent="0.25">
      <c r="A378" s="27" t="s">
        <v>63</v>
      </c>
      <c r="B378" s="16" t="s">
        <v>413</v>
      </c>
      <c r="C378" s="16" t="s">
        <v>115</v>
      </c>
      <c r="M378" s="41"/>
      <c r="N378" s="25" t="s">
        <v>550</v>
      </c>
      <c r="O378" s="25"/>
      <c r="S378" s="5"/>
      <c r="U378" s="5"/>
      <c r="W378" s="5"/>
    </row>
    <row r="379" spans="1:23" x14ac:dyDescent="0.25">
      <c r="A379" s="27" t="s">
        <v>52</v>
      </c>
      <c r="B379" s="16" t="s">
        <v>410</v>
      </c>
      <c r="C379" s="16" t="s">
        <v>115</v>
      </c>
      <c r="D379" s="37">
        <v>39</v>
      </c>
      <c r="E379" s="41">
        <v>597535.92000000004</v>
      </c>
      <c r="F379" s="37">
        <v>25</v>
      </c>
      <c r="G379" s="41">
        <v>275289</v>
      </c>
      <c r="J379" s="37">
        <f>SUM(D379+F379+H379)</f>
        <v>64</v>
      </c>
      <c r="K379" s="41">
        <f>SUM(E379+G379+I379)</f>
        <v>872824.92</v>
      </c>
      <c r="M379" s="41">
        <f t="shared" ref="M379:M391" si="47">SUM(K379/J379)</f>
        <v>13637.889375000001</v>
      </c>
      <c r="N379" s="25" t="s">
        <v>573</v>
      </c>
      <c r="O379" s="25"/>
      <c r="S379" s="5"/>
      <c r="U379" s="5"/>
      <c r="W379" s="5"/>
    </row>
    <row r="380" spans="1:23" x14ac:dyDescent="0.25">
      <c r="A380" s="27" t="s">
        <v>38</v>
      </c>
      <c r="B380" s="16" t="s">
        <v>410</v>
      </c>
      <c r="C380" s="16" t="s">
        <v>115</v>
      </c>
      <c r="D380" s="37">
        <v>18</v>
      </c>
      <c r="F380" s="37">
        <v>24</v>
      </c>
      <c r="H380" s="37">
        <v>19</v>
      </c>
      <c r="J380" s="37">
        <f t="shared" ref="J380:J392" si="48">SUM(D380+F380+H380)</f>
        <v>61</v>
      </c>
      <c r="M380" s="41">
        <f t="shared" si="47"/>
        <v>0</v>
      </c>
      <c r="N380" s="25" t="s">
        <v>447</v>
      </c>
      <c r="O380" s="25"/>
      <c r="S380" s="5"/>
      <c r="U380" s="5"/>
      <c r="W380" s="5"/>
    </row>
    <row r="381" spans="1:23" x14ac:dyDescent="0.25">
      <c r="A381" s="27" t="s">
        <v>40</v>
      </c>
      <c r="B381" s="16" t="s">
        <v>410</v>
      </c>
      <c r="C381" s="16" t="s">
        <v>115</v>
      </c>
      <c r="D381" s="37">
        <v>32</v>
      </c>
      <c r="E381" s="41">
        <v>30561.71</v>
      </c>
      <c r="F381" s="37">
        <v>2</v>
      </c>
      <c r="G381" s="41">
        <v>22907.23</v>
      </c>
      <c r="H381" s="37">
        <v>2</v>
      </c>
      <c r="I381" s="41">
        <v>19878.900000000001</v>
      </c>
      <c r="J381" s="37">
        <f t="shared" si="48"/>
        <v>36</v>
      </c>
      <c r="K381" s="41">
        <f>SUM(E381+G381+I381)</f>
        <v>73347.839999999997</v>
      </c>
      <c r="M381" s="41">
        <f t="shared" si="47"/>
        <v>2037.4399999999998</v>
      </c>
      <c r="N381" s="25"/>
      <c r="O381" s="25"/>
      <c r="S381" s="5"/>
      <c r="U381" s="5"/>
      <c r="W381" s="5"/>
    </row>
    <row r="382" spans="1:23" x14ac:dyDescent="0.25">
      <c r="A382" s="27" t="s">
        <v>12</v>
      </c>
      <c r="B382" s="16" t="s">
        <v>410</v>
      </c>
      <c r="C382" s="16" t="s">
        <v>117</v>
      </c>
      <c r="D382" s="37">
        <v>6</v>
      </c>
      <c r="E382" s="41">
        <v>67641.259999999995</v>
      </c>
      <c r="F382" s="37">
        <v>7</v>
      </c>
      <c r="G382" s="41">
        <v>65403.39</v>
      </c>
      <c r="H382" s="37">
        <v>16</v>
      </c>
      <c r="I382" s="41">
        <v>188965.4</v>
      </c>
      <c r="J382" s="37">
        <f t="shared" si="48"/>
        <v>29</v>
      </c>
      <c r="K382" s="41">
        <f>SUM(E382+G382+I382)</f>
        <v>322010.05</v>
      </c>
      <c r="M382" s="41">
        <f t="shared" si="47"/>
        <v>11103.794827586207</v>
      </c>
      <c r="N382" s="25"/>
      <c r="O382" s="25"/>
      <c r="S382" s="5"/>
      <c r="U382" s="5"/>
      <c r="W382" s="5"/>
    </row>
    <row r="383" spans="1:23" x14ac:dyDescent="0.25">
      <c r="A383" s="27" t="s">
        <v>0</v>
      </c>
      <c r="B383" s="16" t="s">
        <v>410</v>
      </c>
      <c r="C383" s="16" t="s">
        <v>115</v>
      </c>
      <c r="D383" s="37">
        <v>7</v>
      </c>
      <c r="E383" s="41">
        <v>152556.97</v>
      </c>
      <c r="F383" s="37">
        <v>10</v>
      </c>
      <c r="G383" s="41">
        <v>42853.52</v>
      </c>
      <c r="H383" s="37">
        <v>9</v>
      </c>
      <c r="I383" s="41">
        <v>61259.59</v>
      </c>
      <c r="J383" s="37">
        <f t="shared" si="48"/>
        <v>26</v>
      </c>
      <c r="K383" s="41">
        <f>SUM(E383+G383+I383)</f>
        <v>256670.07999999999</v>
      </c>
      <c r="M383" s="41">
        <f t="shared" si="47"/>
        <v>9871.9261538461542</v>
      </c>
      <c r="N383" s="25" t="s">
        <v>494</v>
      </c>
      <c r="O383" s="25"/>
      <c r="S383" s="5"/>
      <c r="U383" s="5"/>
      <c r="W383" s="5"/>
    </row>
    <row r="384" spans="1:23" x14ac:dyDescent="0.25">
      <c r="A384" s="27" t="s">
        <v>134</v>
      </c>
      <c r="B384" s="16" t="s">
        <v>410</v>
      </c>
      <c r="C384" s="16" t="s">
        <v>118</v>
      </c>
      <c r="D384" s="37">
        <v>8</v>
      </c>
      <c r="E384" s="41">
        <v>92293</v>
      </c>
      <c r="F384" s="37">
        <v>4</v>
      </c>
      <c r="G384" s="41">
        <v>64280</v>
      </c>
      <c r="H384" s="37">
        <v>9</v>
      </c>
      <c r="I384" s="41">
        <v>56667.03</v>
      </c>
      <c r="J384" s="37">
        <f t="shared" si="48"/>
        <v>21</v>
      </c>
      <c r="K384" s="41">
        <f>SUM(E384+G384+I384)</f>
        <v>213240.03</v>
      </c>
      <c r="M384" s="41">
        <f t="shared" si="47"/>
        <v>10154.287142857143</v>
      </c>
      <c r="N384" s="25"/>
      <c r="O384" s="25"/>
      <c r="S384" s="5"/>
      <c r="U384" s="5"/>
      <c r="W384" s="5"/>
    </row>
    <row r="385" spans="1:23" x14ac:dyDescent="0.25">
      <c r="A385" s="27" t="s">
        <v>59</v>
      </c>
      <c r="B385" s="25" t="s">
        <v>410</v>
      </c>
      <c r="C385" s="25" t="s">
        <v>115</v>
      </c>
      <c r="D385" s="37">
        <v>4</v>
      </c>
      <c r="E385" s="41">
        <v>38536.199999999997</v>
      </c>
      <c r="F385" s="37">
        <v>6</v>
      </c>
      <c r="G385" s="41">
        <v>115334.74</v>
      </c>
      <c r="H385" s="37">
        <v>3</v>
      </c>
      <c r="I385" s="41">
        <v>67890</v>
      </c>
      <c r="J385" s="37">
        <f t="shared" si="48"/>
        <v>13</v>
      </c>
      <c r="K385" s="41">
        <f>SUM(E385+G385+I385)</f>
        <v>221760.94</v>
      </c>
      <c r="M385" s="41">
        <f t="shared" si="47"/>
        <v>17058.533846153845</v>
      </c>
      <c r="N385" s="25"/>
      <c r="O385" s="25"/>
      <c r="S385" s="5"/>
      <c r="U385" s="5"/>
      <c r="W385" s="5"/>
    </row>
    <row r="386" spans="1:23" x14ac:dyDescent="0.25">
      <c r="A386" s="27" t="s">
        <v>35</v>
      </c>
      <c r="B386" s="16" t="s">
        <v>410</v>
      </c>
      <c r="C386" s="16" t="s">
        <v>115</v>
      </c>
      <c r="D386" s="37">
        <v>2</v>
      </c>
      <c r="F386" s="37">
        <v>5</v>
      </c>
      <c r="H386" s="37">
        <v>4</v>
      </c>
      <c r="J386" s="37">
        <f t="shared" si="48"/>
        <v>11</v>
      </c>
      <c r="K386" s="41">
        <v>357955.94</v>
      </c>
      <c r="M386" s="41">
        <f t="shared" si="47"/>
        <v>32541.449090909093</v>
      </c>
      <c r="N386" s="25"/>
      <c r="O386" s="25"/>
      <c r="S386" s="5"/>
      <c r="U386" s="5"/>
    </row>
    <row r="387" spans="1:23" x14ac:dyDescent="0.25">
      <c r="A387" s="27" t="s">
        <v>82</v>
      </c>
      <c r="B387" s="16" t="s">
        <v>410</v>
      </c>
      <c r="C387" s="16" t="s">
        <v>117</v>
      </c>
      <c r="D387" s="37">
        <v>2</v>
      </c>
      <c r="E387" s="41">
        <v>14579.89</v>
      </c>
      <c r="F387" s="37">
        <v>3</v>
      </c>
      <c r="G387" s="41">
        <v>34470.85</v>
      </c>
      <c r="H387" s="37">
        <v>5</v>
      </c>
      <c r="I387" s="41">
        <v>69700</v>
      </c>
      <c r="J387" s="37">
        <f t="shared" si="48"/>
        <v>10</v>
      </c>
      <c r="K387" s="41">
        <f>SUM(E387+G387+I387)</f>
        <v>118750.73999999999</v>
      </c>
      <c r="M387" s="41">
        <f t="shared" si="47"/>
        <v>11875.073999999999</v>
      </c>
      <c r="N387" s="25"/>
      <c r="O387" s="25"/>
      <c r="S387" s="5"/>
      <c r="U387" s="5"/>
    </row>
    <row r="388" spans="1:23" x14ac:dyDescent="0.25">
      <c r="A388" s="27" t="s">
        <v>77</v>
      </c>
      <c r="B388" s="16" t="s">
        <v>410</v>
      </c>
      <c r="C388" s="16" t="s">
        <v>117</v>
      </c>
      <c r="D388" s="37">
        <v>1</v>
      </c>
      <c r="F388" s="37">
        <v>3</v>
      </c>
      <c r="H388" s="37">
        <v>4</v>
      </c>
      <c r="J388" s="37">
        <f t="shared" si="48"/>
        <v>8</v>
      </c>
      <c r="M388" s="41">
        <f t="shared" si="47"/>
        <v>0</v>
      </c>
      <c r="N388" s="25" t="s">
        <v>480</v>
      </c>
      <c r="O388" s="25"/>
      <c r="S388" s="5"/>
      <c r="U388" s="5"/>
    </row>
    <row r="389" spans="1:23" x14ac:dyDescent="0.25">
      <c r="A389" s="27" t="s">
        <v>32</v>
      </c>
      <c r="B389" s="16" t="s">
        <v>410</v>
      </c>
      <c r="C389" s="16" t="s">
        <v>115</v>
      </c>
      <c r="D389" s="37">
        <v>0</v>
      </c>
      <c r="E389" s="41">
        <v>0</v>
      </c>
      <c r="F389" s="37">
        <v>2</v>
      </c>
      <c r="G389" s="41">
        <v>128600</v>
      </c>
      <c r="H389" s="37">
        <v>3</v>
      </c>
      <c r="I389" s="41">
        <v>120700</v>
      </c>
      <c r="J389" s="37">
        <f t="shared" si="48"/>
        <v>5</v>
      </c>
      <c r="K389" s="41">
        <f>SUM(E389+G389+I389)</f>
        <v>249300</v>
      </c>
      <c r="M389" s="41">
        <f t="shared" si="47"/>
        <v>49860</v>
      </c>
      <c r="N389" s="25"/>
      <c r="O389" s="25"/>
      <c r="S389" s="5"/>
      <c r="U389" s="5"/>
    </row>
    <row r="390" spans="1:23" x14ac:dyDescent="0.25">
      <c r="A390" s="27" t="s">
        <v>183</v>
      </c>
      <c r="B390" s="16" t="s">
        <v>410</v>
      </c>
      <c r="C390" s="16" t="s">
        <v>302</v>
      </c>
      <c r="D390" s="37">
        <v>0</v>
      </c>
      <c r="E390" s="41">
        <v>0</v>
      </c>
      <c r="F390" s="37">
        <v>1</v>
      </c>
      <c r="H390" s="37">
        <v>1</v>
      </c>
      <c r="I390" s="41">
        <v>20463</v>
      </c>
      <c r="J390" s="37">
        <f t="shared" si="48"/>
        <v>2</v>
      </c>
      <c r="K390" s="41">
        <f>SUM(E390+G390+I390)</f>
        <v>20463</v>
      </c>
      <c r="M390" s="41">
        <f t="shared" si="47"/>
        <v>10231.5</v>
      </c>
      <c r="N390" s="25" t="s">
        <v>447</v>
      </c>
      <c r="O390" s="25"/>
      <c r="S390" s="5"/>
      <c r="U390" s="5"/>
    </row>
    <row r="391" spans="1:23" x14ac:dyDescent="0.25">
      <c r="A391" s="27" t="s">
        <v>8</v>
      </c>
      <c r="B391" s="16" t="s">
        <v>410</v>
      </c>
      <c r="C391" s="16" t="s">
        <v>302</v>
      </c>
      <c r="D391" s="37">
        <v>1</v>
      </c>
      <c r="E391" s="41">
        <v>20000</v>
      </c>
      <c r="F391" s="37">
        <v>0</v>
      </c>
      <c r="G391" s="41">
        <v>0</v>
      </c>
      <c r="H391" s="37">
        <v>0</v>
      </c>
      <c r="I391" s="41">
        <v>0</v>
      </c>
      <c r="J391" s="37">
        <f t="shared" si="48"/>
        <v>1</v>
      </c>
      <c r="K391" s="41">
        <f>SUM(E391+G391+I391)</f>
        <v>20000</v>
      </c>
      <c r="M391" s="41">
        <f t="shared" si="47"/>
        <v>20000</v>
      </c>
      <c r="N391" s="25" t="s">
        <v>470</v>
      </c>
      <c r="O391" s="25"/>
      <c r="S391" s="5"/>
      <c r="U391" s="5"/>
    </row>
    <row r="392" spans="1:23" x14ac:dyDescent="0.25">
      <c r="A392" s="27" t="s">
        <v>266</v>
      </c>
      <c r="B392" s="16" t="s">
        <v>410</v>
      </c>
      <c r="C392" s="16" t="s">
        <v>302</v>
      </c>
      <c r="D392" s="37">
        <v>1</v>
      </c>
      <c r="J392" s="37">
        <f t="shared" si="48"/>
        <v>1</v>
      </c>
      <c r="M392" s="41"/>
      <c r="N392" s="25" t="s">
        <v>546</v>
      </c>
      <c r="O392" s="25"/>
      <c r="S392" s="5"/>
      <c r="U392" s="5"/>
    </row>
    <row r="393" spans="1:23" x14ac:dyDescent="0.25">
      <c r="A393" s="27" t="s">
        <v>13</v>
      </c>
      <c r="B393" s="16" t="s">
        <v>410</v>
      </c>
      <c r="C393" s="16" t="s">
        <v>302</v>
      </c>
      <c r="D393" s="37">
        <v>0</v>
      </c>
      <c r="E393" s="41">
        <v>0</v>
      </c>
      <c r="F393" s="37">
        <v>0</v>
      </c>
      <c r="G393" s="41">
        <v>0</v>
      </c>
      <c r="H393" s="37">
        <v>0</v>
      </c>
      <c r="I393" s="41">
        <v>0</v>
      </c>
      <c r="J393" s="37">
        <v>0</v>
      </c>
      <c r="K393" s="41">
        <v>0</v>
      </c>
      <c r="M393" s="41"/>
      <c r="N393" s="25"/>
      <c r="O393" s="25"/>
      <c r="S393" s="5"/>
      <c r="U393" s="5"/>
    </row>
    <row r="394" spans="1:23" x14ac:dyDescent="0.25">
      <c r="A394" s="30" t="s">
        <v>75</v>
      </c>
      <c r="B394" s="16" t="s">
        <v>407</v>
      </c>
      <c r="C394" s="16" t="s">
        <v>117</v>
      </c>
      <c r="M394" s="41"/>
      <c r="N394" s="25"/>
      <c r="O394" s="25"/>
      <c r="S394" s="5"/>
      <c r="U394" s="5"/>
    </row>
    <row r="395" spans="1:23" x14ac:dyDescent="0.25">
      <c r="A395" s="30" t="s">
        <v>122</v>
      </c>
      <c r="B395" s="16" t="s">
        <v>407</v>
      </c>
      <c r="C395" s="16" t="s">
        <v>118</v>
      </c>
      <c r="M395" s="41"/>
      <c r="N395" s="25" t="s">
        <v>529</v>
      </c>
      <c r="O395" s="25"/>
      <c r="S395" s="5"/>
      <c r="U395" s="5"/>
    </row>
    <row r="396" spans="1:23" x14ac:dyDescent="0.25">
      <c r="A396" s="30" t="s">
        <v>272</v>
      </c>
      <c r="B396" s="16" t="s">
        <v>408</v>
      </c>
      <c r="C396" s="16" t="s">
        <v>302</v>
      </c>
      <c r="M396" s="41"/>
      <c r="N396" s="25"/>
      <c r="O396" s="25"/>
      <c r="S396" s="5"/>
      <c r="U396" s="5"/>
    </row>
    <row r="397" spans="1:23" x14ac:dyDescent="0.25">
      <c r="A397" s="30" t="s">
        <v>314</v>
      </c>
      <c r="B397" s="16" t="s">
        <v>409</v>
      </c>
      <c r="C397" s="16" t="s">
        <v>116</v>
      </c>
      <c r="M397" s="41"/>
      <c r="N397" s="25"/>
      <c r="O397" s="25"/>
      <c r="S397" s="5"/>
      <c r="U397" s="5"/>
    </row>
    <row r="398" spans="1:23" x14ac:dyDescent="0.25">
      <c r="A398" s="30" t="s">
        <v>318</v>
      </c>
      <c r="B398" s="16" t="s">
        <v>409</v>
      </c>
      <c r="C398" s="16" t="s">
        <v>116</v>
      </c>
      <c r="M398" s="41"/>
      <c r="N398" s="25"/>
      <c r="O398" s="25"/>
      <c r="S398" s="5"/>
      <c r="U398" s="5"/>
    </row>
    <row r="399" spans="1:23" x14ac:dyDescent="0.25">
      <c r="A399" s="30" t="s">
        <v>324</v>
      </c>
      <c r="B399" s="16" t="s">
        <v>409</v>
      </c>
      <c r="C399" s="16" t="s">
        <v>116</v>
      </c>
      <c r="M399" s="41"/>
      <c r="N399" s="25"/>
      <c r="O399" s="25"/>
      <c r="S399" s="5"/>
      <c r="U399" s="5"/>
    </row>
    <row r="400" spans="1:23" x14ac:dyDescent="0.25">
      <c r="A400" s="30" t="s">
        <v>329</v>
      </c>
      <c r="B400" s="16" t="s">
        <v>409</v>
      </c>
      <c r="C400" s="16" t="s">
        <v>116</v>
      </c>
      <c r="M400" s="41"/>
      <c r="N400" s="25"/>
      <c r="O400" s="25"/>
      <c r="S400" s="5"/>
      <c r="U400" s="5"/>
    </row>
    <row r="401" spans="1:21" x14ac:dyDescent="0.25">
      <c r="A401" s="30" t="s">
        <v>79</v>
      </c>
      <c r="B401" s="16" t="s">
        <v>414</v>
      </c>
      <c r="C401" s="16" t="s">
        <v>117</v>
      </c>
      <c r="M401" s="41"/>
      <c r="N401" s="25" t="s">
        <v>445</v>
      </c>
      <c r="O401" s="25"/>
      <c r="S401" s="5"/>
      <c r="U401" s="5"/>
    </row>
    <row r="402" spans="1:21" x14ac:dyDescent="0.25">
      <c r="A402" s="30" t="s">
        <v>91</v>
      </c>
      <c r="B402" s="16" t="s">
        <v>414</v>
      </c>
      <c r="C402" s="16" t="s">
        <v>117</v>
      </c>
      <c r="M402" s="41"/>
      <c r="N402" s="25"/>
      <c r="O402" s="25"/>
      <c r="S402" s="5"/>
      <c r="U402" s="5"/>
    </row>
    <row r="403" spans="1:21" x14ac:dyDescent="0.25">
      <c r="A403" s="30" t="s">
        <v>2</v>
      </c>
      <c r="B403" s="25" t="s">
        <v>405</v>
      </c>
      <c r="C403" s="25" t="s">
        <v>117</v>
      </c>
      <c r="M403" s="41"/>
      <c r="N403" s="25" t="s">
        <v>479</v>
      </c>
      <c r="O403" s="25"/>
      <c r="S403" s="5"/>
      <c r="U403" s="5"/>
    </row>
    <row r="404" spans="1:21" x14ac:dyDescent="0.25">
      <c r="A404" s="30" t="s">
        <v>78</v>
      </c>
      <c r="B404" s="16" t="s">
        <v>405</v>
      </c>
      <c r="C404" s="16" t="s">
        <v>117</v>
      </c>
      <c r="M404" s="41"/>
      <c r="N404" s="25"/>
      <c r="O404" s="25"/>
      <c r="R404" s="1" t="s">
        <v>509</v>
      </c>
      <c r="S404" s="5"/>
      <c r="U404" s="5"/>
    </row>
    <row r="405" spans="1:21" x14ac:dyDescent="0.25">
      <c r="A405" s="30" t="s">
        <v>483</v>
      </c>
      <c r="B405" s="25" t="s">
        <v>405</v>
      </c>
      <c r="C405" s="25" t="s">
        <v>302</v>
      </c>
      <c r="M405" s="41"/>
      <c r="N405" s="25"/>
      <c r="O405" s="25"/>
      <c r="S405" s="5"/>
      <c r="U405" s="5"/>
    </row>
    <row r="406" spans="1:21" x14ac:dyDescent="0.25">
      <c r="A406" s="30" t="s">
        <v>348</v>
      </c>
      <c r="B406" s="25" t="s">
        <v>339</v>
      </c>
      <c r="C406" s="25"/>
      <c r="M406" s="41"/>
      <c r="N406" s="25"/>
      <c r="O406" s="25"/>
      <c r="S406" s="5"/>
      <c r="U406" s="5"/>
    </row>
    <row r="407" spans="1:21" x14ac:dyDescent="0.25">
      <c r="A407" s="30" t="s">
        <v>174</v>
      </c>
      <c r="B407" s="16" t="s">
        <v>404</v>
      </c>
      <c r="C407" s="16" t="s">
        <v>302</v>
      </c>
      <c r="M407" s="41"/>
      <c r="N407" s="25"/>
      <c r="O407" s="25"/>
      <c r="S407" s="5"/>
      <c r="U407" s="5"/>
    </row>
    <row r="408" spans="1:21" x14ac:dyDescent="0.25">
      <c r="A408" s="30" t="s">
        <v>216</v>
      </c>
      <c r="B408" s="16" t="s">
        <v>404</v>
      </c>
      <c r="C408" s="16" t="s">
        <v>302</v>
      </c>
      <c r="M408" s="41"/>
      <c r="N408" s="25"/>
      <c r="O408" s="25"/>
      <c r="S408" s="5"/>
      <c r="U408" s="5"/>
    </row>
    <row r="409" spans="1:21" x14ac:dyDescent="0.25">
      <c r="A409" s="30" t="s">
        <v>271</v>
      </c>
      <c r="B409" s="16" t="s">
        <v>413</v>
      </c>
      <c r="C409" s="16" t="s">
        <v>302</v>
      </c>
      <c r="M409" s="41"/>
      <c r="N409" s="25" t="s">
        <v>447</v>
      </c>
      <c r="O409" s="25"/>
      <c r="S409" s="5"/>
      <c r="U409" s="5"/>
    </row>
    <row r="410" spans="1:21" x14ac:dyDescent="0.25">
      <c r="A410" s="4"/>
      <c r="M410" s="41"/>
      <c r="S410" s="5"/>
      <c r="U410" s="5"/>
    </row>
    <row r="411" spans="1:21" x14ac:dyDescent="0.25">
      <c r="M411" s="41"/>
      <c r="S411" s="5"/>
      <c r="U411" s="5"/>
    </row>
    <row r="412" spans="1:21" x14ac:dyDescent="0.25">
      <c r="A412" s="3" t="s">
        <v>425</v>
      </c>
      <c r="D412" s="39">
        <f t="shared" ref="D412:K412" si="49">SUM(D2:D410)</f>
        <v>2463</v>
      </c>
      <c r="E412" s="43">
        <f t="shared" si="49"/>
        <v>30834672.440000009</v>
      </c>
      <c r="F412" s="39">
        <f t="shared" si="49"/>
        <v>2400</v>
      </c>
      <c r="G412" s="43">
        <f t="shared" si="49"/>
        <v>31510650.380000006</v>
      </c>
      <c r="H412" s="39">
        <f t="shared" si="49"/>
        <v>1925</v>
      </c>
      <c r="I412" s="43">
        <f t="shared" si="49"/>
        <v>29614279.109999992</v>
      </c>
      <c r="J412" s="39">
        <f t="shared" si="49"/>
        <v>6980</v>
      </c>
      <c r="K412" s="43">
        <f t="shared" si="49"/>
        <v>98059104.549999997</v>
      </c>
      <c r="L412" s="45"/>
      <c r="M412" s="43" t="e">
        <f>AVERAGE(M2:M409)</f>
        <v>#DIV/0!</v>
      </c>
      <c r="S412" s="5"/>
      <c r="U412" s="5"/>
    </row>
    <row r="413" spans="1:21" x14ac:dyDescent="0.25">
      <c r="A413" s="12" t="s">
        <v>541</v>
      </c>
      <c r="D413" s="40">
        <f t="shared" ref="D413:K413" si="50">AVERAGE(D2:D409)</f>
        <v>7.5784615384615384</v>
      </c>
      <c r="E413" s="40">
        <f t="shared" si="50"/>
        <v>104171.19067567571</v>
      </c>
      <c r="F413" s="40">
        <f t="shared" si="50"/>
        <v>7.3394495412844041</v>
      </c>
      <c r="G413" s="40">
        <f t="shared" si="50"/>
        <v>105740.43751677855</v>
      </c>
      <c r="H413" s="40">
        <f t="shared" si="50"/>
        <v>5.904907975460123</v>
      </c>
      <c r="I413" s="40">
        <f t="shared" si="50"/>
        <v>99044.411739130403</v>
      </c>
      <c r="J413" s="40">
        <f t="shared" si="50"/>
        <v>19.335180055401661</v>
      </c>
      <c r="K413" s="40">
        <f t="shared" si="50"/>
        <v>278577.00156249997</v>
      </c>
      <c r="L413" s="45"/>
      <c r="M413" s="46"/>
      <c r="S413" s="5"/>
      <c r="U413" s="5"/>
    </row>
    <row r="414" spans="1:21" x14ac:dyDescent="0.25">
      <c r="S414" s="5"/>
      <c r="U414" s="5"/>
    </row>
    <row r="415" spans="1:21" x14ac:dyDescent="0.25">
      <c r="I415" s="41">
        <f>I412/H412</f>
        <v>15384.041096103892</v>
      </c>
      <c r="S415" s="5"/>
      <c r="U415" s="5"/>
    </row>
    <row r="416" spans="1:21" x14ac:dyDescent="0.25">
      <c r="S416" s="5"/>
      <c r="U416" s="5"/>
    </row>
    <row r="417" spans="19:21" x14ac:dyDescent="0.25">
      <c r="S417" s="5"/>
      <c r="U417" s="5"/>
    </row>
    <row r="418" spans="19:21" x14ac:dyDescent="0.25">
      <c r="S418" s="5"/>
      <c r="U418" s="5"/>
    </row>
    <row r="419" spans="19:21" x14ac:dyDescent="0.25">
      <c r="S419" s="5"/>
      <c r="U419" s="5"/>
    </row>
    <row r="420" spans="19:21" x14ac:dyDescent="0.25">
      <c r="S420" s="5"/>
      <c r="U420" s="5"/>
    </row>
    <row r="421" spans="19:21" x14ac:dyDescent="0.25">
      <c r="S421" s="5"/>
      <c r="U421" s="5"/>
    </row>
    <row r="422" spans="19:21" x14ac:dyDescent="0.25">
      <c r="S422" s="5"/>
      <c r="U422" s="5"/>
    </row>
    <row r="423" spans="19:21" x14ac:dyDescent="0.25">
      <c r="S423" s="5"/>
      <c r="U423" s="5"/>
    </row>
    <row r="424" spans="19:21" x14ac:dyDescent="0.25">
      <c r="S424" s="5"/>
      <c r="U424" s="5"/>
    </row>
    <row r="425" spans="19:21" x14ac:dyDescent="0.25">
      <c r="S425" s="5"/>
      <c r="U425" s="5"/>
    </row>
    <row r="426" spans="19:21" x14ac:dyDescent="0.25">
      <c r="S426" s="5"/>
      <c r="U426" s="5"/>
    </row>
    <row r="427" spans="19:21" x14ac:dyDescent="0.25">
      <c r="S427" s="5"/>
      <c r="U427" s="5"/>
    </row>
    <row r="428" spans="19:21" x14ac:dyDescent="0.25">
      <c r="S428" s="5"/>
      <c r="U428" s="5"/>
    </row>
    <row r="429" spans="19:21" x14ac:dyDescent="0.25">
      <c r="S429" s="5"/>
      <c r="U429" s="5"/>
    </row>
    <row r="430" spans="19:21" x14ac:dyDescent="0.25">
      <c r="S430" s="5"/>
      <c r="U430" s="5"/>
    </row>
    <row r="431" spans="19:21" x14ac:dyDescent="0.25">
      <c r="S431" s="5"/>
      <c r="U431" s="5"/>
    </row>
    <row r="432" spans="19:21" x14ac:dyDescent="0.25">
      <c r="S432" s="5"/>
      <c r="U432" s="5"/>
    </row>
    <row r="433" spans="19:21" x14ac:dyDescent="0.25">
      <c r="S433" s="5"/>
      <c r="U433" s="5"/>
    </row>
    <row r="434" spans="19:21" x14ac:dyDescent="0.25">
      <c r="S434" s="5"/>
      <c r="U434" s="5"/>
    </row>
    <row r="435" spans="19:21" x14ac:dyDescent="0.25">
      <c r="S435" s="5"/>
      <c r="U435" s="5"/>
    </row>
    <row r="436" spans="19:21" x14ac:dyDescent="0.25">
      <c r="S436" s="5"/>
      <c r="U436" s="5"/>
    </row>
    <row r="437" spans="19:21" x14ac:dyDescent="0.25">
      <c r="S437" s="5"/>
      <c r="U437" s="5"/>
    </row>
    <row r="438" spans="19:21" x14ac:dyDescent="0.25">
      <c r="S438" s="5"/>
      <c r="U438" s="5"/>
    </row>
    <row r="439" spans="19:21" x14ac:dyDescent="0.25">
      <c r="S439" s="5"/>
      <c r="U439" s="5"/>
    </row>
    <row r="440" spans="19:21" x14ac:dyDescent="0.25">
      <c r="S440" s="5"/>
      <c r="U440" s="5"/>
    </row>
    <row r="441" spans="19:21" x14ac:dyDescent="0.25">
      <c r="S441" s="5"/>
      <c r="U441" s="5"/>
    </row>
    <row r="442" spans="19:21" x14ac:dyDescent="0.25">
      <c r="S442" s="5"/>
      <c r="U442" s="5"/>
    </row>
    <row r="443" spans="19:21" x14ac:dyDescent="0.25">
      <c r="S443" s="5"/>
      <c r="U443" s="5"/>
    </row>
    <row r="444" spans="19:21" x14ac:dyDescent="0.25">
      <c r="S444" s="5"/>
      <c r="U444" s="5"/>
    </row>
    <row r="445" spans="19:21" x14ac:dyDescent="0.25">
      <c r="S445" s="5"/>
      <c r="U445" s="5"/>
    </row>
    <row r="446" spans="19:21" x14ac:dyDescent="0.25">
      <c r="S446" s="5"/>
      <c r="U446" s="5"/>
    </row>
    <row r="447" spans="19:21" x14ac:dyDescent="0.25">
      <c r="S447" s="5"/>
      <c r="U447" s="5"/>
    </row>
    <row r="448" spans="19:21" x14ac:dyDescent="0.25">
      <c r="S448" s="5"/>
      <c r="U448" s="5"/>
    </row>
    <row r="449" spans="19:21" x14ac:dyDescent="0.25">
      <c r="S449" s="5"/>
      <c r="U449" s="5"/>
    </row>
    <row r="450" spans="19:21" x14ac:dyDescent="0.25">
      <c r="S450" s="5"/>
      <c r="U450" s="5"/>
    </row>
    <row r="451" spans="19:21" x14ac:dyDescent="0.25">
      <c r="S451" s="5"/>
      <c r="U451" s="5"/>
    </row>
    <row r="452" spans="19:21" x14ac:dyDescent="0.25">
      <c r="S452" s="5"/>
      <c r="U452" s="5"/>
    </row>
    <row r="453" spans="19:21" x14ac:dyDescent="0.25">
      <c r="S453" s="5"/>
      <c r="U453" s="5"/>
    </row>
    <row r="454" spans="19:21" x14ac:dyDescent="0.25">
      <c r="S454" s="5"/>
      <c r="U454" s="5"/>
    </row>
    <row r="455" spans="19:21" x14ac:dyDescent="0.25">
      <c r="S455" s="5"/>
      <c r="U455" s="5"/>
    </row>
    <row r="456" spans="19:21" x14ac:dyDescent="0.25">
      <c r="S456" s="5"/>
      <c r="U456" s="5"/>
    </row>
    <row r="457" spans="19:21" x14ac:dyDescent="0.25">
      <c r="S457" s="5"/>
      <c r="U457" s="5"/>
    </row>
    <row r="458" spans="19:21" x14ac:dyDescent="0.25">
      <c r="S458" s="5"/>
      <c r="U458" s="5"/>
    </row>
    <row r="459" spans="19:21" x14ac:dyDescent="0.25">
      <c r="S459" s="5"/>
      <c r="U459" s="5"/>
    </row>
    <row r="460" spans="19:21" x14ac:dyDescent="0.25">
      <c r="S460" s="5"/>
      <c r="U460" s="5"/>
    </row>
    <row r="461" spans="19:21" x14ac:dyDescent="0.25">
      <c r="S461" s="5"/>
      <c r="U461" s="5"/>
    </row>
    <row r="462" spans="19:21" x14ac:dyDescent="0.25">
      <c r="S462" s="5"/>
      <c r="U462" s="5"/>
    </row>
    <row r="463" spans="19:21" x14ac:dyDescent="0.25">
      <c r="S463" s="5"/>
      <c r="U463" s="5"/>
    </row>
    <row r="464" spans="19:21" x14ac:dyDescent="0.25">
      <c r="S464" s="5"/>
      <c r="U464" s="5"/>
    </row>
    <row r="465" spans="19:21" x14ac:dyDescent="0.25">
      <c r="S465" s="5"/>
      <c r="U465" s="5"/>
    </row>
    <row r="466" spans="19:21" x14ac:dyDescent="0.25">
      <c r="S466" s="5"/>
      <c r="U466" s="5"/>
    </row>
    <row r="467" spans="19:21" x14ac:dyDescent="0.25">
      <c r="S467" s="5"/>
      <c r="U467" s="5"/>
    </row>
    <row r="468" spans="19:21" x14ac:dyDescent="0.25">
      <c r="S468" s="5"/>
      <c r="U468" s="5"/>
    </row>
    <row r="469" spans="19:21" x14ac:dyDescent="0.25">
      <c r="S469" s="5"/>
      <c r="U469" s="5"/>
    </row>
    <row r="470" spans="19:21" x14ac:dyDescent="0.25">
      <c r="S470" s="5"/>
      <c r="U470" s="5"/>
    </row>
    <row r="471" spans="19:21" x14ac:dyDescent="0.25">
      <c r="S471" s="5"/>
      <c r="U471" s="5"/>
    </row>
    <row r="472" spans="19:21" x14ac:dyDescent="0.25">
      <c r="S472" s="5"/>
      <c r="U472" s="5"/>
    </row>
    <row r="473" spans="19:21" x14ac:dyDescent="0.25">
      <c r="S473" s="5"/>
      <c r="U473" s="5"/>
    </row>
    <row r="474" spans="19:21" x14ac:dyDescent="0.25">
      <c r="S474" s="5"/>
      <c r="U474" s="5"/>
    </row>
    <row r="475" spans="19:21" x14ac:dyDescent="0.25">
      <c r="S475" s="5"/>
      <c r="U475" s="5"/>
    </row>
    <row r="476" spans="19:21" x14ac:dyDescent="0.25">
      <c r="S476" s="5"/>
      <c r="U476" s="5"/>
    </row>
    <row r="477" spans="19:21" x14ac:dyDescent="0.25">
      <c r="S477" s="5"/>
      <c r="U477" s="5"/>
    </row>
    <row r="478" spans="19:21" x14ac:dyDescent="0.25">
      <c r="S478" s="5"/>
      <c r="U478" s="5"/>
    </row>
    <row r="479" spans="19:21" x14ac:dyDescent="0.25">
      <c r="S479" s="5"/>
      <c r="U479" s="5"/>
    </row>
    <row r="480" spans="19:21" x14ac:dyDescent="0.25">
      <c r="S480" s="5"/>
      <c r="U480" s="5"/>
    </row>
    <row r="481" spans="19:19" x14ac:dyDescent="0.25">
      <c r="S481" s="5"/>
    </row>
    <row r="482" spans="19:19" x14ac:dyDescent="0.25">
      <c r="S482" s="5"/>
    </row>
    <row r="483" spans="19:19" x14ac:dyDescent="0.25">
      <c r="S483" s="5"/>
    </row>
    <row r="484" spans="19:19" x14ac:dyDescent="0.25">
      <c r="S484" s="5"/>
    </row>
    <row r="485" spans="19:19" x14ac:dyDescent="0.25">
      <c r="S485" s="5"/>
    </row>
    <row r="486" spans="19:19" x14ac:dyDescent="0.25">
      <c r="S486" s="5"/>
    </row>
    <row r="487" spans="19:19" x14ac:dyDescent="0.25">
      <c r="S487" s="5"/>
    </row>
    <row r="488" spans="19:19" x14ac:dyDescent="0.25">
      <c r="S488" s="5"/>
    </row>
    <row r="489" spans="19:19" x14ac:dyDescent="0.25">
      <c r="S489" s="5"/>
    </row>
    <row r="490" spans="19:19" x14ac:dyDescent="0.25">
      <c r="S490" s="5"/>
    </row>
    <row r="491" spans="19:19" x14ac:dyDescent="0.25">
      <c r="S491" s="5"/>
    </row>
    <row r="492" spans="19:19" x14ac:dyDescent="0.25">
      <c r="S492" s="5"/>
    </row>
    <row r="493" spans="19:19" x14ac:dyDescent="0.25">
      <c r="S493" s="5"/>
    </row>
    <row r="494" spans="19:19" x14ac:dyDescent="0.25">
      <c r="S494" s="5"/>
    </row>
    <row r="495" spans="19:19" x14ac:dyDescent="0.25">
      <c r="S495" s="5"/>
    </row>
    <row r="496" spans="19:19" x14ac:dyDescent="0.25">
      <c r="S496" s="5"/>
    </row>
    <row r="497" spans="19:19" x14ac:dyDescent="0.25">
      <c r="S497" s="5"/>
    </row>
    <row r="498" spans="19:19" x14ac:dyDescent="0.25">
      <c r="S498" s="5"/>
    </row>
    <row r="499" spans="19:19" x14ac:dyDescent="0.25">
      <c r="S499" s="5"/>
    </row>
    <row r="500" spans="19:19" x14ac:dyDescent="0.25">
      <c r="S500" s="5"/>
    </row>
    <row r="501" spans="19:19" x14ac:dyDescent="0.25">
      <c r="S501" s="5"/>
    </row>
    <row r="502" spans="19:19" x14ac:dyDescent="0.25">
      <c r="S502" s="5"/>
    </row>
    <row r="503" spans="19:19" x14ac:dyDescent="0.25">
      <c r="S503" s="5"/>
    </row>
    <row r="504" spans="19:19" x14ac:dyDescent="0.25">
      <c r="S504" s="5"/>
    </row>
    <row r="505" spans="19:19" x14ac:dyDescent="0.25">
      <c r="S505" s="5"/>
    </row>
    <row r="506" spans="19:19" x14ac:dyDescent="0.25">
      <c r="S506" s="5"/>
    </row>
    <row r="507" spans="19:19" x14ac:dyDescent="0.25">
      <c r="S507" s="5"/>
    </row>
    <row r="508" spans="19:19" x14ac:dyDescent="0.25">
      <c r="S508" s="5"/>
    </row>
  </sheetData>
  <autoFilter ref="A1:O409">
    <sortState ref="A2:O409">
      <sortCondition descending="1" ref="L1:L409"/>
    </sortState>
  </autoFilter>
  <sortState ref="W335:W382">
    <sortCondition descending="1" ref="W333"/>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7"/>
  <sheetViews>
    <sheetView workbookViewId="0">
      <selection activeCell="B31" sqref="B31"/>
    </sheetView>
  </sheetViews>
  <sheetFormatPr defaultRowHeight="15" x14ac:dyDescent="0.25"/>
  <cols>
    <col min="1" max="1" width="33.140625" customWidth="1"/>
    <col min="2" max="2" width="32.7109375" customWidth="1"/>
    <col min="3" max="3" width="33.7109375" customWidth="1"/>
    <col min="6" max="6" width="27.140625" customWidth="1"/>
    <col min="7" max="7" width="27.5703125" customWidth="1"/>
    <col min="8" max="8" width="45.140625" customWidth="1"/>
    <col min="9" max="9" width="27.140625" customWidth="1"/>
  </cols>
  <sheetData>
    <row r="1" spans="1:8" x14ac:dyDescent="0.25">
      <c r="A1" s="9" t="s">
        <v>403</v>
      </c>
      <c r="B1" s="20" t="s">
        <v>558</v>
      </c>
      <c r="C1" s="20" t="s">
        <v>559</v>
      </c>
      <c r="F1" s="10" t="s">
        <v>403</v>
      </c>
      <c r="G1" s="33" t="s">
        <v>562</v>
      </c>
      <c r="H1" s="33" t="s">
        <v>563</v>
      </c>
    </row>
    <row r="2" spans="1:8" x14ac:dyDescent="0.25">
      <c r="A2" s="10" t="s">
        <v>409</v>
      </c>
      <c r="B2" s="21">
        <v>366</v>
      </c>
      <c r="C2" s="22">
        <v>5819519.7800000012</v>
      </c>
      <c r="F2" s="10" t="s">
        <v>409</v>
      </c>
      <c r="G2" s="32">
        <v>15.913043478260869</v>
      </c>
      <c r="H2" s="26">
        <v>253022.59913043483</v>
      </c>
    </row>
    <row r="3" spans="1:8" x14ac:dyDescent="0.25">
      <c r="A3" s="10" t="s">
        <v>404</v>
      </c>
      <c r="B3" s="21">
        <v>381</v>
      </c>
      <c r="C3" s="22">
        <v>5741917.7400000012</v>
      </c>
      <c r="F3" s="10" t="s">
        <v>414</v>
      </c>
      <c r="G3" s="32">
        <v>11.75</v>
      </c>
      <c r="H3" s="26">
        <v>187505.21750000003</v>
      </c>
    </row>
    <row r="4" spans="1:8" x14ac:dyDescent="0.25">
      <c r="A4" s="10" t="s">
        <v>405</v>
      </c>
      <c r="B4" s="21">
        <v>249</v>
      </c>
      <c r="C4" s="22">
        <v>3152957.2</v>
      </c>
      <c r="F4" s="10" t="s">
        <v>381</v>
      </c>
      <c r="G4" s="32">
        <v>8.2631578947368425</v>
      </c>
      <c r="H4" s="26">
        <v>143826.0105263158</v>
      </c>
    </row>
    <row r="5" spans="1:8" x14ac:dyDescent="0.25">
      <c r="A5" s="10" t="s">
        <v>413</v>
      </c>
      <c r="B5" s="21">
        <v>172</v>
      </c>
      <c r="C5" s="22">
        <v>2925592.69</v>
      </c>
      <c r="F5" s="10" t="s">
        <v>413</v>
      </c>
      <c r="G5" s="32">
        <v>6.88</v>
      </c>
      <c r="H5" s="26">
        <v>132981.4859090909</v>
      </c>
    </row>
    <row r="6" spans="1:8" x14ac:dyDescent="0.25">
      <c r="A6" s="10" t="s">
        <v>381</v>
      </c>
      <c r="B6" s="21">
        <v>157</v>
      </c>
      <c r="C6" s="22">
        <v>2732694.2</v>
      </c>
      <c r="F6" s="10" t="s">
        <v>405</v>
      </c>
      <c r="G6" s="32">
        <v>7.78125</v>
      </c>
      <c r="H6" s="26">
        <v>108722.66206896552</v>
      </c>
    </row>
    <row r="7" spans="1:8" x14ac:dyDescent="0.25">
      <c r="A7" s="10" t="s">
        <v>408</v>
      </c>
      <c r="B7" s="21">
        <v>138</v>
      </c>
      <c r="C7" s="26">
        <v>2702522</v>
      </c>
      <c r="F7" s="10" t="s">
        <v>404</v>
      </c>
      <c r="G7" s="32">
        <v>5.86</v>
      </c>
      <c r="H7" s="26">
        <v>100735.4</v>
      </c>
    </row>
    <row r="8" spans="1:8" x14ac:dyDescent="0.25">
      <c r="A8" s="10" t="s">
        <v>412</v>
      </c>
      <c r="B8" s="21">
        <v>119</v>
      </c>
      <c r="C8" s="22">
        <v>1772110.42</v>
      </c>
      <c r="F8" s="10" t="s">
        <v>412</v>
      </c>
      <c r="G8" s="32">
        <v>4.58</v>
      </c>
      <c r="H8" s="26">
        <v>77048.28</v>
      </c>
    </row>
    <row r="9" spans="1:8" x14ac:dyDescent="0.25">
      <c r="A9" s="10" t="s">
        <v>414</v>
      </c>
      <c r="B9" s="21">
        <v>94</v>
      </c>
      <c r="C9" s="22">
        <v>1500041.7399999998</v>
      </c>
      <c r="F9" s="10" t="s">
        <v>408</v>
      </c>
      <c r="G9" s="32">
        <v>2.71</v>
      </c>
      <c r="H9" s="26">
        <v>71119</v>
      </c>
    </row>
    <row r="10" spans="1:8" x14ac:dyDescent="0.25">
      <c r="A10" s="10" t="s">
        <v>349</v>
      </c>
      <c r="B10" s="21">
        <v>102</v>
      </c>
      <c r="C10" s="22">
        <v>1074681.43</v>
      </c>
      <c r="F10" s="10" t="s">
        <v>410</v>
      </c>
      <c r="G10" s="32">
        <v>5.1052631578947372</v>
      </c>
      <c r="H10" s="26">
        <v>58684.801250000004</v>
      </c>
    </row>
    <row r="11" spans="1:8" x14ac:dyDescent="0.25">
      <c r="A11" s="10" t="s">
        <v>410</v>
      </c>
      <c r="B11" s="21">
        <v>97</v>
      </c>
      <c r="C11" s="22">
        <v>938956.82000000007</v>
      </c>
      <c r="F11" s="10" t="s">
        <v>349</v>
      </c>
      <c r="G11" s="32">
        <v>4.25</v>
      </c>
      <c r="H11" s="26">
        <v>44778.392916666664</v>
      </c>
    </row>
    <row r="12" spans="1:8" x14ac:dyDescent="0.25">
      <c r="A12" s="10" t="s">
        <v>407</v>
      </c>
      <c r="B12" s="21">
        <v>71</v>
      </c>
      <c r="C12" s="22">
        <v>919743.54</v>
      </c>
      <c r="F12" s="10" t="s">
        <v>407</v>
      </c>
      <c r="G12" s="32">
        <v>1.9189189189189189</v>
      </c>
      <c r="H12" s="26">
        <v>36523.089999999997</v>
      </c>
    </row>
    <row r="13" spans="1:8" x14ac:dyDescent="0.25">
      <c r="A13" s="10" t="s">
        <v>339</v>
      </c>
      <c r="B13" s="21">
        <v>1</v>
      </c>
      <c r="C13" s="22">
        <v>11500</v>
      </c>
      <c r="F13" s="10" t="s">
        <v>339</v>
      </c>
      <c r="G13" s="32">
        <v>0.16666666666666666</v>
      </c>
      <c r="H13" s="26">
        <v>1916.6666666666667</v>
      </c>
    </row>
    <row r="14" spans="1:8" x14ac:dyDescent="0.25">
      <c r="A14" s="8"/>
      <c r="B14" s="8"/>
      <c r="C14" s="11"/>
      <c r="G14" s="19"/>
      <c r="H14" s="19"/>
    </row>
    <row r="15" spans="1:8" x14ac:dyDescent="0.25">
      <c r="A15" s="8"/>
      <c r="B15" s="8"/>
      <c r="C15" s="11"/>
      <c r="G15" s="19"/>
      <c r="H15" s="19"/>
    </row>
    <row r="16" spans="1:8" x14ac:dyDescent="0.25">
      <c r="B16" s="8"/>
      <c r="C16" s="8"/>
      <c r="G16" s="17"/>
      <c r="H16" s="17"/>
    </row>
    <row r="17" spans="1:8" x14ac:dyDescent="0.25">
      <c r="B17" s="8"/>
      <c r="C17" s="8"/>
      <c r="G17" s="17"/>
      <c r="H17" s="17"/>
    </row>
    <row r="18" spans="1:8" x14ac:dyDescent="0.25">
      <c r="B18" s="8"/>
      <c r="C18" s="8"/>
      <c r="G18" s="17"/>
      <c r="H18" s="17"/>
    </row>
    <row r="19" spans="1:8" x14ac:dyDescent="0.25">
      <c r="B19" s="8"/>
      <c r="C19" s="8"/>
      <c r="G19" s="17"/>
      <c r="H19" s="17"/>
    </row>
    <row r="20" spans="1:8" x14ac:dyDescent="0.25">
      <c r="B20" s="8"/>
      <c r="C20" s="8"/>
    </row>
    <row r="21" spans="1:8" x14ac:dyDescent="0.25">
      <c r="B21" s="8"/>
      <c r="C21" s="8"/>
    </row>
    <row r="22" spans="1:8" x14ac:dyDescent="0.25">
      <c r="B22" s="8"/>
      <c r="C22" s="8"/>
    </row>
    <row r="23" spans="1:8" x14ac:dyDescent="0.25">
      <c r="B23" s="8"/>
      <c r="C23" s="8"/>
    </row>
    <row r="24" spans="1:8" x14ac:dyDescent="0.25">
      <c r="B24" s="8"/>
      <c r="C24" s="8"/>
    </row>
    <row r="25" spans="1:8" x14ac:dyDescent="0.25">
      <c r="B25" s="8"/>
      <c r="C25" s="8"/>
    </row>
    <row r="26" spans="1:8" x14ac:dyDescent="0.25">
      <c r="B26" s="8"/>
      <c r="C26" s="8"/>
    </row>
    <row r="27" spans="1:8" x14ac:dyDescent="0.25">
      <c r="B27" s="8"/>
      <c r="C27" s="8"/>
    </row>
    <row r="28" spans="1:8" x14ac:dyDescent="0.25">
      <c r="B28" s="8"/>
      <c r="C28" s="8"/>
    </row>
    <row r="29" spans="1:8" x14ac:dyDescent="0.25">
      <c r="A29" s="8"/>
      <c r="B29" s="8"/>
      <c r="C29" s="8"/>
    </row>
    <row r="30" spans="1:8" x14ac:dyDescent="0.25">
      <c r="A30" s="8"/>
      <c r="B30" s="8"/>
      <c r="C30" s="8"/>
    </row>
    <row r="31" spans="1:8" x14ac:dyDescent="0.25">
      <c r="A31" s="8"/>
      <c r="B31" s="8"/>
      <c r="C31" s="8"/>
    </row>
    <row r="32" spans="1:8"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row r="190" spans="1:3" x14ac:dyDescent="0.25">
      <c r="A190" s="8"/>
      <c r="B190" s="8"/>
      <c r="C190" s="8"/>
    </row>
    <row r="191" spans="1:3" x14ac:dyDescent="0.25">
      <c r="A191" s="8"/>
      <c r="B191" s="8"/>
      <c r="C191" s="8"/>
    </row>
    <row r="192" spans="1:3" x14ac:dyDescent="0.25">
      <c r="A192" s="8"/>
      <c r="B192" s="8"/>
      <c r="C192" s="8"/>
    </row>
    <row r="193" spans="1:3" x14ac:dyDescent="0.25">
      <c r="A193" s="8"/>
      <c r="B193" s="8"/>
      <c r="C193" s="8"/>
    </row>
    <row r="194" spans="1:3" x14ac:dyDescent="0.25">
      <c r="A194" s="8"/>
      <c r="B194" s="8"/>
      <c r="C194" s="8"/>
    </row>
    <row r="195" spans="1:3" x14ac:dyDescent="0.25">
      <c r="A195" s="8"/>
      <c r="B195" s="8"/>
      <c r="C195" s="8"/>
    </row>
    <row r="196" spans="1:3" x14ac:dyDescent="0.25">
      <c r="A196" s="8"/>
      <c r="B196" s="8"/>
      <c r="C196" s="8"/>
    </row>
    <row r="197" spans="1:3" x14ac:dyDescent="0.25">
      <c r="A197" s="8"/>
      <c r="B197" s="8"/>
      <c r="C197" s="8"/>
    </row>
  </sheetData>
  <autoFilter ref="A1:C13">
    <sortState ref="A2:C13">
      <sortCondition descending="1" ref="C1:C13"/>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Master Sheet</vt:lpstr>
      <vt:lpstr>Region averages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Hutton</dc:creator>
  <cp:lastModifiedBy>Duncan Simpson</cp:lastModifiedBy>
  <dcterms:created xsi:type="dcterms:W3CDTF">2018-02-20T13:47:44Z</dcterms:created>
  <dcterms:modified xsi:type="dcterms:W3CDTF">2020-02-05T15:37:44Z</dcterms:modified>
</cp:coreProperties>
</file>